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FC13268-A91E-4F32-A6EE-F3AD414D4CCD}" xr6:coauthVersionLast="47" xr6:coauthVersionMax="47" xr10:uidLastSave="{00000000-0000-0000-0000-000000000000}"/>
  <bookViews>
    <workbookView xWindow="1515" yWindow="1515" windowWidth="38700" windowHeight="15345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9" i="2" l="1"/>
  <c r="X82" i="2" l="1"/>
  <c r="X80" i="2"/>
  <c r="X79" i="2"/>
  <c r="X78" i="2"/>
  <c r="W81" i="2"/>
  <c r="W83" i="2" s="1"/>
  <c r="X75" i="2"/>
  <c r="X74" i="2"/>
  <c r="W73" i="2"/>
  <c r="X73" i="2" s="1"/>
  <c r="X76" i="2" s="1"/>
  <c r="X69" i="2"/>
  <c r="X68" i="2"/>
  <c r="X67" i="2"/>
  <c r="X66" i="2"/>
  <c r="W70" i="2"/>
  <c r="W71" i="2" s="1"/>
  <c r="W60" i="2"/>
  <c r="W63" i="2" s="1"/>
  <c r="W48" i="2"/>
  <c r="W55" i="2"/>
  <c r="BA19" i="2"/>
  <c r="Y2" i="2"/>
  <c r="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Z40" i="2"/>
  <c r="Y40" i="2"/>
  <c r="Z38" i="2"/>
  <c r="Y38" i="2"/>
  <c r="Y34" i="2"/>
  <c r="Z34" i="2" s="1"/>
  <c r="Y29" i="2"/>
  <c r="Z29" i="2" s="1"/>
  <c r="Z25" i="2"/>
  <c r="Z27" i="2" s="1"/>
  <c r="Y25" i="2"/>
  <c r="Y27" i="2" s="1"/>
  <c r="Z23" i="2"/>
  <c r="Y23" i="2"/>
  <c r="X60" i="2"/>
  <c r="X63" i="2" s="1"/>
  <c r="X48" i="2"/>
  <c r="X55" i="2" s="1"/>
  <c r="X37" i="2"/>
  <c r="X27" i="2"/>
  <c r="X41" i="2"/>
  <c r="X40" i="2"/>
  <c r="X38" i="2"/>
  <c r="X23" i="2"/>
  <c r="AD40" i="2"/>
  <c r="AD27" i="2"/>
  <c r="AD14" i="2"/>
  <c r="AD18" i="2" s="1"/>
  <c r="AE27" i="2"/>
  <c r="AE18" i="2"/>
  <c r="AE19" i="2"/>
  <c r="AE40" i="2" s="1"/>
  <c r="AF27" i="2"/>
  <c r="AF19" i="2"/>
  <c r="AF40" i="2" s="1"/>
  <c r="AF16" i="2"/>
  <c r="AF18" i="2" s="1"/>
  <c r="AF41" i="2" s="1"/>
  <c r="AG27" i="2"/>
  <c r="AH27" i="2"/>
  <c r="AI27" i="2"/>
  <c r="AH19" i="2"/>
  <c r="AH40" i="2" s="1"/>
  <c r="AG19" i="2"/>
  <c r="AG40" i="2" s="1"/>
  <c r="AG16" i="2"/>
  <c r="AG18" i="2" s="1"/>
  <c r="AG41" i="2" s="1"/>
  <c r="AH16" i="2"/>
  <c r="AH18" i="2" s="1"/>
  <c r="AH41" i="2" s="1"/>
  <c r="AI16" i="2"/>
  <c r="AI18" i="2" s="1"/>
  <c r="AI41" i="2" s="1"/>
  <c r="AI19" i="2"/>
  <c r="AI40" i="2" s="1"/>
  <c r="AL16" i="2"/>
  <c r="AL18" i="2" s="1"/>
  <c r="AL41" i="2" s="1"/>
  <c r="AK16" i="2"/>
  <c r="AK18" i="2" s="1"/>
  <c r="AK41" i="2" s="1"/>
  <c r="AJ16" i="2"/>
  <c r="AJ18" i="2" s="1"/>
  <c r="AK19" i="2"/>
  <c r="AK40" i="2" s="1"/>
  <c r="AJ19" i="2"/>
  <c r="AJ40" i="2" s="1"/>
  <c r="AL37" i="2"/>
  <c r="AJ27" i="2"/>
  <c r="AK27" i="2"/>
  <c r="AM37" i="2"/>
  <c r="AL27" i="2"/>
  <c r="AL19" i="2"/>
  <c r="AL40" i="2" s="1"/>
  <c r="AN37" i="2"/>
  <c r="AM27" i="2"/>
  <c r="AM19" i="2"/>
  <c r="AM40" i="2" s="1"/>
  <c r="AM12" i="2"/>
  <c r="AM16" i="2"/>
  <c r="AM18" i="2" s="1"/>
  <c r="AO37" i="2"/>
  <c r="AN27" i="2"/>
  <c r="AN16" i="2"/>
  <c r="AN18" i="2" s="1"/>
  <c r="AN19" i="2"/>
  <c r="AN40" i="2" s="1"/>
  <c r="AN12" i="2"/>
  <c r="AU40" i="2"/>
  <c r="AU27" i="2"/>
  <c r="AU12" i="2"/>
  <c r="AT40" i="2"/>
  <c r="AT37" i="2"/>
  <c r="AT27" i="2"/>
  <c r="AT12" i="2"/>
  <c r="AS40" i="2"/>
  <c r="AS37" i="2"/>
  <c r="AS27" i="2"/>
  <c r="AX19" i="2"/>
  <c r="AS18" i="2"/>
  <c r="AS41" i="2" s="1"/>
  <c r="AS12" i="2"/>
  <c r="AR37" i="2"/>
  <c r="AQ37" i="2"/>
  <c r="AP37" i="2"/>
  <c r="AR40" i="2"/>
  <c r="AQ40" i="2"/>
  <c r="AP40" i="2"/>
  <c r="AO40" i="2"/>
  <c r="AO27" i="2"/>
  <c r="AO12" i="2"/>
  <c r="AO16" i="2"/>
  <c r="AO18" i="2" s="1"/>
  <c r="AO41" i="2" s="1"/>
  <c r="AP27" i="2"/>
  <c r="AQ27" i="2"/>
  <c r="AR27" i="2"/>
  <c r="AR16" i="2"/>
  <c r="AR18" i="2" s="1"/>
  <c r="AR41" i="2" s="1"/>
  <c r="AQ16" i="2"/>
  <c r="AQ18" i="2" s="1"/>
  <c r="AQ20" i="2" s="1"/>
  <c r="AP16" i="2"/>
  <c r="AP18" i="2" s="1"/>
  <c r="AR12" i="2"/>
  <c r="AQ12" i="2"/>
  <c r="AP12" i="2"/>
  <c r="V18" i="2"/>
  <c r="V20" i="2" s="1"/>
  <c r="U18" i="2"/>
  <c r="AZ19" i="2"/>
  <c r="AZ16" i="2"/>
  <c r="BA16" i="2" s="1"/>
  <c r="BB16" i="2" s="1"/>
  <c r="AZ15" i="2"/>
  <c r="BA15" i="2" s="1"/>
  <c r="BB15" i="2" s="1"/>
  <c r="AZ14" i="2"/>
  <c r="BA14" i="2" s="1"/>
  <c r="BB14" i="2" s="1"/>
  <c r="AZ10" i="2"/>
  <c r="T18" i="2"/>
  <c r="T20" i="2" s="1"/>
  <c r="S18" i="2"/>
  <c r="S20" i="2" s="1"/>
  <c r="W20" i="2"/>
  <c r="AY10" i="2"/>
  <c r="X20" i="2"/>
  <c r="AW37" i="2"/>
  <c r="W41" i="2"/>
  <c r="W40" i="2"/>
  <c r="W38" i="2"/>
  <c r="W37" i="2"/>
  <c r="W27" i="2"/>
  <c r="W23" i="2"/>
  <c r="AY11" i="2"/>
  <c r="AX11" i="2"/>
  <c r="AW11" i="2"/>
  <c r="AW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AV11" i="2" s="1"/>
  <c r="AV12" i="2" s="1"/>
  <c r="AT18" i="2"/>
  <c r="AT41" i="2" s="1"/>
  <c r="AU18" i="2"/>
  <c r="AU41" i="2" s="1"/>
  <c r="AU37" i="2"/>
  <c r="AV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AW18" i="2"/>
  <c r="AW20" i="2" s="1"/>
  <c r="AV18" i="2"/>
  <c r="AV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AW40" i="2"/>
  <c r="AV40" i="2"/>
  <c r="AW38" i="2"/>
  <c r="AV34" i="2"/>
  <c r="AV27" i="2"/>
  <c r="AV23" i="2"/>
  <c r="U40" i="2"/>
  <c r="T40" i="2"/>
  <c r="S40" i="2"/>
  <c r="R40" i="2"/>
  <c r="Q40" i="2"/>
  <c r="P40" i="2"/>
  <c r="O40" i="2"/>
  <c r="N40" i="2"/>
  <c r="M40" i="2"/>
  <c r="L40" i="2"/>
  <c r="K40" i="2"/>
  <c r="AZ26" i="2"/>
  <c r="BA26" i="2" s="1"/>
  <c r="BB26" i="2" s="1"/>
  <c r="AZ34" i="2"/>
  <c r="BA34" i="2" s="1"/>
  <c r="BB34" i="2" s="1"/>
  <c r="U38" i="2"/>
  <c r="T38" i="2"/>
  <c r="S38" i="2"/>
  <c r="R38" i="2"/>
  <c r="Q38" i="2"/>
  <c r="P38" i="2"/>
  <c r="O38" i="2"/>
  <c r="V38" i="2"/>
  <c r="AW27" i="2"/>
  <c r="AW23" i="2"/>
  <c r="K27" i="2"/>
  <c r="K23" i="2"/>
  <c r="P37" i="2"/>
  <c r="O37" i="2"/>
  <c r="S37" i="2"/>
  <c r="R37" i="2"/>
  <c r="Q37" i="2"/>
  <c r="L27" i="2"/>
  <c r="L23" i="2"/>
  <c r="M27" i="2"/>
  <c r="M23" i="2"/>
  <c r="AY34" i="2"/>
  <c r="AX34" i="2"/>
  <c r="AY31" i="2"/>
  <c r="AX31" i="2"/>
  <c r="AZ29" i="2"/>
  <c r="AY29" i="2"/>
  <c r="AX29" i="2"/>
  <c r="AY26" i="2"/>
  <c r="AX26" i="2"/>
  <c r="AY25" i="2"/>
  <c r="AX25" i="2"/>
  <c r="AY22" i="2"/>
  <c r="AX22" i="2"/>
  <c r="AY21" i="2"/>
  <c r="AX21" i="2"/>
  <c r="AY19" i="2"/>
  <c r="AY16" i="2"/>
  <c r="AX16" i="2"/>
  <c r="AY15" i="2"/>
  <c r="AX15" i="2"/>
  <c r="AY14" i="2"/>
  <c r="AX14" i="2"/>
  <c r="AX10" i="2"/>
  <c r="AX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X70" i="2" l="1"/>
  <c r="X24" i="2"/>
  <c r="X71" i="2"/>
  <c r="Z18" i="2"/>
  <c r="W76" i="2"/>
  <c r="W85" i="2" s="1"/>
  <c r="X81" i="2"/>
  <c r="X83" i="2" s="1"/>
  <c r="X85" i="2" s="1"/>
  <c r="U20" i="2"/>
  <c r="Y18" i="2"/>
  <c r="X47" i="2"/>
  <c r="W47" i="2"/>
  <c r="AD20" i="2"/>
  <c r="AD41" i="2"/>
  <c r="X28" i="2"/>
  <c r="X39" i="2"/>
  <c r="AE20" i="2"/>
  <c r="AE24" i="2" s="1"/>
  <c r="AF20" i="2"/>
  <c r="AF24" i="2" s="1"/>
  <c r="AF39" i="2" s="1"/>
  <c r="AE41" i="2"/>
  <c r="AH20" i="2"/>
  <c r="AG20" i="2"/>
  <c r="AE36" i="2"/>
  <c r="AF36" i="2"/>
  <c r="AG24" i="2"/>
  <c r="AG39" i="2" s="1"/>
  <c r="AG36" i="2"/>
  <c r="AO20" i="2"/>
  <c r="AO24" i="2" s="1"/>
  <c r="AO39" i="2" s="1"/>
  <c r="AI20" i="2"/>
  <c r="AZ37" i="2"/>
  <c r="AJ20" i="2"/>
  <c r="AJ24" i="2" s="1"/>
  <c r="AN20" i="2"/>
  <c r="AN41" i="2"/>
  <c r="AM41" i="2"/>
  <c r="AM20" i="2"/>
  <c r="AM24" i="2" s="1"/>
  <c r="AM39" i="2" s="1"/>
  <c r="AJ41" i="2"/>
  <c r="AL20" i="2"/>
  <c r="AK20" i="2"/>
  <c r="AM28" i="2"/>
  <c r="AT20" i="2"/>
  <c r="AT24" i="2" s="1"/>
  <c r="AT28" i="2" s="1"/>
  <c r="AT30" i="2" s="1"/>
  <c r="C28" i="2"/>
  <c r="C30" i="2" s="1"/>
  <c r="C32" i="2" s="1"/>
  <c r="C33" i="2" s="1"/>
  <c r="AP41" i="2"/>
  <c r="AP20" i="2"/>
  <c r="AQ36" i="2" s="1"/>
  <c r="AQ24" i="2"/>
  <c r="AU20" i="2"/>
  <c r="AU24" i="2" s="1"/>
  <c r="AQ41" i="2"/>
  <c r="AR20" i="2"/>
  <c r="AS20" i="2"/>
  <c r="F12" i="2"/>
  <c r="AY12" i="2"/>
  <c r="W24" i="2"/>
  <c r="W39" i="2" s="1"/>
  <c r="X36" i="2"/>
  <c r="W36" i="2"/>
  <c r="AZ18" i="2"/>
  <c r="AZ20" i="2" s="1"/>
  <c r="BC14" i="2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C16" i="2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O7" i="1"/>
  <c r="BC26" i="2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C34" i="2"/>
  <c r="BC15" i="2"/>
  <c r="F18" i="2"/>
  <c r="F20" i="2" s="1"/>
  <c r="F24" i="2" s="1"/>
  <c r="F27" i="2"/>
  <c r="AX12" i="2"/>
  <c r="AV24" i="2"/>
  <c r="AV39" i="2" s="1"/>
  <c r="D28" i="2"/>
  <c r="D30" i="2" s="1"/>
  <c r="D32" i="2" s="1"/>
  <c r="D33" i="2" s="1"/>
  <c r="AX18" i="2"/>
  <c r="AY18" i="2"/>
  <c r="E24" i="2"/>
  <c r="L41" i="2"/>
  <c r="AX40" i="2"/>
  <c r="AW36" i="2"/>
  <c r="M41" i="2"/>
  <c r="O41" i="2"/>
  <c r="P41" i="2"/>
  <c r="K41" i="2"/>
  <c r="S41" i="2"/>
  <c r="Q41" i="2"/>
  <c r="AY40" i="2"/>
  <c r="AV41" i="2"/>
  <c r="AW41" i="2"/>
  <c r="AX38" i="2"/>
  <c r="AY38" i="2"/>
  <c r="T41" i="2"/>
  <c r="V27" i="2"/>
  <c r="U41" i="2"/>
  <c r="AZ22" i="2"/>
  <c r="R41" i="2"/>
  <c r="N41" i="2"/>
  <c r="AZ25" i="2"/>
  <c r="AY37" i="2"/>
  <c r="Q36" i="2"/>
  <c r="AY23" i="2"/>
  <c r="AY27" i="2"/>
  <c r="AW24" i="2"/>
  <c r="R24" i="2"/>
  <c r="R39" i="2" s="1"/>
  <c r="K24" i="2"/>
  <c r="O36" i="2"/>
  <c r="AX27" i="2"/>
  <c r="AX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H36" i="2" l="1"/>
  <c r="Z20" i="2"/>
  <c r="Z24" i="2" s="1"/>
  <c r="Z41" i="2"/>
  <c r="AH24" i="2"/>
  <c r="BA18" i="2"/>
  <c r="Y20" i="2"/>
  <c r="Y41" i="2"/>
  <c r="AG28" i="2"/>
  <c r="AG30" i="2"/>
  <c r="AG42" i="2"/>
  <c r="AH28" i="2"/>
  <c r="AH39" i="2"/>
  <c r="AF28" i="2"/>
  <c r="X30" i="2"/>
  <c r="X42" i="2"/>
  <c r="AE28" i="2"/>
  <c r="AE39" i="2"/>
  <c r="AD36" i="2"/>
  <c r="AD24" i="2"/>
  <c r="AJ28" i="2"/>
  <c r="AJ39" i="2"/>
  <c r="AJ36" i="2"/>
  <c r="AO28" i="2"/>
  <c r="AO30" i="2" s="1"/>
  <c r="AI24" i="2"/>
  <c r="AI36" i="2"/>
  <c r="AO36" i="2"/>
  <c r="AU36" i="2"/>
  <c r="AM36" i="2"/>
  <c r="AL24" i="2"/>
  <c r="AT39" i="2"/>
  <c r="AT42" i="2"/>
  <c r="AL36" i="2"/>
  <c r="AK24" i="2"/>
  <c r="AK36" i="2"/>
  <c r="AT36" i="2"/>
  <c r="AN24" i="2"/>
  <c r="AN36" i="2"/>
  <c r="AM30" i="2"/>
  <c r="AM42" i="2"/>
  <c r="AV36" i="2"/>
  <c r="AS36" i="2"/>
  <c r="AS24" i="2"/>
  <c r="AR24" i="2"/>
  <c r="AR36" i="2"/>
  <c r="AQ28" i="2"/>
  <c r="AQ39" i="2"/>
  <c r="AT43" i="2"/>
  <c r="AT32" i="2"/>
  <c r="AT33" i="2" s="1"/>
  <c r="AP24" i="2"/>
  <c r="AP36" i="2"/>
  <c r="AU39" i="2"/>
  <c r="AU28" i="2"/>
  <c r="W28" i="2"/>
  <c r="W30" i="2" s="1"/>
  <c r="BA38" i="2"/>
  <c r="F28" i="2"/>
  <c r="F30" i="2" s="1"/>
  <c r="F32" i="2" s="1"/>
  <c r="F33" i="2" s="1"/>
  <c r="AZ27" i="2"/>
  <c r="BA25" i="2"/>
  <c r="BA22" i="2"/>
  <c r="BA40" i="2" s="1"/>
  <c r="BB19" i="2"/>
  <c r="BD34" i="2"/>
  <c r="BD15" i="2"/>
  <c r="AV28" i="2"/>
  <c r="AV42" i="2" s="1"/>
  <c r="E28" i="2"/>
  <c r="E39" i="2"/>
  <c r="V40" i="2"/>
  <c r="AZ38" i="2"/>
  <c r="AZ40" i="2"/>
  <c r="AY20" i="2"/>
  <c r="AY24" i="2" s="1"/>
  <c r="AY41" i="2"/>
  <c r="AW28" i="2"/>
  <c r="AW39" i="2"/>
  <c r="AX20" i="2"/>
  <c r="AX24" i="2" s="1"/>
  <c r="AX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Z39" i="2" l="1"/>
  <c r="Z28" i="2"/>
  <c r="AO42" i="2"/>
  <c r="Y24" i="2"/>
  <c r="Y36" i="2"/>
  <c r="AD28" i="2"/>
  <c r="AD39" i="2"/>
  <c r="AE30" i="2"/>
  <c r="AE42" i="2"/>
  <c r="X43" i="2"/>
  <c r="X32" i="2"/>
  <c r="W42" i="2"/>
  <c r="BB38" i="2"/>
  <c r="AI28" i="2"/>
  <c r="AI39" i="2"/>
  <c r="AF30" i="2"/>
  <c r="AF42" i="2"/>
  <c r="AH30" i="2"/>
  <c r="AH42" i="2"/>
  <c r="AG32" i="2"/>
  <c r="AG33" i="2" s="1"/>
  <c r="AG43" i="2"/>
  <c r="AJ30" i="2"/>
  <c r="AJ42" i="2"/>
  <c r="AV30" i="2"/>
  <c r="AV32" i="2" s="1"/>
  <c r="AV33" i="2" s="1"/>
  <c r="AN39" i="2"/>
  <c r="AN28" i="2"/>
  <c r="AK39" i="2"/>
  <c r="AK28" i="2"/>
  <c r="AL28" i="2"/>
  <c r="AL39" i="2"/>
  <c r="AM32" i="2"/>
  <c r="AM33" i="2" s="1"/>
  <c r="AM43" i="2"/>
  <c r="AP39" i="2"/>
  <c r="AP28" i="2"/>
  <c r="AQ30" i="2"/>
  <c r="AQ42" i="2"/>
  <c r="AS39" i="2"/>
  <c r="AS28" i="2"/>
  <c r="AU42" i="2"/>
  <c r="AU30" i="2"/>
  <c r="AR28" i="2"/>
  <c r="AR39" i="2"/>
  <c r="AO32" i="2"/>
  <c r="AO33" i="2" s="1"/>
  <c r="AO43" i="2"/>
  <c r="AX36" i="2"/>
  <c r="AY36" i="2"/>
  <c r="W43" i="2"/>
  <c r="W32" i="2"/>
  <c r="BB25" i="2"/>
  <c r="BA27" i="2"/>
  <c r="BB22" i="2"/>
  <c r="BB40" i="2" s="1"/>
  <c r="BC19" i="2"/>
  <c r="BE34" i="2"/>
  <c r="BE15" i="2"/>
  <c r="E30" i="2"/>
  <c r="E42" i="2"/>
  <c r="AX28" i="2"/>
  <c r="AX39" i="2"/>
  <c r="T30" i="2"/>
  <c r="AY28" i="2"/>
  <c r="AY39" i="2"/>
  <c r="AW30" i="2"/>
  <c r="AW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Z30" i="2" l="1"/>
  <c r="Z31" i="2" s="1"/>
  <c r="Z43" i="2" s="1"/>
  <c r="Z42" i="2"/>
  <c r="X33" i="2"/>
  <c r="X65" i="2"/>
  <c r="Z32" i="2"/>
  <c r="Z33" i="2" s="1"/>
  <c r="Y39" i="2"/>
  <c r="Y28" i="2"/>
  <c r="W33" i="2"/>
  <c r="W65" i="2"/>
  <c r="AH32" i="2"/>
  <c r="AH33" i="2" s="1"/>
  <c r="AH43" i="2"/>
  <c r="BC38" i="2"/>
  <c r="AF43" i="2"/>
  <c r="AF32" i="2"/>
  <c r="AF33" i="2" s="1"/>
  <c r="AI30" i="2"/>
  <c r="AI42" i="2"/>
  <c r="AE32" i="2"/>
  <c r="AE33" i="2" s="1"/>
  <c r="AE43" i="2"/>
  <c r="AD30" i="2"/>
  <c r="AD42" i="2"/>
  <c r="AJ32" i="2"/>
  <c r="AJ33" i="2" s="1"/>
  <c r="AJ43" i="2"/>
  <c r="AV43" i="2"/>
  <c r="AL30" i="2"/>
  <c r="AL42" i="2"/>
  <c r="AK30" i="2"/>
  <c r="AK42" i="2"/>
  <c r="AN30" i="2"/>
  <c r="AN42" i="2"/>
  <c r="AU32" i="2"/>
  <c r="AU33" i="2" s="1"/>
  <c r="AU43" i="2"/>
  <c r="AS42" i="2"/>
  <c r="AS30" i="2"/>
  <c r="AP30" i="2"/>
  <c r="AP42" i="2"/>
  <c r="AR42" i="2"/>
  <c r="AR30" i="2"/>
  <c r="AQ32" i="2"/>
  <c r="AQ33" i="2" s="1"/>
  <c r="AQ43" i="2"/>
  <c r="BC25" i="2"/>
  <c r="BB27" i="2"/>
  <c r="BD19" i="2"/>
  <c r="BC22" i="2"/>
  <c r="BC40" i="2" s="1"/>
  <c r="BF34" i="2"/>
  <c r="BF15" i="2"/>
  <c r="E32" i="2"/>
  <c r="E33" i="2" s="1"/>
  <c r="E43" i="2"/>
  <c r="AW32" i="2"/>
  <c r="AW33" i="2" s="1"/>
  <c r="AW43" i="2"/>
  <c r="AY30" i="2"/>
  <c r="AY42" i="2"/>
  <c r="AX30" i="2"/>
  <c r="AX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Y30" i="2" l="1"/>
  <c r="Y42" i="2"/>
  <c r="BD38" i="2"/>
  <c r="AD32" i="2"/>
  <c r="AD33" i="2" s="1"/>
  <c r="AD43" i="2"/>
  <c r="AI32" i="2"/>
  <c r="AI33" i="2" s="1"/>
  <c r="AI43" i="2"/>
  <c r="AN32" i="2"/>
  <c r="AN33" i="2" s="1"/>
  <c r="AN43" i="2"/>
  <c r="AK32" i="2"/>
  <c r="AK33" i="2" s="1"/>
  <c r="AK43" i="2"/>
  <c r="AL32" i="2"/>
  <c r="AL33" i="2" s="1"/>
  <c r="AL43" i="2"/>
  <c r="AP43" i="2"/>
  <c r="AP32" i="2"/>
  <c r="AP33" i="2" s="1"/>
  <c r="AR32" i="2"/>
  <c r="AR33" i="2" s="1"/>
  <c r="AR43" i="2"/>
  <c r="AS43" i="2"/>
  <c r="AS32" i="2"/>
  <c r="AS33" i="2" s="1"/>
  <c r="BD25" i="2"/>
  <c r="BC27" i="2"/>
  <c r="BE19" i="2"/>
  <c r="BD22" i="2"/>
  <c r="BD40" i="2" s="1"/>
  <c r="BG34" i="2"/>
  <c r="BG15" i="2"/>
  <c r="AX32" i="2"/>
  <c r="AX33" i="2" s="1"/>
  <c r="AX43" i="2"/>
  <c r="AY32" i="2"/>
  <c r="AY33" i="2" s="1"/>
  <c r="AY43" i="2"/>
  <c r="V37" i="2"/>
  <c r="AZ11" i="2"/>
  <c r="BA11" i="2" l="1"/>
  <c r="Y31" i="2"/>
  <c r="Y43" i="2" s="1"/>
  <c r="Y32" i="2"/>
  <c r="Y33" i="2" s="1"/>
  <c r="BE38" i="2"/>
  <c r="BD27" i="2"/>
  <c r="BE25" i="2"/>
  <c r="BE22" i="2"/>
  <c r="BE40" i="2" s="1"/>
  <c r="BF19" i="2"/>
  <c r="BH34" i="2"/>
  <c r="BH15" i="2"/>
  <c r="AZ12" i="2"/>
  <c r="BA12" i="2" s="1"/>
  <c r="BB12" i="2" s="1"/>
  <c r="V23" i="2"/>
  <c r="AZ21" i="2"/>
  <c r="AZ23" i="2" s="1"/>
  <c r="Z36" i="2"/>
  <c r="V41" i="2"/>
  <c r="BB11" i="2" l="1"/>
  <c r="BA10" i="2"/>
  <c r="BF38" i="2"/>
  <c r="BE27" i="2"/>
  <c r="BF25" i="2"/>
  <c r="BG19" i="2"/>
  <c r="BF22" i="2"/>
  <c r="BF40" i="2" s="1"/>
  <c r="BI34" i="2"/>
  <c r="BI15" i="2"/>
  <c r="V36" i="2"/>
  <c r="V24" i="2"/>
  <c r="AZ41" i="2"/>
  <c r="AZ36" i="2"/>
  <c r="AZ24" i="2"/>
  <c r="BB10" i="2" l="1"/>
  <c r="BC11" i="2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G38" i="2"/>
  <c r="BA37" i="2"/>
  <c r="BC12" i="2"/>
  <c r="BF27" i="2"/>
  <c r="BG25" i="2"/>
  <c r="BG22" i="2"/>
  <c r="BG40" i="2" s="1"/>
  <c r="BH19" i="2"/>
  <c r="BJ34" i="2"/>
  <c r="BJ15" i="2"/>
  <c r="AZ28" i="2"/>
  <c r="AZ39" i="2"/>
  <c r="V28" i="2"/>
  <c r="V39" i="2"/>
  <c r="BH38" i="2" l="1"/>
  <c r="BA20" i="2"/>
  <c r="BD12" i="2"/>
  <c r="BC10" i="2"/>
  <c r="BB37" i="2"/>
  <c r="BB18" i="2"/>
  <c r="BA21" i="2"/>
  <c r="BA23" i="2" s="1"/>
  <c r="BH25" i="2"/>
  <c r="BG27" i="2"/>
  <c r="BI19" i="2"/>
  <c r="BH22" i="2"/>
  <c r="BH40" i="2" s="1"/>
  <c r="BK34" i="2"/>
  <c r="BK15" i="2"/>
  <c r="V42" i="2"/>
  <c r="V30" i="2"/>
  <c r="AZ42" i="2"/>
  <c r="AZ30" i="2"/>
  <c r="BI38" i="2" l="1"/>
  <c r="BA41" i="2"/>
  <c r="BA24" i="2"/>
  <c r="BA36" i="2"/>
  <c r="BB21" i="2"/>
  <c r="BB23" i="2" s="1"/>
  <c r="BB20" i="2"/>
  <c r="BC37" i="2"/>
  <c r="BC18" i="2"/>
  <c r="BE12" i="2"/>
  <c r="BD10" i="2"/>
  <c r="BI25" i="2"/>
  <c r="BH27" i="2"/>
  <c r="BJ19" i="2"/>
  <c r="BI22" i="2"/>
  <c r="BI40" i="2" s="1"/>
  <c r="BL34" i="2"/>
  <c r="BL15" i="2"/>
  <c r="BJ38" i="2" l="1"/>
  <c r="BB41" i="2"/>
  <c r="BA28" i="2"/>
  <c r="BA39" i="2"/>
  <c r="BD37" i="2"/>
  <c r="BD18" i="2"/>
  <c r="BF12" i="2"/>
  <c r="BE10" i="2"/>
  <c r="BC21" i="2"/>
  <c r="BC23" i="2" s="1"/>
  <c r="BC20" i="2"/>
  <c r="BB36" i="2"/>
  <c r="BB24" i="2"/>
  <c r="BI27" i="2"/>
  <c r="BJ25" i="2"/>
  <c r="BK19" i="2"/>
  <c r="BJ22" i="2"/>
  <c r="BJ40" i="2" s="1"/>
  <c r="BM34" i="2"/>
  <c r="BM15" i="2"/>
  <c r="AZ31" i="2"/>
  <c r="V43" i="2"/>
  <c r="V32" i="2"/>
  <c r="V33" i="2" s="1"/>
  <c r="BK38" i="2" l="1"/>
  <c r="BB28" i="2"/>
  <c r="BB39" i="2"/>
  <c r="BC41" i="2"/>
  <c r="BA30" i="2"/>
  <c r="BA31" i="2" s="1"/>
  <c r="BA42" i="2"/>
  <c r="BC36" i="2"/>
  <c r="BC24" i="2"/>
  <c r="BG12" i="2"/>
  <c r="BF10" i="2"/>
  <c r="BD21" i="2"/>
  <c r="BD23" i="2" s="1"/>
  <c r="BD20" i="2"/>
  <c r="BE37" i="2"/>
  <c r="BE18" i="2"/>
  <c r="BK25" i="2"/>
  <c r="BJ27" i="2"/>
  <c r="BL19" i="2"/>
  <c r="BK22" i="2"/>
  <c r="BK40" i="2" s="1"/>
  <c r="BN34" i="2"/>
  <c r="BN15" i="2"/>
  <c r="AZ43" i="2"/>
  <c r="AZ32" i="2"/>
  <c r="AZ33" i="2" s="1"/>
  <c r="BL38" i="2" l="1"/>
  <c r="BC28" i="2"/>
  <c r="BC39" i="2"/>
  <c r="BD41" i="2"/>
  <c r="BB30" i="2"/>
  <c r="BB31" i="2" s="1"/>
  <c r="BB42" i="2"/>
  <c r="BA32" i="2"/>
  <c r="BA33" i="2" s="1"/>
  <c r="BA43" i="2"/>
  <c r="BE21" i="2"/>
  <c r="BE23" i="2" s="1"/>
  <c r="BE20" i="2"/>
  <c r="BD24" i="2"/>
  <c r="BD36" i="2"/>
  <c r="BF37" i="2"/>
  <c r="BF18" i="2"/>
  <c r="BH12" i="2"/>
  <c r="BG10" i="2"/>
  <c r="BK27" i="2"/>
  <c r="BL25" i="2"/>
  <c r="BM19" i="2"/>
  <c r="BL22" i="2"/>
  <c r="BL40" i="2" s="1"/>
  <c r="BO34" i="2"/>
  <c r="BO15" i="2"/>
  <c r="BM38" i="2" l="1"/>
  <c r="BD28" i="2"/>
  <c r="BD39" i="2"/>
  <c r="BB32" i="2"/>
  <c r="BB33" i="2" s="1"/>
  <c r="BB43" i="2"/>
  <c r="BC30" i="2"/>
  <c r="BC31" i="2" s="1"/>
  <c r="BC42" i="2"/>
  <c r="BE41" i="2"/>
  <c r="BG37" i="2"/>
  <c r="BG18" i="2"/>
  <c r="BI12" i="2"/>
  <c r="BH10" i="2"/>
  <c r="BF21" i="2"/>
  <c r="BF23" i="2" s="1"/>
  <c r="BF20" i="2"/>
  <c r="BF36" i="2" s="1"/>
  <c r="BE36" i="2"/>
  <c r="BE24" i="2"/>
  <c r="BM25" i="2"/>
  <c r="BL27" i="2"/>
  <c r="BN19" i="2"/>
  <c r="BM22" i="2"/>
  <c r="BM40" i="2" s="1"/>
  <c r="BP34" i="2"/>
  <c r="BP15" i="2"/>
  <c r="BD30" i="2" l="1"/>
  <c r="BD31" i="2" s="1"/>
  <c r="BD42" i="2"/>
  <c r="BF41" i="2"/>
  <c r="BN38" i="2"/>
  <c r="BE28" i="2"/>
  <c r="BE39" i="2"/>
  <c r="BC32" i="2"/>
  <c r="BC33" i="2" s="1"/>
  <c r="BC43" i="2"/>
  <c r="BF24" i="2"/>
  <c r="BH37" i="2"/>
  <c r="BH18" i="2"/>
  <c r="BJ12" i="2"/>
  <c r="BI10" i="2"/>
  <c r="BG21" i="2"/>
  <c r="BG23" i="2" s="1"/>
  <c r="BG20" i="2"/>
  <c r="BM27" i="2"/>
  <c r="BN25" i="2"/>
  <c r="BO19" i="2"/>
  <c r="BN22" i="2"/>
  <c r="BN40" i="2" s="1"/>
  <c r="BQ34" i="2"/>
  <c r="BQ15" i="2"/>
  <c r="BO38" i="2" l="1"/>
  <c r="BE30" i="2"/>
  <c r="BE31" i="2" s="1"/>
  <c r="BE42" i="2"/>
  <c r="BF28" i="2"/>
  <c r="BF39" i="2"/>
  <c r="BD32" i="2"/>
  <c r="BD33" i="2" s="1"/>
  <c r="BD43" i="2"/>
  <c r="BG41" i="2"/>
  <c r="BG24" i="2"/>
  <c r="BG36" i="2"/>
  <c r="BI37" i="2"/>
  <c r="BI18" i="2"/>
  <c r="BK12" i="2"/>
  <c r="BJ10" i="2"/>
  <c r="BH21" i="2"/>
  <c r="BH23" i="2" s="1"/>
  <c r="BH20" i="2"/>
  <c r="BN27" i="2"/>
  <c r="BO25" i="2"/>
  <c r="BP19" i="2"/>
  <c r="BO22" i="2"/>
  <c r="BO40" i="2" s="1"/>
  <c r="BR34" i="2"/>
  <c r="BR15" i="2"/>
  <c r="BP38" i="2" l="1"/>
  <c r="BG28" i="2"/>
  <c r="BG39" i="2"/>
  <c r="BF30" i="2"/>
  <c r="BF31" i="2" s="1"/>
  <c r="BF42" i="2"/>
  <c r="BH41" i="2"/>
  <c r="BE32" i="2"/>
  <c r="BE33" i="2" s="1"/>
  <c r="BE43" i="2"/>
  <c r="BH24" i="2"/>
  <c r="BH36" i="2"/>
  <c r="BJ37" i="2"/>
  <c r="BJ18" i="2"/>
  <c r="BL12" i="2"/>
  <c r="BK10" i="2"/>
  <c r="BI21" i="2"/>
  <c r="BI23" i="2" s="1"/>
  <c r="BI20" i="2"/>
  <c r="BP25" i="2"/>
  <c r="BO27" i="2"/>
  <c r="BQ19" i="2"/>
  <c r="BP22" i="2"/>
  <c r="BP40" i="2" s="1"/>
  <c r="BG30" i="2" l="1"/>
  <c r="BG31" i="2" s="1"/>
  <c r="BG42" i="2"/>
  <c r="BQ38" i="2"/>
  <c r="BF32" i="2"/>
  <c r="BF33" i="2" s="1"/>
  <c r="BF43" i="2"/>
  <c r="BI41" i="2"/>
  <c r="BH28" i="2"/>
  <c r="BH39" i="2"/>
  <c r="BK37" i="2"/>
  <c r="BK18" i="2"/>
  <c r="BI36" i="2"/>
  <c r="BI24" i="2"/>
  <c r="BM12" i="2"/>
  <c r="BL10" i="2"/>
  <c r="BJ21" i="2"/>
  <c r="BJ23" i="2" s="1"/>
  <c r="BJ20" i="2"/>
  <c r="BQ25" i="2"/>
  <c r="BP27" i="2"/>
  <c r="BR19" i="2"/>
  <c r="BQ22" i="2"/>
  <c r="BQ40" i="2" s="1"/>
  <c r="BJ41" i="2" l="1"/>
  <c r="BR38" i="2"/>
  <c r="BI28" i="2"/>
  <c r="BI39" i="2"/>
  <c r="BH30" i="2"/>
  <c r="BH31" i="2" s="1"/>
  <c r="BH42" i="2"/>
  <c r="BG32" i="2"/>
  <c r="BG33" i="2" s="1"/>
  <c r="BG43" i="2"/>
  <c r="BJ24" i="2"/>
  <c r="BJ36" i="2"/>
  <c r="BN12" i="2"/>
  <c r="BM10" i="2"/>
  <c r="BL37" i="2"/>
  <c r="BL18" i="2"/>
  <c r="BK21" i="2"/>
  <c r="BK23" i="2" s="1"/>
  <c r="BK20" i="2"/>
  <c r="BR25" i="2"/>
  <c r="BR27" i="2" s="1"/>
  <c r="BQ27" i="2"/>
  <c r="BR22" i="2"/>
  <c r="BR40" i="2" s="1"/>
  <c r="BJ28" i="2" l="1"/>
  <c r="BJ39" i="2"/>
  <c r="BH32" i="2"/>
  <c r="BH33" i="2" s="1"/>
  <c r="BH43" i="2"/>
  <c r="BI30" i="2"/>
  <c r="BI31" i="2" s="1"/>
  <c r="BI42" i="2"/>
  <c r="BK41" i="2"/>
  <c r="BK36" i="2"/>
  <c r="BK24" i="2"/>
  <c r="BM37" i="2"/>
  <c r="BM18" i="2"/>
  <c r="BO12" i="2"/>
  <c r="BN10" i="2"/>
  <c r="BL21" i="2"/>
  <c r="BL23" i="2" s="1"/>
  <c r="BL20" i="2"/>
  <c r="BK28" i="2" l="1"/>
  <c r="BK39" i="2"/>
  <c r="BI32" i="2"/>
  <c r="BI33" i="2" s="1"/>
  <c r="BI43" i="2"/>
  <c r="BJ30" i="2"/>
  <c r="BJ31" i="2" s="1"/>
  <c r="BJ42" i="2"/>
  <c r="BL41" i="2"/>
  <c r="BL36" i="2"/>
  <c r="BL24" i="2"/>
  <c r="BN37" i="2"/>
  <c r="BN18" i="2"/>
  <c r="BP12" i="2"/>
  <c r="BO10" i="2"/>
  <c r="BM21" i="2"/>
  <c r="BM23" i="2" s="1"/>
  <c r="BM20" i="2"/>
  <c r="BL28" i="2" l="1"/>
  <c r="BL39" i="2"/>
  <c r="BJ32" i="2"/>
  <c r="BJ33" i="2" s="1"/>
  <c r="BJ43" i="2"/>
  <c r="BK30" i="2"/>
  <c r="BK31" i="2" s="1"/>
  <c r="BK42" i="2"/>
  <c r="BM41" i="2"/>
  <c r="BO37" i="2"/>
  <c r="BO18" i="2"/>
  <c r="BM36" i="2"/>
  <c r="BM24" i="2"/>
  <c r="BQ12" i="2"/>
  <c r="BP10" i="2"/>
  <c r="BN21" i="2"/>
  <c r="BN23" i="2" s="1"/>
  <c r="BN20" i="2"/>
  <c r="BM28" i="2" l="1"/>
  <c r="BM39" i="2"/>
  <c r="BK32" i="2"/>
  <c r="BK33" i="2" s="1"/>
  <c r="BK43" i="2"/>
  <c r="BL30" i="2"/>
  <c r="BL31" i="2" s="1"/>
  <c r="BL42" i="2"/>
  <c r="BN41" i="2"/>
  <c r="BN36" i="2"/>
  <c r="BN24" i="2"/>
  <c r="BP37" i="2"/>
  <c r="BP18" i="2"/>
  <c r="BR12" i="2"/>
  <c r="BR10" i="2" s="1"/>
  <c r="BQ10" i="2"/>
  <c r="BO21" i="2"/>
  <c r="BO23" i="2" s="1"/>
  <c r="BO20" i="2"/>
  <c r="BN28" i="2" l="1"/>
  <c r="BN39" i="2"/>
  <c r="BL32" i="2"/>
  <c r="BL33" i="2" s="1"/>
  <c r="BL43" i="2"/>
  <c r="BO41" i="2"/>
  <c r="BM30" i="2"/>
  <c r="BM31" i="2" s="1"/>
  <c r="BM42" i="2"/>
  <c r="BO36" i="2"/>
  <c r="BO24" i="2"/>
  <c r="BQ37" i="2"/>
  <c r="BQ18" i="2"/>
  <c r="BR37" i="2"/>
  <c r="BR18" i="2"/>
  <c r="BP21" i="2"/>
  <c r="BP23" i="2" s="1"/>
  <c r="BP20" i="2"/>
  <c r="BO28" i="2" l="1"/>
  <c r="BO39" i="2"/>
  <c r="BM32" i="2"/>
  <c r="BM33" i="2" s="1"/>
  <c r="BM43" i="2"/>
  <c r="BN30" i="2"/>
  <c r="BN31" i="2" s="1"/>
  <c r="BN42" i="2"/>
  <c r="BP41" i="2"/>
  <c r="BP36" i="2"/>
  <c r="BP24" i="2"/>
  <c r="BQ21" i="2"/>
  <c r="BQ23" i="2" s="1"/>
  <c r="BQ20" i="2"/>
  <c r="BR21" i="2"/>
  <c r="BR23" i="2" s="1"/>
  <c r="BR20" i="2"/>
  <c r="BP28" i="2" l="1"/>
  <c r="BP39" i="2"/>
  <c r="BN32" i="2"/>
  <c r="BN33" i="2" s="1"/>
  <c r="BN43" i="2"/>
  <c r="BO30" i="2"/>
  <c r="BO31" i="2" s="1"/>
  <c r="BO42" i="2"/>
  <c r="BQ41" i="2"/>
  <c r="BR41" i="2"/>
  <c r="BR36" i="2"/>
  <c r="BR24" i="2"/>
  <c r="BQ36" i="2"/>
  <c r="BQ24" i="2"/>
  <c r="BO32" i="2" l="1"/>
  <c r="BO33" i="2" s="1"/>
  <c r="BO43" i="2"/>
  <c r="BQ28" i="2"/>
  <c r="BQ39" i="2"/>
  <c r="BR28" i="2"/>
  <c r="BR39" i="2"/>
  <c r="BP30" i="2"/>
  <c r="BP31" i="2" s="1"/>
  <c r="BP42" i="2"/>
  <c r="BR30" i="2" l="1"/>
  <c r="BR31" i="2" s="1"/>
  <c r="BR42" i="2"/>
  <c r="BP32" i="2"/>
  <c r="BP33" i="2" s="1"/>
  <c r="BP43" i="2"/>
  <c r="BQ30" i="2"/>
  <c r="BQ31" i="2" s="1"/>
  <c r="BQ42" i="2"/>
  <c r="BQ32" i="2" l="1"/>
  <c r="BQ33" i="2" s="1"/>
  <c r="BQ43" i="2"/>
  <c r="BR32" i="2"/>
  <c r="BR43" i="2"/>
  <c r="BR33" i="2" l="1"/>
  <c r="BS32" i="2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BU38" i="2" s="1"/>
  <c r="BU39" i="2" s="1"/>
  <c r="BU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</commentList>
</comments>
</file>

<file path=xl/sharedStrings.xml><?xml version="1.0" encoding="utf-8"?>
<sst xmlns="http://schemas.openxmlformats.org/spreadsheetml/2006/main" count="161" uniqueCount="150">
  <si>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</si>
  <si>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</si>
  <si>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</si>
  <si>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</si>
  <si>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</si>
  <si>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</si>
  <si>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</si>
  <si>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</si>
  <si>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</si>
  <si>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</si>
  <si>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</si>
  <si>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</si>
  <si>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</si>
  <si>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</si>
  <si>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</si>
  <si>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</si>
  <si>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</si>
  <si>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</si>
  <si>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</si>
  <si>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</si>
  <si>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</si>
  <si>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</si>
  <si>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</si>
  <si>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</si>
  <si>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</si>
  <si>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</si>
  <si>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</si>
  <si>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</si>
  <si>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</si>
  <si>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</si>
  <si>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</si>
  <si>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</si>
  <si>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</si>
  <si>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</si>
  <si>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</si>
  <si>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</si>
  <si>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</si>
  <si>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</si>
  <si>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</si>
  <si>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</si>
  <si>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</si>
  <si>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</si>
  <si>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</si>
  <si>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</si>
  <si>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</si>
  <si>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</si>
  <si>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</si>
  <si>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</si>
  <si>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</si>
  <si>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</si>
  <si>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</si>
  <si>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</si>
  <si>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</si>
  <si>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</si>
  <si>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</si>
  <si>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</si>
  <si>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</si>
  <si>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</si>
  <si>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</si>
  <si>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</si>
  <si>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</si>
  <si>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</si>
  <si>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</si>
  <si>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</si>
  <si>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</si>
  <si>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</si>
  <si>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</si>
  <si>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</si>
  <si>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</si>
  <si>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</si>
  <si>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</si>
  <si>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</si>
  <si>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</si>
  <si>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</si>
  <si>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</si>
  <si>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</si>
  <si>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</si>
  <si>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</si>
  <si>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</si>
  <si>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</si>
  <si>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</si>
  <si>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</si>
  <si>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</si>
  <si>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</si>
  <si>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</si>
  <si>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</si>
  <si>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</si>
  <si>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</si>
  <si>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</si>
  <si>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</si>
  <si>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</si>
  <si>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</si>
  <si>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</si>
  <si>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</si>
  <si>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</si>
  <si>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</si>
  <si>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</si>
  <si>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</si>
  <si>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</si>
  <si>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</si>
  <si>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</si>
  <si>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</si>
  <si>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</si>
  <si>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</si>
  <si>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</si>
  <si>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</si>
  <si>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</si>
  <si>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</si>
  <si>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</si>
  <si>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</si>
  <si>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</si>
  <si>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</si>
  <si>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</si>
  <si>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</si>
  <si>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</si>
  <si>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</si>
  <si>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</si>
  <si>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</si>
  <si>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</si>
  <si>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</si>
  <si>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</si>
  <si>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</si>
  <si>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</si>
  <si>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</si>
  <si>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</si>
  <si>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</si>
  <si>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</si>
  <si>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</si>
  <si>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</si>
  <si>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Q123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</si>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</sst>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27705</xdr:colOff>
      <xdr:row>0</xdr:row>
      <xdr:rowOff>0</xdr:rowOff>
    </xdr:from>
    <xdr:to>
      <xdr:col>24</xdr:col>
      <xdr:colOff>27705</xdr:colOff>
      <xdr:row>106</xdr:row>
      <xdr:rowOff>59120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4860429" y="0"/>
          <a:ext cx="0" cy="16481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54974</xdr:colOff>
      <xdr:row>0</xdr:row>
      <xdr:rowOff>0</xdr:rowOff>
    </xdr:from>
    <xdr:to>
      <xdr:col>52</xdr:col>
      <xdr:colOff>54974</xdr:colOff>
      <xdr:row>46</xdr:row>
      <xdr:rowOff>44585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22093443" y="0"/>
          <a:ext cx="0" cy="63132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7"/>
  <sheetViews>
    <sheetView zoomScale="160" zoomScaleNormal="160" workbookViewId="0">
      <selection activeCell="P4" sqref="P4"/>
    </sheetView>
  </sheetViews>
  <sheetFormatPr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160</v>
      </c>
    </row>
    <row r="3" spans="14:16" x14ac:dyDescent="0.2">
      <c r="N3" t="s">
        <v>1</v>
      </c>
      <c r="O3" s="2">
        <v>15847</v>
      </c>
      <c r="P3" s="1" t="s">
        <v>129</v>
      </c>
    </row>
    <row r="4" spans="14:16" x14ac:dyDescent="0.2">
      <c r="N4" t="s">
        <v>2</v>
      </c>
      <c r="O4" s="2">
        <f>+O2*O3</f>
        <v>2535520</v>
      </c>
    </row>
    <row r="5" spans="14:16" x14ac:dyDescent="0.2">
      <c r="N5" t="s">
        <v>3</v>
      </c>
      <c r="O5" s="2">
        <v>166333</v>
      </c>
      <c r="P5" s="1" t="s">
        <v>129</v>
      </c>
    </row>
    <row r="6" spans="14:16" x14ac:dyDescent="0.2">
      <c r="N6" t="s">
        <v>4</v>
      </c>
      <c r="O6" s="2">
        <v>109615</v>
      </c>
      <c r="P6" s="1" t="s">
        <v>129</v>
      </c>
    </row>
    <row r="7" spans="14:16" x14ac:dyDescent="0.2">
      <c r="N7" t="s">
        <v>5</v>
      </c>
      <c r="O7" s="2">
        <f>+O4-O5+O6</f>
        <v>2478802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FZ85"/>
  <sheetViews>
    <sheetView tabSelected="1" zoomScale="145" zoomScaleNormal="145" workbookViewId="0">
      <pane xSplit="2" ySplit="3" topLeftCell="R4" activePane="bottomRight" state="frozen"/>
      <selection pane="topRight" activeCell="C1" sqref="C1"/>
      <selection pane="bottomLeft" activeCell="A3" sqref="A3"/>
      <selection pane="bottomRight" activeCell="AC14" sqref="AC14"/>
    </sheetView>
  </sheetViews>
  <sheetFormatPr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53" max="53" width="9.85546875" bestFit="1" customWidth="1"/>
    <col min="70" max="70" width="9.5703125" customWidth="1"/>
    <col min="73" max="73" width="10.85546875" customWidth="1"/>
  </cols>
  <sheetData>
    <row r="1" spans="1:70" x14ac:dyDescent="0.2">
      <c r="A1" s="3" t="s">
        <v>6</v>
      </c>
    </row>
    <row r="2" spans="1:7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Y2" s="11">
        <v>44464</v>
      </c>
      <c r="AZ2" s="11">
        <v>44828</v>
      </c>
      <c r="BA2" s="11">
        <f>Z2</f>
        <v>45199</v>
      </c>
      <c r="BB2" s="11">
        <f>BA2+366</f>
        <v>45565</v>
      </c>
      <c r="BC2" s="11">
        <f>BB2+365</f>
        <v>45930</v>
      </c>
      <c r="BD2" s="11">
        <f>BC2+365</f>
        <v>46295</v>
      </c>
      <c r="BE2" s="11">
        <f>BD2+365</f>
        <v>46660</v>
      </c>
      <c r="BF2" s="11">
        <f>BE2+366</f>
        <v>47026</v>
      </c>
      <c r="BG2" s="11">
        <f>BF2+365</f>
        <v>47391</v>
      </c>
      <c r="BH2" s="11">
        <f>BG2+365</f>
        <v>47756</v>
      </c>
      <c r="BI2" s="11">
        <f>BH2+365</f>
        <v>48121</v>
      </c>
      <c r="BJ2" s="11">
        <f>BI2+366</f>
        <v>48487</v>
      </c>
      <c r="BK2" s="11">
        <f>BJ2+365</f>
        <v>48852</v>
      </c>
      <c r="BL2" s="11">
        <f>BK2+365</f>
        <v>49217</v>
      </c>
      <c r="BM2" s="11">
        <f>BL2+365</f>
        <v>49582</v>
      </c>
      <c r="BN2" s="11">
        <f>BM2+366</f>
        <v>49948</v>
      </c>
      <c r="BO2" s="11">
        <f>BN2+365</f>
        <v>50313</v>
      </c>
      <c r="BP2" s="11">
        <f>BO2+365</f>
        <v>50678</v>
      </c>
      <c r="BQ2" s="11">
        <f>BP2+365</f>
        <v>51043</v>
      </c>
      <c r="BR2" s="11">
        <f>BQ2+366</f>
        <v>51409</v>
      </c>
    </row>
    <row r="3" spans="1:70" s="1" customFormat="1" x14ac:dyDescent="0.2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B3" s="1" t="s">
        <v>114</v>
      </c>
      <c r="AC3" s="1" t="s">
        <v>113</v>
      </c>
      <c r="AD3" s="1" t="s">
        <v>112</v>
      </c>
      <c r="AE3" s="1" t="s">
        <v>111</v>
      </c>
      <c r="AF3" s="1" t="s">
        <v>110</v>
      </c>
      <c r="AG3" s="1" t="s">
        <v>108</v>
      </c>
      <c r="AH3" s="1" t="s">
        <v>107</v>
      </c>
      <c r="AI3" s="1" t="s">
        <v>106</v>
      </c>
      <c r="AJ3" s="1" t="s">
        <v>105</v>
      </c>
      <c r="AK3" s="1" t="s">
        <v>104</v>
      </c>
      <c r="AL3" s="1" t="s">
        <v>102</v>
      </c>
      <c r="AM3" s="1" t="s">
        <v>103</v>
      </c>
      <c r="AN3" s="1" t="s">
        <v>101</v>
      </c>
      <c r="AO3" s="1" t="s">
        <v>100</v>
      </c>
      <c r="AP3" s="1" t="s">
        <v>99</v>
      </c>
      <c r="AQ3" s="1" t="s">
        <v>98</v>
      </c>
      <c r="AR3" s="1" t="s">
        <v>92</v>
      </c>
      <c r="AS3" s="1" t="s">
        <v>91</v>
      </c>
      <c r="AT3" s="1" t="s">
        <v>90</v>
      </c>
      <c r="AU3" s="1" t="s">
        <v>89</v>
      </c>
      <c r="AV3" s="1" t="s">
        <v>75</v>
      </c>
      <c r="AW3" s="1" t="s">
        <v>71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</row>
    <row r="4" spans="1:70" s="1" customFormat="1" x14ac:dyDescent="0.2">
      <c r="B4" s="17" t="s">
        <v>145</v>
      </c>
      <c r="T4" s="7">
        <v>40882</v>
      </c>
      <c r="U4" s="7"/>
      <c r="V4" s="7"/>
      <c r="W4" s="7"/>
      <c r="X4" s="7">
        <v>37784</v>
      </c>
    </row>
    <row r="5" spans="1:70" s="1" customFormat="1" x14ac:dyDescent="0.2">
      <c r="B5" s="17" t="s">
        <v>146</v>
      </c>
      <c r="T5" s="7">
        <v>23287</v>
      </c>
      <c r="U5" s="7"/>
      <c r="V5" s="7"/>
      <c r="W5" s="7"/>
      <c r="X5" s="7">
        <v>23945</v>
      </c>
    </row>
    <row r="6" spans="1:70" s="1" customFormat="1" x14ac:dyDescent="0.2">
      <c r="B6" s="17" t="s">
        <v>147</v>
      </c>
      <c r="T6" s="7">
        <v>18343</v>
      </c>
      <c r="U6" s="7"/>
      <c r="V6" s="7"/>
      <c r="W6" s="7"/>
      <c r="X6" s="7">
        <v>17812</v>
      </c>
    </row>
    <row r="7" spans="1:70" s="1" customFormat="1" x14ac:dyDescent="0.2">
      <c r="B7" s="17" t="s">
        <v>148</v>
      </c>
      <c r="T7" s="7">
        <v>7724</v>
      </c>
      <c r="U7" s="7"/>
      <c r="V7" s="7"/>
      <c r="W7" s="7"/>
      <c r="X7" s="7">
        <v>7176</v>
      </c>
    </row>
    <row r="8" spans="1:70" s="1" customFormat="1" x14ac:dyDescent="0.2">
      <c r="B8" s="17" t="s">
        <v>149</v>
      </c>
      <c r="T8" s="7">
        <v>7042</v>
      </c>
      <c r="U8" s="7"/>
      <c r="V8" s="7"/>
      <c r="W8" s="7"/>
      <c r="X8" s="7">
        <v>8119</v>
      </c>
    </row>
    <row r="9" spans="1:70" s="1" customFormat="1" x14ac:dyDescent="0.2"/>
    <row r="10" spans="1:70" s="7" customFormat="1" x14ac:dyDescent="0.2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123</v>
      </c>
      <c r="AL10" s="7">
        <v>6742</v>
      </c>
      <c r="AM10" s="7">
        <v>13033</v>
      </c>
      <c r="AN10" s="7">
        <v>25179</v>
      </c>
      <c r="AO10" s="7">
        <v>45998</v>
      </c>
      <c r="AP10" s="7">
        <v>78692</v>
      </c>
      <c r="AQ10" s="7">
        <v>91279</v>
      </c>
      <c r="AR10" s="7">
        <v>101991</v>
      </c>
      <c r="AS10" s="7">
        <v>155041</v>
      </c>
      <c r="AT10" s="7">
        <v>136700</v>
      </c>
      <c r="AU10" s="7">
        <v>141319</v>
      </c>
      <c r="AV10" s="7">
        <v>164888</v>
      </c>
      <c r="AW10" s="7">
        <v>142381</v>
      </c>
      <c r="AX10" s="7">
        <f>SUM(K10:N10)</f>
        <v>137781</v>
      </c>
      <c r="AY10" s="7">
        <f>SUM(O10:R10)</f>
        <v>191973</v>
      </c>
      <c r="AZ10" s="7">
        <f>SUM(S10:V10)</f>
        <v>205489</v>
      </c>
      <c r="BA10" s="7">
        <f>+BA11*BA12/1000</f>
        <v>209619.32889999999</v>
      </c>
      <c r="BB10" s="7">
        <f>+BB11*BB12/1000</f>
        <v>213832.67741089</v>
      </c>
      <c r="BC10" s="7">
        <f t="shared" ref="BC10:BR10" si="0">+BC11*BC12/1000</f>
        <v>228116.70026193751</v>
      </c>
      <c r="BD10" s="7">
        <f t="shared" si="0"/>
        <v>241037.23016477365</v>
      </c>
      <c r="BE10" s="7">
        <f t="shared" si="0"/>
        <v>254689.57888130643</v>
      </c>
      <c r="BF10" s="7">
        <f t="shared" si="0"/>
        <v>269115.19662914367</v>
      </c>
      <c r="BG10" s="7">
        <f t="shared" si="0"/>
        <v>284357.88136621832</v>
      </c>
      <c r="BH10" s="7">
        <f t="shared" si="0"/>
        <v>297574.83569212013</v>
      </c>
      <c r="BI10" s="7">
        <f t="shared" si="0"/>
        <v>311406.11405508994</v>
      </c>
      <c r="BJ10" s="7">
        <f t="shared" si="0"/>
        <v>325880.2702363705</v>
      </c>
      <c r="BK10" s="7">
        <f t="shared" si="0"/>
        <v>341027.18519695703</v>
      </c>
      <c r="BL10" s="7">
        <f t="shared" si="0"/>
        <v>353413.29256331059</v>
      </c>
      <c r="BM10" s="7">
        <f t="shared" si="0"/>
        <v>366249.26334921003</v>
      </c>
      <c r="BN10" s="7">
        <f t="shared" si="0"/>
        <v>379551.43659405335</v>
      </c>
      <c r="BO10" s="7">
        <f t="shared" si="0"/>
        <v>393336.74477114936</v>
      </c>
      <c r="BP10" s="7">
        <f t="shared" si="0"/>
        <v>407622.73534123757</v>
      </c>
      <c r="BQ10" s="7">
        <f t="shared" si="0"/>
        <v>422427.59308883129</v>
      </c>
      <c r="BR10" s="7">
        <f t="shared" si="0"/>
        <v>437770.16326981765</v>
      </c>
    </row>
    <row r="11" spans="1:70" s="7" customFormat="1" x14ac:dyDescent="0.2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M11" s="7">
        <v>20731</v>
      </c>
      <c r="AN11" s="7">
        <v>39989</v>
      </c>
      <c r="AO11" s="7">
        <v>72293</v>
      </c>
      <c r="AP11" s="7">
        <v>125046</v>
      </c>
      <c r="AQ11" s="7">
        <v>150257</v>
      </c>
      <c r="AR11" s="7">
        <v>169219</v>
      </c>
      <c r="AS11" s="7">
        <v>231218</v>
      </c>
      <c r="AT11" s="7">
        <v>211884</v>
      </c>
      <c r="AU11" s="7">
        <v>216756</v>
      </c>
      <c r="AV11" s="7">
        <f>SUM(C11:F11)</f>
        <v>217722</v>
      </c>
      <c r="AW11" s="7">
        <f>SUM(G11:J11)</f>
        <v>185200</v>
      </c>
      <c r="AX11" s="7">
        <f>SUM(K11:N11)</f>
        <v>189800</v>
      </c>
      <c r="AY11" s="7">
        <f>SUM(O11:R11)</f>
        <v>239900</v>
      </c>
      <c r="AZ11" s="7">
        <f>SUM(S11:V11)</f>
        <v>183860.11769377955</v>
      </c>
      <c r="BA11" s="7">
        <f>+AZ11*1.01</f>
        <v>185698.71887071736</v>
      </c>
      <c r="BB11" s="7">
        <f>+BA11*1.01</f>
        <v>187555.70605942453</v>
      </c>
      <c r="BC11" s="7">
        <f t="shared" ref="BC11:BR11" si="1">+BB11*1.016</f>
        <v>190556.59735637534</v>
      </c>
      <c r="BD11" s="7">
        <f t="shared" si="1"/>
        <v>193605.50291407734</v>
      </c>
      <c r="BE11" s="7">
        <f t="shared" si="1"/>
        <v>196703.19096070257</v>
      </c>
      <c r="BF11" s="7">
        <f t="shared" si="1"/>
        <v>199850.44201607382</v>
      </c>
      <c r="BG11" s="7">
        <f t="shared" si="1"/>
        <v>203048.049088331</v>
      </c>
      <c r="BH11" s="7">
        <f t="shared" si="1"/>
        <v>206296.81787374429</v>
      </c>
      <c r="BI11" s="7">
        <f t="shared" si="1"/>
        <v>209597.56695972421</v>
      </c>
      <c r="BJ11" s="7">
        <f t="shared" si="1"/>
        <v>212951.1280310798</v>
      </c>
      <c r="BK11" s="7">
        <f t="shared" si="1"/>
        <v>216358.34607957708</v>
      </c>
      <c r="BL11" s="7">
        <f t="shared" si="1"/>
        <v>219820.07961685033</v>
      </c>
      <c r="BM11" s="7">
        <f t="shared" si="1"/>
        <v>223337.20089071995</v>
      </c>
      <c r="BN11" s="7">
        <f t="shared" si="1"/>
        <v>226910.59610497148</v>
      </c>
      <c r="BO11" s="7">
        <f t="shared" si="1"/>
        <v>230541.16564265103</v>
      </c>
      <c r="BP11" s="7">
        <f t="shared" si="1"/>
        <v>234229.82429293345</v>
      </c>
      <c r="BQ11" s="7">
        <f t="shared" si="1"/>
        <v>237977.50148162039</v>
      </c>
      <c r="BR11" s="7">
        <f t="shared" si="1"/>
        <v>241785.14150532632</v>
      </c>
    </row>
    <row r="12" spans="1:70" s="7" customFormat="1" x14ac:dyDescent="0.2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2">+K10*1000/K11</f>
        <v>758.22493224932248</v>
      </c>
      <c r="L12" s="7">
        <f t="shared" si="2"/>
        <v>789.15531335149865</v>
      </c>
      <c r="M12" s="7">
        <f t="shared" si="2"/>
        <v>702.60638297872345</v>
      </c>
      <c r="N12" s="7">
        <f t="shared" si="2"/>
        <v>634.14868105515586</v>
      </c>
      <c r="O12" s="7">
        <f t="shared" si="2"/>
        <v>728.04661487236399</v>
      </c>
      <c r="P12" s="7">
        <f t="shared" si="2"/>
        <v>868.44202898550725</v>
      </c>
      <c r="Q12" s="7">
        <f t="shared" si="2"/>
        <v>895.24886877828055</v>
      </c>
      <c r="R12" s="7">
        <f t="shared" si="2"/>
        <v>771.19047619047615</v>
      </c>
      <c r="S12" s="7">
        <f t="shared" si="2"/>
        <v>851.70035671819267</v>
      </c>
      <c r="T12" s="7">
        <f t="shared" si="2"/>
        <v>895.04424778761063</v>
      </c>
      <c r="U12" s="14">
        <f>+Q12*1.05</f>
        <v>940.01131221719459</v>
      </c>
      <c r="V12" s="14"/>
      <c r="AM12" s="7">
        <f>+AM10*1000/AM11</f>
        <v>628.67203704596977</v>
      </c>
      <c r="AN12" s="7">
        <f>+AN10*1000/AN11</f>
        <v>629.64815324214157</v>
      </c>
      <c r="AO12" s="7">
        <f>+AO10*1000/AO11</f>
        <v>636.27183821393498</v>
      </c>
      <c r="AP12" s="7">
        <f>+AP10*1000/AP11</f>
        <v>629.3044159749212</v>
      </c>
      <c r="AQ12" s="7">
        <f t="shared" ref="AQ12:AU12" si="3">+AQ10*1000/AQ11</f>
        <v>607.48584092588032</v>
      </c>
      <c r="AR12" s="7">
        <f t="shared" si="3"/>
        <v>602.71600706776428</v>
      </c>
      <c r="AS12" s="7">
        <f t="shared" si="3"/>
        <v>670.54035585464794</v>
      </c>
      <c r="AT12" s="7">
        <f t="shared" si="3"/>
        <v>645.16433520228054</v>
      </c>
      <c r="AU12" s="7">
        <f t="shared" si="3"/>
        <v>651.97272509180834</v>
      </c>
      <c r="AV12" s="7">
        <f>+AV10*1000/AV11</f>
        <v>757.33274542765548</v>
      </c>
      <c r="AW12" s="7">
        <f>+AW10*1000/AW11</f>
        <v>768.79589632829379</v>
      </c>
      <c r="AX12" s="7">
        <f>+AX10*1000/AX11</f>
        <v>725.92729188619603</v>
      </c>
      <c r="AY12" s="7">
        <f>+AY10*1000/AY11</f>
        <v>800.22092538557729</v>
      </c>
      <c r="AZ12" s="7">
        <f>+AZ10*1000/AZ11</f>
        <v>1117.6377051071158</v>
      </c>
      <c r="BA12" s="7">
        <f>+AZ12*1.01</f>
        <v>1128.8140821581869</v>
      </c>
      <c r="BB12" s="7">
        <f>+BA12*1.01</f>
        <v>1140.1022229797688</v>
      </c>
      <c r="BC12" s="7">
        <f t="shared" ref="BC12" si="4">+BB12*1.05</f>
        <v>1197.1073341287574</v>
      </c>
      <c r="BD12" s="7">
        <f>+BC12*1.04</f>
        <v>1244.9916274939078</v>
      </c>
      <c r="BE12" s="7">
        <f>+BD12*1.04</f>
        <v>1294.7912925936641</v>
      </c>
      <c r="BF12" s="7">
        <f>+BE12*1.04</f>
        <v>1346.5829442974107</v>
      </c>
      <c r="BG12" s="7">
        <f>+BF12*1.04</f>
        <v>1400.4462620693071</v>
      </c>
      <c r="BH12" s="7">
        <f>+BG12*1.03</f>
        <v>1442.4596499313864</v>
      </c>
      <c r="BI12" s="7">
        <f>+BH12*1.03</f>
        <v>1485.733439429328</v>
      </c>
      <c r="BJ12" s="7">
        <f t="shared" ref="BJ12:BK12" si="5">+BI12*1.03</f>
        <v>1530.3054426122078</v>
      </c>
      <c r="BK12" s="7">
        <f t="shared" si="5"/>
        <v>1576.2146058905741</v>
      </c>
      <c r="BL12" s="7">
        <f>+BK12*1.02</f>
        <v>1607.7388980083856</v>
      </c>
      <c r="BM12" s="7">
        <f t="shared" ref="BM12:BR12" si="6">+BL12*1.02</f>
        <v>1639.8936759685535</v>
      </c>
      <c r="BN12" s="7">
        <f t="shared" si="6"/>
        <v>1672.6915494879245</v>
      </c>
      <c r="BO12" s="7">
        <f t="shared" si="6"/>
        <v>1706.1453804776829</v>
      </c>
      <c r="BP12" s="7">
        <f t="shared" si="6"/>
        <v>1740.2682880872367</v>
      </c>
      <c r="BQ12" s="7">
        <f t="shared" si="6"/>
        <v>1775.0736538489814</v>
      </c>
      <c r="BR12" s="7">
        <f t="shared" si="6"/>
        <v>1810.5751269259611</v>
      </c>
    </row>
    <row r="13" spans="1:70" s="7" customFormat="1" x14ac:dyDescent="0.2">
      <c r="B13" s="2"/>
    </row>
    <row r="14" spans="1:70" s="7" customFormat="1" x14ac:dyDescent="0.2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AD14" s="7">
        <f>2747+948+2381</f>
        <v>6076</v>
      </c>
      <c r="AE14" s="7">
        <v>4403</v>
      </c>
      <c r="AF14" s="7">
        <v>4534</v>
      </c>
      <c r="AG14" s="7">
        <v>4491</v>
      </c>
      <c r="AH14" s="7">
        <v>4923</v>
      </c>
      <c r="AI14" s="7">
        <v>6275</v>
      </c>
      <c r="AJ14" s="7">
        <v>7375</v>
      </c>
      <c r="AK14" s="7">
        <v>10314</v>
      </c>
      <c r="AL14" s="7">
        <v>14354</v>
      </c>
      <c r="AM14" s="7">
        <v>13859</v>
      </c>
      <c r="AN14" s="7">
        <v>17479</v>
      </c>
      <c r="AO14" s="7">
        <v>21783</v>
      </c>
      <c r="AP14" s="7">
        <v>23221</v>
      </c>
      <c r="AQ14" s="7">
        <v>21483</v>
      </c>
      <c r="AR14" s="7">
        <v>24079</v>
      </c>
      <c r="AS14" s="7">
        <v>25471</v>
      </c>
      <c r="AT14" s="7">
        <v>22831</v>
      </c>
      <c r="AU14" s="7">
        <v>25850</v>
      </c>
      <c r="AV14" s="7">
        <v>25198</v>
      </c>
      <c r="AW14" s="7">
        <v>25740</v>
      </c>
      <c r="AX14" s="7">
        <f t="shared" ref="AX14:AX15" si="7">SUM(K14:N14)</f>
        <v>28622</v>
      </c>
      <c r="AY14" s="7">
        <f t="shared" ref="AY14:AY15" si="8">SUM(O14:R14)</f>
        <v>35190</v>
      </c>
      <c r="AZ14" s="7">
        <f>SUM(S14:V14)</f>
        <v>40177</v>
      </c>
      <c r="BA14" s="7">
        <f t="shared" ref="BA14:BB16" si="9">+AZ14*1.03</f>
        <v>41382.31</v>
      </c>
      <c r="BB14" s="7">
        <f t="shared" si="9"/>
        <v>42623.779300000002</v>
      </c>
      <c r="BC14" s="7">
        <f t="shared" ref="BC14:BG14" si="10">+BB14*1.07</f>
        <v>45607.443851000004</v>
      </c>
      <c r="BD14" s="7">
        <f t="shared" si="10"/>
        <v>48799.964920570004</v>
      </c>
      <c r="BE14" s="7">
        <f t="shared" si="10"/>
        <v>52215.962465009907</v>
      </c>
      <c r="BF14" s="7">
        <f t="shared" si="10"/>
        <v>55871.079837560603</v>
      </c>
      <c r="BG14" s="7">
        <f t="shared" si="10"/>
        <v>59782.055426189851</v>
      </c>
      <c r="BH14" s="7">
        <f>+BG14*1.06</f>
        <v>63368.978751761242</v>
      </c>
      <c r="BI14" s="7">
        <f t="shared" ref="BI14:BL14" si="11">+BH14*1.06</f>
        <v>67171.117476866915</v>
      </c>
      <c r="BJ14" s="7">
        <f t="shared" si="11"/>
        <v>71201.384525478934</v>
      </c>
      <c r="BK14" s="7">
        <f t="shared" si="11"/>
        <v>75473.467597007679</v>
      </c>
      <c r="BL14" s="7">
        <f t="shared" si="11"/>
        <v>80001.875652828137</v>
      </c>
      <c r="BM14" s="7">
        <f>+BL14*1.05</f>
        <v>84001.969435469553</v>
      </c>
      <c r="BN14" s="7">
        <f t="shared" ref="BN14:BR14" si="12">+BM14*1.05</f>
        <v>88202.067907243036</v>
      </c>
      <c r="BO14" s="7">
        <f t="shared" si="12"/>
        <v>92612.171302605188</v>
      </c>
      <c r="BP14" s="7">
        <f t="shared" si="12"/>
        <v>97242.779867735444</v>
      </c>
      <c r="BQ14" s="7">
        <f t="shared" si="12"/>
        <v>102104.91886112222</v>
      </c>
      <c r="BR14" s="7">
        <f t="shared" si="12"/>
        <v>107210.16480417833</v>
      </c>
    </row>
    <row r="15" spans="1:70" s="7" customFormat="1" x14ac:dyDescent="0.2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4958</v>
      </c>
      <c r="AO15" s="7">
        <v>19168</v>
      </c>
      <c r="AP15" s="7">
        <v>30945</v>
      </c>
      <c r="AQ15" s="7">
        <v>31980</v>
      </c>
      <c r="AR15" s="7">
        <v>30283</v>
      </c>
      <c r="AS15" s="7">
        <v>23227</v>
      </c>
      <c r="AT15" s="7">
        <v>20628</v>
      </c>
      <c r="AU15" s="7">
        <v>19222</v>
      </c>
      <c r="AV15" s="7">
        <v>18380</v>
      </c>
      <c r="AW15" s="7">
        <v>21280</v>
      </c>
      <c r="AX15" s="7">
        <f t="shared" si="7"/>
        <v>23724</v>
      </c>
      <c r="AY15" s="7">
        <f t="shared" si="8"/>
        <v>31862</v>
      </c>
      <c r="AZ15" s="7">
        <f>SUM(S15:V15)</f>
        <v>29292</v>
      </c>
      <c r="BA15" s="7">
        <f t="shared" si="9"/>
        <v>30170.760000000002</v>
      </c>
      <c r="BB15" s="7">
        <f t="shared" si="9"/>
        <v>31075.882800000003</v>
      </c>
      <c r="BC15" s="7">
        <f t="shared" ref="BC15:BR15" si="13">+BB15*1.04</f>
        <v>32318.918112000003</v>
      </c>
      <c r="BD15" s="7">
        <f t="shared" si="13"/>
        <v>33611.674836480008</v>
      </c>
      <c r="BE15" s="7">
        <f t="shared" si="13"/>
        <v>34956.14182993921</v>
      </c>
      <c r="BF15" s="7">
        <f t="shared" si="13"/>
        <v>36354.387503136779</v>
      </c>
      <c r="BG15" s="7">
        <f t="shared" si="13"/>
        <v>37808.56300326225</v>
      </c>
      <c r="BH15" s="7">
        <f t="shared" si="13"/>
        <v>39320.905523392743</v>
      </c>
      <c r="BI15" s="7">
        <f t="shared" si="13"/>
        <v>40893.741744328458</v>
      </c>
      <c r="BJ15" s="7">
        <f t="shared" si="13"/>
        <v>42529.491414101598</v>
      </c>
      <c r="BK15" s="7">
        <f t="shared" si="13"/>
        <v>44230.671070665667</v>
      </c>
      <c r="BL15" s="7">
        <f t="shared" si="13"/>
        <v>45999.897913492292</v>
      </c>
      <c r="BM15" s="7">
        <f t="shared" si="13"/>
        <v>47839.893830031986</v>
      </c>
      <c r="BN15" s="7">
        <f t="shared" si="13"/>
        <v>49753.48958323327</v>
      </c>
      <c r="BO15" s="7">
        <f t="shared" si="13"/>
        <v>51743.629166562605</v>
      </c>
      <c r="BP15" s="7">
        <f t="shared" si="13"/>
        <v>53813.374333225111</v>
      </c>
      <c r="BQ15" s="7">
        <f t="shared" si="13"/>
        <v>55965.909306554116</v>
      </c>
      <c r="BR15" s="7">
        <f t="shared" si="13"/>
        <v>58204.545678816285</v>
      </c>
    </row>
    <row r="16" spans="1:70" s="7" customFormat="1" x14ac:dyDescent="0.2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AD16" s="7">
        <v>809</v>
      </c>
      <c r="AE16" s="7">
        <v>387</v>
      </c>
      <c r="AF16" s="7">
        <f>143+4+527</f>
        <v>674</v>
      </c>
      <c r="AG16" s="7">
        <f>345+691</f>
        <v>1036</v>
      </c>
      <c r="AH16" s="7">
        <f>1306+951</f>
        <v>2257</v>
      </c>
      <c r="AI16" s="7">
        <f>4540+1126</f>
        <v>5666</v>
      </c>
      <c r="AJ16" s="7">
        <f>7676+1100</f>
        <v>8776</v>
      </c>
      <c r="AK16" s="7">
        <f>8305+1260</f>
        <v>9565</v>
      </c>
      <c r="AL16" s="7">
        <f>9153+1694</f>
        <v>10847</v>
      </c>
      <c r="AM16" s="7">
        <f>1475+8091</f>
        <v>9566</v>
      </c>
      <c r="AN16" s="7">
        <f>1814+8274</f>
        <v>10088</v>
      </c>
      <c r="AO16" s="7">
        <f>7453+4474</f>
        <v>11927</v>
      </c>
      <c r="AP16" s="7">
        <f>5145+5615</f>
        <v>10760</v>
      </c>
      <c r="AQ16" s="7">
        <f>4411+5706</f>
        <v>10117</v>
      </c>
      <c r="AR16" s="7">
        <f>6093+2286</f>
        <v>8379</v>
      </c>
      <c r="AS16" s="7">
        <v>10067</v>
      </c>
      <c r="AT16" s="7">
        <v>11132</v>
      </c>
      <c r="AU16" s="7">
        <v>12863</v>
      </c>
      <c r="AV16" s="7">
        <v>17381</v>
      </c>
      <c r="AW16" s="7">
        <v>24482</v>
      </c>
      <c r="AX16" s="7">
        <f t="shared" ref="AX16" si="14">SUM(K16:N16)</f>
        <v>30620</v>
      </c>
      <c r="AY16" s="7">
        <f t="shared" ref="AY16" si="15">SUM(O16:R16)</f>
        <v>38367</v>
      </c>
      <c r="AZ16" s="7">
        <f>SUM(S16:V16)</f>
        <v>41241</v>
      </c>
      <c r="BA16" s="7">
        <f t="shared" si="9"/>
        <v>42478.23</v>
      </c>
      <c r="BB16" s="7">
        <f t="shared" si="9"/>
        <v>43752.576900000007</v>
      </c>
      <c r="BC16" s="7">
        <f t="shared" ref="BC16:BR16" si="16">+BB16*1.04</f>
        <v>45502.679976000007</v>
      </c>
      <c r="BD16" s="7">
        <f t="shared" si="16"/>
        <v>47322.787175040008</v>
      </c>
      <c r="BE16" s="7">
        <f t="shared" si="16"/>
        <v>49215.698662041614</v>
      </c>
      <c r="BF16" s="7">
        <f t="shared" si="16"/>
        <v>51184.326608523283</v>
      </c>
      <c r="BG16" s="7">
        <f t="shared" si="16"/>
        <v>53231.699672864219</v>
      </c>
      <c r="BH16" s="7">
        <f t="shared" si="16"/>
        <v>55360.967659778791</v>
      </c>
      <c r="BI16" s="7">
        <f t="shared" si="16"/>
        <v>57575.406366169947</v>
      </c>
      <c r="BJ16" s="7">
        <f t="shared" si="16"/>
        <v>59878.422620816746</v>
      </c>
      <c r="BK16" s="7">
        <f t="shared" si="16"/>
        <v>62273.55952564942</v>
      </c>
      <c r="BL16" s="7">
        <f t="shared" si="16"/>
        <v>64764.501906675396</v>
      </c>
      <c r="BM16" s="7">
        <f t="shared" si="16"/>
        <v>67355.081982942414</v>
      </c>
      <c r="BN16" s="7">
        <f t="shared" si="16"/>
        <v>70049.28526226012</v>
      </c>
      <c r="BO16" s="7">
        <f t="shared" si="16"/>
        <v>72851.256672750533</v>
      </c>
      <c r="BP16" s="7">
        <f t="shared" si="16"/>
        <v>75765.306939660557</v>
      </c>
      <c r="BQ16" s="7">
        <f t="shared" si="16"/>
        <v>78795.919217246977</v>
      </c>
      <c r="BR16" s="7">
        <f t="shared" si="16"/>
        <v>81947.755985936863</v>
      </c>
    </row>
    <row r="17" spans="2:182" s="7" customFormat="1" x14ac:dyDescent="0.2">
      <c r="B17" s="2"/>
    </row>
    <row r="18" spans="2:182" s="2" customFormat="1" x14ac:dyDescent="0.2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f>U18*0.97</f>
        <v>61454.35</v>
      </c>
      <c r="Z18" s="2">
        <f>V18*1.01</f>
        <v>71667.58</v>
      </c>
      <c r="AD18" s="2">
        <f t="shared" ref="AD18:AM18" si="18">SUM(AD14:AD16)+AD10</f>
        <v>6885</v>
      </c>
      <c r="AE18" s="2">
        <f t="shared" si="18"/>
        <v>4790</v>
      </c>
      <c r="AF18" s="2">
        <f t="shared" si="18"/>
        <v>5208</v>
      </c>
      <c r="AG18" s="2">
        <f t="shared" si="18"/>
        <v>5527</v>
      </c>
      <c r="AH18" s="2">
        <f t="shared" si="18"/>
        <v>7180</v>
      </c>
      <c r="AI18" s="2">
        <f t="shared" si="18"/>
        <v>11941</v>
      </c>
      <c r="AJ18" s="2">
        <f t="shared" si="18"/>
        <v>16151</v>
      </c>
      <c r="AK18" s="2">
        <f t="shared" si="18"/>
        <v>20002</v>
      </c>
      <c r="AL18" s="2">
        <f t="shared" si="18"/>
        <v>31943</v>
      </c>
      <c r="AM18" s="2">
        <f t="shared" si="18"/>
        <v>36458</v>
      </c>
      <c r="AN18" s="2">
        <f t="shared" ref="AN18:AY18" si="19">SUM(AN14:AN16)+AN10</f>
        <v>57704</v>
      </c>
      <c r="AO18" s="2">
        <f t="shared" si="19"/>
        <v>98876</v>
      </c>
      <c r="AP18" s="2">
        <f t="shared" si="19"/>
        <v>143618</v>
      </c>
      <c r="AQ18" s="2">
        <f t="shared" si="19"/>
        <v>154859</v>
      </c>
      <c r="AR18" s="2">
        <f t="shared" si="19"/>
        <v>164732</v>
      </c>
      <c r="AS18" s="2">
        <f t="shared" si="19"/>
        <v>213806</v>
      </c>
      <c r="AT18" s="2">
        <f t="shared" si="19"/>
        <v>191291</v>
      </c>
      <c r="AU18" s="2">
        <f t="shared" si="19"/>
        <v>199254</v>
      </c>
      <c r="AV18" s="2">
        <f t="shared" si="19"/>
        <v>225847</v>
      </c>
      <c r="AW18" s="2">
        <f t="shared" si="19"/>
        <v>213883</v>
      </c>
      <c r="AX18" s="2">
        <f t="shared" si="19"/>
        <v>220747</v>
      </c>
      <c r="AY18" s="2">
        <f t="shared" si="19"/>
        <v>297392</v>
      </c>
      <c r="AZ18" s="2">
        <f>SUM(AZ14:AZ16)+AZ10</f>
        <v>316199</v>
      </c>
      <c r="BA18" s="2">
        <f>SUM(W18:Z18)</f>
        <v>303438.93</v>
      </c>
      <c r="BB18" s="2">
        <f t="shared" ref="BB18:BR18" si="20">SUM(BB14:BB16)+BB10</f>
        <v>331284.91641089</v>
      </c>
      <c r="BC18" s="2">
        <f t="shared" si="20"/>
        <v>351545.74220093753</v>
      </c>
      <c r="BD18" s="2">
        <f t="shared" si="20"/>
        <v>370771.65709686367</v>
      </c>
      <c r="BE18" s="2">
        <f t="shared" si="20"/>
        <v>391077.38183829712</v>
      </c>
      <c r="BF18" s="2">
        <f t="shared" si="20"/>
        <v>412524.99057836435</v>
      </c>
      <c r="BG18" s="2">
        <f t="shared" si="20"/>
        <v>435180.19946853467</v>
      </c>
      <c r="BH18" s="2">
        <f t="shared" si="20"/>
        <v>455625.68762705289</v>
      </c>
      <c r="BI18" s="2">
        <f t="shared" si="20"/>
        <v>477046.37964245526</v>
      </c>
      <c r="BJ18" s="2">
        <f t="shared" si="20"/>
        <v>499489.56879676774</v>
      </c>
      <c r="BK18" s="2">
        <f t="shared" si="20"/>
        <v>523004.88339027978</v>
      </c>
      <c r="BL18" s="2">
        <f t="shared" si="20"/>
        <v>544179.56803630642</v>
      </c>
      <c r="BM18" s="2">
        <f t="shared" si="20"/>
        <v>565446.20859765401</v>
      </c>
      <c r="BN18" s="2">
        <f t="shared" si="20"/>
        <v>587556.2793467897</v>
      </c>
      <c r="BO18" s="2">
        <f t="shared" si="20"/>
        <v>610543.8019130677</v>
      </c>
      <c r="BP18" s="2">
        <f t="shared" si="20"/>
        <v>634444.19648185861</v>
      </c>
      <c r="BQ18" s="2">
        <f t="shared" si="20"/>
        <v>659294.34047375456</v>
      </c>
      <c r="BR18" s="2">
        <f t="shared" si="20"/>
        <v>685132.62973874912</v>
      </c>
    </row>
    <row r="19" spans="2:182" s="2" customFormat="1" x14ac:dyDescent="0.2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f>U19*1.05</f>
        <v>20584.2</v>
      </c>
      <c r="Z19" s="2">
        <v>20907</v>
      </c>
      <c r="AD19" s="2">
        <v>1098</v>
      </c>
      <c r="AE19" s="2">
        <f>343+230</f>
        <v>573</v>
      </c>
      <c r="AF19" s="2">
        <f>307+227</f>
        <v>534</v>
      </c>
      <c r="AG19" s="2">
        <f>644+36</f>
        <v>680</v>
      </c>
      <c r="AH19" s="2">
        <f>821+278</f>
        <v>1099</v>
      </c>
      <c r="AI19" s="2">
        <f>899+1091</f>
        <v>1990</v>
      </c>
      <c r="AJ19" s="2">
        <f>1885+1279</f>
        <v>3164</v>
      </c>
      <c r="AK19" s="2">
        <f>2496+1508</f>
        <v>4004</v>
      </c>
      <c r="AL19" s="2">
        <f>2208+3340</f>
        <v>5548</v>
      </c>
      <c r="AM19" s="2">
        <f>2411+4036</f>
        <v>6447</v>
      </c>
      <c r="AN19" s="2">
        <f>2573+4948</f>
        <v>7521</v>
      </c>
      <c r="AO19" s="2">
        <v>9373</v>
      </c>
      <c r="AP19" s="2">
        <v>12890</v>
      </c>
      <c r="AQ19" s="2">
        <v>16051</v>
      </c>
      <c r="AR19" s="2">
        <v>18063</v>
      </c>
      <c r="AS19" s="2">
        <v>19909</v>
      </c>
      <c r="AT19" s="2">
        <v>24348</v>
      </c>
      <c r="AU19" s="2">
        <v>29980</v>
      </c>
      <c r="AV19" s="7">
        <v>39748</v>
      </c>
      <c r="AW19" s="7">
        <v>46291</v>
      </c>
      <c r="AX19" s="7">
        <f>SUM(K19:N19)</f>
        <v>53768</v>
      </c>
      <c r="AY19" s="7">
        <f t="shared" ref="AY19" si="21">SUM(O19:R19)</f>
        <v>68425</v>
      </c>
      <c r="AZ19" s="7">
        <f>SUM(S19:V19)</f>
        <v>78129</v>
      </c>
      <c r="BA19" s="2">
        <f>SUM(W19:Z19)</f>
        <v>83164.2</v>
      </c>
      <c r="BB19" s="7">
        <f>+BA19*1.15</f>
        <v>95638.829999999987</v>
      </c>
      <c r="BC19" s="7">
        <f>+BB19*1.15</f>
        <v>109984.65449999998</v>
      </c>
      <c r="BD19" s="7">
        <f>+BC19*1.1</f>
        <v>120983.11994999998</v>
      </c>
      <c r="BE19" s="7">
        <f>+BD19*1.1</f>
        <v>133081.43194499999</v>
      </c>
      <c r="BF19" s="7">
        <f>+BE19*1.1</f>
        <v>146389.5751395</v>
      </c>
      <c r="BG19" s="7">
        <f>+BF19*1.05</f>
        <v>153709.053896475</v>
      </c>
      <c r="BH19" s="7">
        <f t="shared" ref="BH19:BR19" si="22">+BG19*1.05</f>
        <v>161394.50659129876</v>
      </c>
      <c r="BI19" s="7">
        <f t="shared" si="22"/>
        <v>169464.23192086371</v>
      </c>
      <c r="BJ19" s="7">
        <f t="shared" si="22"/>
        <v>177937.4435169069</v>
      </c>
      <c r="BK19" s="7">
        <f t="shared" si="22"/>
        <v>186834.31569275225</v>
      </c>
      <c r="BL19" s="7">
        <f t="shared" si="22"/>
        <v>196176.03147738986</v>
      </c>
      <c r="BM19" s="7">
        <f t="shared" si="22"/>
        <v>205984.83305125937</v>
      </c>
      <c r="BN19" s="7">
        <f t="shared" si="22"/>
        <v>216284.07470382235</v>
      </c>
      <c r="BO19" s="7">
        <f t="shared" si="22"/>
        <v>227098.27843901346</v>
      </c>
      <c r="BP19" s="7">
        <f t="shared" si="22"/>
        <v>238453.19236096414</v>
      </c>
      <c r="BQ19" s="7">
        <f t="shared" si="22"/>
        <v>250375.85197901237</v>
      </c>
      <c r="BR19" s="7">
        <f t="shared" si="22"/>
        <v>262894.64457796299</v>
      </c>
    </row>
    <row r="20" spans="2:182" s="8" customFormat="1" x14ac:dyDescent="0.2">
      <c r="B20" s="8" t="s">
        <v>7</v>
      </c>
      <c r="C20" s="8">
        <f t="shared" ref="C20:F20" si="23">+C18+C19</f>
        <v>88293</v>
      </c>
      <c r="D20" s="8">
        <f t="shared" si="23"/>
        <v>61137</v>
      </c>
      <c r="E20" s="8">
        <f t="shared" si="23"/>
        <v>53265</v>
      </c>
      <c r="F20" s="8">
        <f t="shared" si="23"/>
        <v>62900</v>
      </c>
      <c r="K20" s="8">
        <f t="shared" ref="K20:N20" si="24">+K18+K19</f>
        <v>91819</v>
      </c>
      <c r="L20" s="8">
        <f t="shared" si="24"/>
        <v>58313</v>
      </c>
      <c r="M20" s="8">
        <f t="shared" si="24"/>
        <v>59685</v>
      </c>
      <c r="N20" s="8">
        <f t="shared" si="24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5">+R18+R19</f>
        <v>83360</v>
      </c>
      <c r="S20" s="8">
        <f t="shared" ref="S20" si="26">+S18+S19</f>
        <v>123945</v>
      </c>
      <c r="T20" s="8">
        <f>+T18+T19</f>
        <v>97278</v>
      </c>
      <c r="U20" s="8">
        <f t="shared" ref="U20" si="27">+U18+U19</f>
        <v>82959</v>
      </c>
      <c r="V20" s="8">
        <f>+V18+V19</f>
        <v>90146</v>
      </c>
      <c r="W20" s="8">
        <f>+W19+W18</f>
        <v>117154</v>
      </c>
      <c r="X20" s="8">
        <f t="shared" ref="X20:Z20" si="28">+X19+X18</f>
        <v>94836</v>
      </c>
      <c r="Y20" s="8">
        <f t="shared" si="28"/>
        <v>82038.55</v>
      </c>
      <c r="Z20" s="8">
        <f t="shared" si="28"/>
        <v>92574.58</v>
      </c>
      <c r="AB20" s="8">
        <v>5941</v>
      </c>
      <c r="AC20" s="8">
        <v>6134</v>
      </c>
      <c r="AD20" s="8">
        <f t="shared" ref="AD20:AV20" si="29">+AD18+AD19</f>
        <v>7983</v>
      </c>
      <c r="AE20" s="8">
        <f t="shared" si="29"/>
        <v>5363</v>
      </c>
      <c r="AF20" s="8">
        <f t="shared" si="29"/>
        <v>5742</v>
      </c>
      <c r="AG20" s="8">
        <f t="shared" si="29"/>
        <v>6207</v>
      </c>
      <c r="AH20" s="8">
        <f t="shared" si="29"/>
        <v>8279</v>
      </c>
      <c r="AI20" s="8">
        <f t="shared" si="29"/>
        <v>13931</v>
      </c>
      <c r="AJ20" s="8">
        <f t="shared" si="29"/>
        <v>19315</v>
      </c>
      <c r="AK20" s="16">
        <f t="shared" si="29"/>
        <v>24006</v>
      </c>
      <c r="AL20" s="8">
        <f t="shared" si="29"/>
        <v>37491</v>
      </c>
      <c r="AM20" s="8">
        <f t="shared" si="29"/>
        <v>42905</v>
      </c>
      <c r="AN20" s="8">
        <f t="shared" si="29"/>
        <v>65225</v>
      </c>
      <c r="AO20" s="8">
        <f t="shared" si="29"/>
        <v>108249</v>
      </c>
      <c r="AP20" s="8">
        <f t="shared" si="29"/>
        <v>156508</v>
      </c>
      <c r="AQ20" s="8">
        <f t="shared" si="29"/>
        <v>170910</v>
      </c>
      <c r="AR20" s="8">
        <f t="shared" si="29"/>
        <v>182795</v>
      </c>
      <c r="AS20" s="8">
        <f t="shared" si="29"/>
        <v>233715</v>
      </c>
      <c r="AT20" s="8">
        <f t="shared" si="29"/>
        <v>215639</v>
      </c>
      <c r="AU20" s="8">
        <f t="shared" si="29"/>
        <v>229234</v>
      </c>
      <c r="AV20" s="8">
        <f t="shared" si="29"/>
        <v>265595</v>
      </c>
      <c r="AW20" s="8">
        <f t="shared" ref="AW20" si="30">+AW18+AW19</f>
        <v>260174</v>
      </c>
      <c r="AX20" s="8">
        <f>+AX18+AX19</f>
        <v>274515</v>
      </c>
      <c r="AY20" s="8">
        <f>+AY18+AY19</f>
        <v>365817</v>
      </c>
      <c r="AZ20" s="8">
        <f>+AZ18+AZ19</f>
        <v>394328</v>
      </c>
      <c r="BA20" s="8">
        <f>+BA18+BA19</f>
        <v>386603.13</v>
      </c>
      <c r="BB20" s="8">
        <f t="shared" ref="BB20:BR20" si="31">+BB18+BB19</f>
        <v>426923.74641089002</v>
      </c>
      <c r="BC20" s="8">
        <f t="shared" si="31"/>
        <v>461530.39670093753</v>
      </c>
      <c r="BD20" s="8">
        <f t="shared" si="31"/>
        <v>491754.77704686363</v>
      </c>
      <c r="BE20" s="8">
        <f t="shared" si="31"/>
        <v>524158.81378329708</v>
      </c>
      <c r="BF20" s="8">
        <f t="shared" si="31"/>
        <v>558914.56571786432</v>
      </c>
      <c r="BG20" s="8">
        <f t="shared" si="31"/>
        <v>588889.25336500967</v>
      </c>
      <c r="BH20" s="8">
        <f t="shared" si="31"/>
        <v>617020.19421835162</v>
      </c>
      <c r="BI20" s="8">
        <f t="shared" si="31"/>
        <v>646510.61156331899</v>
      </c>
      <c r="BJ20" s="8">
        <f t="shared" si="31"/>
        <v>677427.01231367467</v>
      </c>
      <c r="BK20" s="8">
        <f t="shared" si="31"/>
        <v>709839.19908303209</v>
      </c>
      <c r="BL20" s="8">
        <f t="shared" si="31"/>
        <v>740355.59951369627</v>
      </c>
      <c r="BM20" s="8">
        <f t="shared" si="31"/>
        <v>771431.04164891341</v>
      </c>
      <c r="BN20" s="8">
        <f t="shared" si="31"/>
        <v>803840.35405061208</v>
      </c>
      <c r="BO20" s="8">
        <f t="shared" si="31"/>
        <v>837642.08035208122</v>
      </c>
      <c r="BP20" s="8">
        <f t="shared" si="31"/>
        <v>872897.38884282275</v>
      </c>
      <c r="BQ20" s="8">
        <f t="shared" si="31"/>
        <v>909670.19245276693</v>
      </c>
      <c r="BR20" s="8">
        <f t="shared" si="31"/>
        <v>948027.27431671205</v>
      </c>
    </row>
    <row r="21" spans="2:182" s="2" customFormat="1" x14ac:dyDescent="0.2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AV21" s="7">
        <v>148164</v>
      </c>
      <c r="AW21" s="7">
        <v>144996</v>
      </c>
      <c r="AX21" s="7">
        <f>SUM(K21:N21)</f>
        <v>151286</v>
      </c>
      <c r="AY21" s="7">
        <f t="shared" ref="AY21:AY22" si="32">SUM(O21:R21)</f>
        <v>192266</v>
      </c>
      <c r="AZ21" s="7">
        <f t="shared" ref="AZ21:AZ22" si="33">SUM(S21:V21)</f>
        <v>201471</v>
      </c>
      <c r="BA21" s="2">
        <f>+BA18*0.64</f>
        <v>194200.91519999999</v>
      </c>
      <c r="BB21" s="2">
        <f t="shared" ref="BB21:BR21" si="34">+BB18*0.64</f>
        <v>212022.34650296959</v>
      </c>
      <c r="BC21" s="2">
        <f t="shared" si="34"/>
        <v>224989.27500860003</v>
      </c>
      <c r="BD21" s="2">
        <f t="shared" si="34"/>
        <v>237293.86054199276</v>
      </c>
      <c r="BE21" s="2">
        <f t="shared" si="34"/>
        <v>250289.52437651018</v>
      </c>
      <c r="BF21" s="2">
        <f t="shared" si="34"/>
        <v>264015.99397015321</v>
      </c>
      <c r="BG21" s="2">
        <f t="shared" si="34"/>
        <v>278515.32765986217</v>
      </c>
      <c r="BH21" s="2">
        <f t="shared" si="34"/>
        <v>291600.44008131383</v>
      </c>
      <c r="BI21" s="2">
        <f t="shared" si="34"/>
        <v>305309.68297117139</v>
      </c>
      <c r="BJ21" s="2">
        <f t="shared" si="34"/>
        <v>319673.32402993133</v>
      </c>
      <c r="BK21" s="2">
        <f t="shared" si="34"/>
        <v>334723.12536977907</v>
      </c>
      <c r="BL21" s="2">
        <f t="shared" si="34"/>
        <v>348274.9235432361</v>
      </c>
      <c r="BM21" s="2">
        <f t="shared" si="34"/>
        <v>361885.57350249856</v>
      </c>
      <c r="BN21" s="2">
        <f t="shared" si="34"/>
        <v>376036.0187819454</v>
      </c>
      <c r="BO21" s="2">
        <f t="shared" si="34"/>
        <v>390748.03322436335</v>
      </c>
      <c r="BP21" s="2">
        <f t="shared" si="34"/>
        <v>406044.28574838955</v>
      </c>
      <c r="BQ21" s="2">
        <f t="shared" si="34"/>
        <v>421948.37790320296</v>
      </c>
      <c r="BR21" s="2">
        <f t="shared" si="34"/>
        <v>438484.88303279947</v>
      </c>
    </row>
    <row r="22" spans="2:182" s="2" customFormat="1" x14ac:dyDescent="0.2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AV22" s="7">
        <v>15592</v>
      </c>
      <c r="AW22" s="7">
        <v>16786</v>
      </c>
      <c r="AX22" s="7">
        <f>SUM(K22:N22)</f>
        <v>18273</v>
      </c>
      <c r="AY22" s="7">
        <f t="shared" si="32"/>
        <v>20715</v>
      </c>
      <c r="AZ22" s="7">
        <f t="shared" si="33"/>
        <v>22075</v>
      </c>
      <c r="BA22" s="2">
        <f>+BA19*0.27</f>
        <v>22454.333999999999</v>
      </c>
      <c r="BB22" s="2">
        <f t="shared" ref="BB22:BR22" si="35">+BB19*0.27</f>
        <v>25822.484099999998</v>
      </c>
      <c r="BC22" s="2">
        <f t="shared" si="35"/>
        <v>29695.856714999994</v>
      </c>
      <c r="BD22" s="2">
        <f t="shared" si="35"/>
        <v>32665.442386499995</v>
      </c>
      <c r="BE22" s="2">
        <f t="shared" si="35"/>
        <v>35931.986625149999</v>
      </c>
      <c r="BF22" s="2">
        <f t="shared" si="35"/>
        <v>39525.185287665001</v>
      </c>
      <c r="BG22" s="2">
        <f t="shared" si="35"/>
        <v>41501.444552048255</v>
      </c>
      <c r="BH22" s="2">
        <f t="shared" si="35"/>
        <v>43576.516779650672</v>
      </c>
      <c r="BI22" s="2">
        <f t="shared" si="35"/>
        <v>45755.3426186332</v>
      </c>
      <c r="BJ22" s="2">
        <f t="shared" si="35"/>
        <v>48043.109749564865</v>
      </c>
      <c r="BK22" s="2">
        <f t="shared" si="35"/>
        <v>50445.26523704311</v>
      </c>
      <c r="BL22" s="2">
        <f t="shared" si="35"/>
        <v>52967.528498895263</v>
      </c>
      <c r="BM22" s="2">
        <f t="shared" si="35"/>
        <v>55615.904923840033</v>
      </c>
      <c r="BN22" s="2">
        <f t="shared" si="35"/>
        <v>58396.70017003204</v>
      </c>
      <c r="BO22" s="2">
        <f t="shared" si="35"/>
        <v>61316.535178533639</v>
      </c>
      <c r="BP22" s="2">
        <f t="shared" si="35"/>
        <v>64382.361937460322</v>
      </c>
      <c r="BQ22" s="2">
        <f t="shared" si="35"/>
        <v>67601.480034333348</v>
      </c>
      <c r="BR22" s="2">
        <f t="shared" si="35"/>
        <v>70981.554036050016</v>
      </c>
    </row>
    <row r="23" spans="2:182" s="2" customFormat="1" x14ac:dyDescent="0.2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36">+K21+K22</f>
        <v>56602</v>
      </c>
      <c r="L23" s="2">
        <f t="shared" si="36"/>
        <v>35943</v>
      </c>
      <c r="M23" s="2">
        <f t="shared" si="36"/>
        <v>37005</v>
      </c>
      <c r="N23" s="2">
        <f t="shared" si="36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37">+R21+R22</f>
        <v>48186</v>
      </c>
      <c r="S23" s="2">
        <f t="shared" ref="S23" si="38">+S21+S22</f>
        <v>69702</v>
      </c>
      <c r="T23" s="2">
        <f>+T21+T22</f>
        <v>54719</v>
      </c>
      <c r="U23" s="2">
        <f t="shared" ref="U23" si="39">+U21+U22</f>
        <v>47074</v>
      </c>
      <c r="V23" s="2">
        <f t="shared" ref="V23" si="40">+V21+V22</f>
        <v>52051</v>
      </c>
      <c r="W23" s="2">
        <f>+W21+W22</f>
        <v>66822</v>
      </c>
      <c r="X23" s="2">
        <f>+X21+X22</f>
        <v>52860</v>
      </c>
      <c r="Y23" s="2">
        <f>+Y21+Y22</f>
        <v>0</v>
      </c>
      <c r="Z23" s="2">
        <f>+Z21+Z22</f>
        <v>0</v>
      </c>
      <c r="AD23" s="2">
        <v>5817</v>
      </c>
      <c r="AE23" s="2">
        <v>4128</v>
      </c>
      <c r="AF23" s="2">
        <v>4139</v>
      </c>
      <c r="AG23" s="2">
        <v>4499</v>
      </c>
      <c r="AH23" s="2">
        <v>6020</v>
      </c>
      <c r="AI23" s="2">
        <v>9888</v>
      </c>
      <c r="AJ23" s="2">
        <v>13717</v>
      </c>
      <c r="AK23" s="2">
        <v>15852</v>
      </c>
      <c r="AL23" s="2">
        <v>24294</v>
      </c>
      <c r="AM23" s="2">
        <v>25683</v>
      </c>
      <c r="AN23" s="2">
        <v>39541</v>
      </c>
      <c r="AO23" s="2">
        <v>64431</v>
      </c>
      <c r="AP23" s="2">
        <v>87846</v>
      </c>
      <c r="AQ23" s="2">
        <v>106606</v>
      </c>
      <c r="AR23" s="2">
        <v>112258</v>
      </c>
      <c r="AS23" s="2">
        <v>140089</v>
      </c>
      <c r="AT23" s="2">
        <v>131376</v>
      </c>
      <c r="AU23" s="2">
        <v>141048</v>
      </c>
      <c r="AV23" s="2">
        <f t="shared" ref="AV23:AW23" si="41">+AV21+AV22</f>
        <v>163756</v>
      </c>
      <c r="AW23" s="2">
        <f t="shared" si="41"/>
        <v>161782</v>
      </c>
      <c r="AX23" s="2">
        <f>+AX21+AX22</f>
        <v>169559</v>
      </c>
      <c r="AY23" s="2">
        <f>+AY21+AY22</f>
        <v>212981</v>
      </c>
      <c r="AZ23" s="2">
        <f>+AZ21+AZ22</f>
        <v>223546</v>
      </c>
      <c r="BA23" s="2">
        <f t="shared" ref="BA23:BR23" si="42">+BA21+BA22</f>
        <v>216655.24919999999</v>
      </c>
      <c r="BB23" s="2">
        <f t="shared" si="42"/>
        <v>237844.8306029696</v>
      </c>
      <c r="BC23" s="2">
        <f t="shared" si="42"/>
        <v>254685.13172360003</v>
      </c>
      <c r="BD23" s="2">
        <f t="shared" si="42"/>
        <v>269959.30292849278</v>
      </c>
      <c r="BE23" s="2">
        <f t="shared" si="42"/>
        <v>286221.5110016602</v>
      </c>
      <c r="BF23" s="2">
        <f t="shared" si="42"/>
        <v>303541.17925781821</v>
      </c>
      <c r="BG23" s="2">
        <f t="shared" si="42"/>
        <v>320016.77221191046</v>
      </c>
      <c r="BH23" s="2">
        <f t="shared" si="42"/>
        <v>335176.95686096454</v>
      </c>
      <c r="BI23" s="2">
        <f t="shared" si="42"/>
        <v>351065.02558980457</v>
      </c>
      <c r="BJ23" s="2">
        <f t="shared" si="42"/>
        <v>367716.43377949618</v>
      </c>
      <c r="BK23" s="2">
        <f t="shared" si="42"/>
        <v>385168.39060682215</v>
      </c>
      <c r="BL23" s="2">
        <f t="shared" si="42"/>
        <v>401242.45204213134</v>
      </c>
      <c r="BM23" s="2">
        <f t="shared" si="42"/>
        <v>417501.47842633858</v>
      </c>
      <c r="BN23" s="2">
        <f t="shared" si="42"/>
        <v>434432.71895197744</v>
      </c>
      <c r="BO23" s="2">
        <f t="shared" si="42"/>
        <v>452064.56840289698</v>
      </c>
      <c r="BP23" s="2">
        <f t="shared" si="42"/>
        <v>470426.64768584986</v>
      </c>
      <c r="BQ23" s="2">
        <f t="shared" si="42"/>
        <v>489549.85793753632</v>
      </c>
      <c r="BR23" s="2">
        <f t="shared" si="42"/>
        <v>509466.43706884945</v>
      </c>
    </row>
    <row r="24" spans="2:182" s="2" customFormat="1" x14ac:dyDescent="0.2">
      <c r="B24" s="2" t="s">
        <v>22</v>
      </c>
      <c r="C24" s="2">
        <f t="shared" ref="C24" si="43">+C20-C23</f>
        <v>33912</v>
      </c>
      <c r="D24" s="2">
        <f t="shared" ref="D24:F24" si="44">+D20-D23</f>
        <v>23422</v>
      </c>
      <c r="E24" s="2">
        <f t="shared" si="44"/>
        <v>20421</v>
      </c>
      <c r="F24" s="2">
        <f t="shared" si="44"/>
        <v>24084</v>
      </c>
      <c r="K24" s="2">
        <f t="shared" ref="K24:N24" si="45">+K20-K23</f>
        <v>35217</v>
      </c>
      <c r="L24" s="2">
        <f t="shared" si="45"/>
        <v>22370</v>
      </c>
      <c r="M24" s="2">
        <f t="shared" si="45"/>
        <v>22680</v>
      </c>
      <c r="N24" s="2">
        <f t="shared" si="45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46">+R20-R23</f>
        <v>35174</v>
      </c>
      <c r="S24" s="2">
        <f t="shared" ref="S24" si="47">+S20-S23</f>
        <v>54243</v>
      </c>
      <c r="T24" s="2">
        <f>+T20-T23</f>
        <v>42559</v>
      </c>
      <c r="U24" s="2">
        <f t="shared" ref="U24" si="48">+U20-U23</f>
        <v>35885</v>
      </c>
      <c r="V24" s="2">
        <f t="shared" ref="V24" si="49">+V20-V23</f>
        <v>38095</v>
      </c>
      <c r="W24" s="2">
        <f>+W20-W23</f>
        <v>50332</v>
      </c>
      <c r="X24" s="2">
        <f>+X20-X23</f>
        <v>41976</v>
      </c>
      <c r="Y24" s="2">
        <f>Y20*0.44</f>
        <v>36096.962</v>
      </c>
      <c r="Z24" s="2">
        <f>Z20*0.44</f>
        <v>40732.815200000005</v>
      </c>
      <c r="AD24" s="2">
        <f t="shared" ref="AD24:AE24" si="50">+AD20-AD23</f>
        <v>2166</v>
      </c>
      <c r="AE24" s="2">
        <f t="shared" si="50"/>
        <v>1235</v>
      </c>
      <c r="AF24" s="2">
        <f>+AF20-AF23</f>
        <v>1603</v>
      </c>
      <c r="AG24" s="2">
        <f t="shared" ref="AG24:AH24" si="51">+AG20-AG23</f>
        <v>1708</v>
      </c>
      <c r="AH24" s="2">
        <f t="shared" si="51"/>
        <v>2259</v>
      </c>
      <c r="AI24" s="2">
        <f t="shared" ref="AI24:AJ24" si="52">+AI20-AI23</f>
        <v>4043</v>
      </c>
      <c r="AJ24" s="2">
        <f t="shared" si="52"/>
        <v>5598</v>
      </c>
      <c r="AK24" s="2">
        <f t="shared" ref="AK24:AL24" si="53">+AK20-AK23</f>
        <v>8154</v>
      </c>
      <c r="AL24" s="2">
        <f t="shared" si="53"/>
        <v>13197</v>
      </c>
      <c r="AM24" s="2">
        <f t="shared" ref="AM24:AO24" si="54">+AM20-AM23</f>
        <v>17222</v>
      </c>
      <c r="AN24" s="2">
        <f t="shared" si="54"/>
        <v>25684</v>
      </c>
      <c r="AO24" s="2">
        <f t="shared" si="54"/>
        <v>43818</v>
      </c>
      <c r="AP24" s="2">
        <f t="shared" ref="AP24:AU24" si="55">+AP20-AP23</f>
        <v>68662</v>
      </c>
      <c r="AQ24" s="2">
        <f t="shared" si="55"/>
        <v>64304</v>
      </c>
      <c r="AR24" s="2">
        <f t="shared" si="55"/>
        <v>70537</v>
      </c>
      <c r="AS24" s="2">
        <f t="shared" si="55"/>
        <v>93626</v>
      </c>
      <c r="AT24" s="2">
        <f t="shared" si="55"/>
        <v>84263</v>
      </c>
      <c r="AU24" s="2">
        <f t="shared" si="55"/>
        <v>88186</v>
      </c>
      <c r="AV24" s="2">
        <f t="shared" ref="AV24:AW24" si="56">+AV20-AV23</f>
        <v>101839</v>
      </c>
      <c r="AW24" s="2">
        <f t="shared" si="56"/>
        <v>98392</v>
      </c>
      <c r="AX24" s="2">
        <f>+AX20-AX23</f>
        <v>104956</v>
      </c>
      <c r="AY24" s="2">
        <f>+AY20-AY23</f>
        <v>152836</v>
      </c>
      <c r="AZ24" s="2">
        <f>+AZ20-AZ23</f>
        <v>170782</v>
      </c>
      <c r="BA24" s="2">
        <f t="shared" ref="BA24:BR24" si="57">+BA20-BA23</f>
        <v>169947.88080000001</v>
      </c>
      <c r="BB24" s="2">
        <f t="shared" si="57"/>
        <v>189078.91580792042</v>
      </c>
      <c r="BC24" s="2">
        <f t="shared" si="57"/>
        <v>206845.2649773375</v>
      </c>
      <c r="BD24" s="2">
        <f t="shared" si="57"/>
        <v>221795.47411837085</v>
      </c>
      <c r="BE24" s="2">
        <f t="shared" si="57"/>
        <v>237937.30278163688</v>
      </c>
      <c r="BF24" s="2">
        <f t="shared" si="57"/>
        <v>255373.38646004611</v>
      </c>
      <c r="BG24" s="2">
        <f t="shared" si="57"/>
        <v>268872.48115309922</v>
      </c>
      <c r="BH24" s="2">
        <f t="shared" si="57"/>
        <v>281843.23735738709</v>
      </c>
      <c r="BI24" s="2">
        <f t="shared" si="57"/>
        <v>295445.58597351442</v>
      </c>
      <c r="BJ24" s="2">
        <f t="shared" si="57"/>
        <v>309710.57853417849</v>
      </c>
      <c r="BK24" s="2">
        <f t="shared" si="57"/>
        <v>324670.80847620993</v>
      </c>
      <c r="BL24" s="2">
        <f t="shared" si="57"/>
        <v>339113.14747156494</v>
      </c>
      <c r="BM24" s="2">
        <f t="shared" si="57"/>
        <v>353929.56322257483</v>
      </c>
      <c r="BN24" s="2">
        <f t="shared" si="57"/>
        <v>369407.63509863464</v>
      </c>
      <c r="BO24" s="2">
        <f t="shared" si="57"/>
        <v>385577.51194918423</v>
      </c>
      <c r="BP24" s="2">
        <f t="shared" si="57"/>
        <v>402470.74115697289</v>
      </c>
      <c r="BQ24" s="2">
        <f t="shared" si="57"/>
        <v>420120.33451523061</v>
      </c>
      <c r="BR24" s="2">
        <f t="shared" si="57"/>
        <v>438560.8372478626</v>
      </c>
    </row>
    <row r="25" spans="2:182" s="2" customFormat="1" x14ac:dyDescent="0.2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f>U25*1.01</f>
        <v>6864.97</v>
      </c>
      <c r="Z25" s="2">
        <f>V25*1.01</f>
        <v>6828.61</v>
      </c>
      <c r="AD25" s="2">
        <v>380</v>
      </c>
      <c r="AE25" s="2">
        <v>430</v>
      </c>
      <c r="AF25" s="2">
        <v>446</v>
      </c>
      <c r="AG25" s="2">
        <v>471</v>
      </c>
      <c r="AH25" s="2">
        <v>489</v>
      </c>
      <c r="AI25" s="2">
        <v>534</v>
      </c>
      <c r="AJ25" s="2">
        <v>712</v>
      </c>
      <c r="AK25" s="2">
        <v>782</v>
      </c>
      <c r="AL25" s="2">
        <v>1109</v>
      </c>
      <c r="AM25" s="2">
        <v>1333</v>
      </c>
      <c r="AN25" s="2">
        <v>1782</v>
      </c>
      <c r="AO25" s="2">
        <v>2429</v>
      </c>
      <c r="AP25" s="2">
        <v>3381</v>
      </c>
      <c r="AQ25" s="2">
        <v>4475</v>
      </c>
      <c r="AR25" s="2">
        <v>6041</v>
      </c>
      <c r="AS25" s="2">
        <v>8067</v>
      </c>
      <c r="AT25" s="2">
        <v>10045</v>
      </c>
      <c r="AU25" s="2">
        <v>11581</v>
      </c>
      <c r="AV25" s="7">
        <v>14236</v>
      </c>
      <c r="AW25" s="7">
        <v>16217</v>
      </c>
      <c r="AX25" s="7">
        <f>SUM(K25:N25)</f>
        <v>18752</v>
      </c>
      <c r="AY25" s="7">
        <f t="shared" ref="AY25:AY26" si="58">SUM(O25:R25)</f>
        <v>21914</v>
      </c>
      <c r="AZ25" s="7">
        <f t="shared" ref="AZ25:AZ26" si="59">SUM(S25:V25)</f>
        <v>26251</v>
      </c>
      <c r="BA25" s="2">
        <f>+AZ25*1.03</f>
        <v>27038.530000000002</v>
      </c>
      <c r="BB25" s="2">
        <f t="shared" ref="BB25:BR25" si="60">+BA25*1.03</f>
        <v>27849.685900000004</v>
      </c>
      <c r="BC25" s="2">
        <f t="shared" si="60"/>
        <v>28685.176477000005</v>
      </c>
      <c r="BD25" s="2">
        <f t="shared" si="60"/>
        <v>29545.731771310006</v>
      </c>
      <c r="BE25" s="2">
        <f t="shared" si="60"/>
        <v>30432.103724449305</v>
      </c>
      <c r="BF25" s="2">
        <f t="shared" si="60"/>
        <v>31345.066836182785</v>
      </c>
      <c r="BG25" s="2">
        <f t="shared" si="60"/>
        <v>32285.418841268271</v>
      </c>
      <c r="BH25" s="2">
        <f t="shared" si="60"/>
        <v>33253.981406506318</v>
      </c>
      <c r="BI25" s="2">
        <f t="shared" si="60"/>
        <v>34251.600848701506</v>
      </c>
      <c r="BJ25" s="2">
        <f t="shared" si="60"/>
        <v>35279.148874162551</v>
      </c>
      <c r="BK25" s="2">
        <f t="shared" si="60"/>
        <v>36337.52334038743</v>
      </c>
      <c r="BL25" s="2">
        <f t="shared" si="60"/>
        <v>37427.649040599055</v>
      </c>
      <c r="BM25" s="2">
        <f t="shared" si="60"/>
        <v>38550.478511817026</v>
      </c>
      <c r="BN25" s="2">
        <f t="shared" si="60"/>
        <v>39706.992867171539</v>
      </c>
      <c r="BO25" s="2">
        <f t="shared" si="60"/>
        <v>40898.202653186687</v>
      </c>
      <c r="BP25" s="2">
        <f t="shared" si="60"/>
        <v>42125.148732782291</v>
      </c>
      <c r="BQ25" s="2">
        <f t="shared" si="60"/>
        <v>43388.903194765764</v>
      </c>
      <c r="BR25" s="2">
        <f t="shared" si="60"/>
        <v>44690.570290608739</v>
      </c>
    </row>
    <row r="26" spans="2:182" s="2" customFormat="1" x14ac:dyDescent="0.2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6201</v>
      </c>
      <c r="Z26" s="2">
        <v>6201</v>
      </c>
      <c r="AD26" s="2">
        <v>1166</v>
      </c>
      <c r="AE26" s="2">
        <v>1138</v>
      </c>
      <c r="AF26" s="2">
        <v>1109</v>
      </c>
      <c r="AG26" s="2">
        <v>1212</v>
      </c>
      <c r="AH26" s="2">
        <v>1421</v>
      </c>
      <c r="AI26" s="2">
        <v>1859</v>
      </c>
      <c r="AJ26" s="2">
        <v>2433</v>
      </c>
      <c r="AK26" s="2">
        <v>2963</v>
      </c>
      <c r="AL26" s="2">
        <v>3761</v>
      </c>
      <c r="AM26" s="2">
        <v>4149</v>
      </c>
      <c r="AN26" s="2">
        <v>5517</v>
      </c>
      <c r="AO26" s="2">
        <v>7599</v>
      </c>
      <c r="AP26" s="2">
        <v>10040</v>
      </c>
      <c r="AQ26" s="2">
        <v>10830</v>
      </c>
      <c r="AR26" s="2">
        <v>11993</v>
      </c>
      <c r="AS26" s="2">
        <v>14329</v>
      </c>
      <c r="AT26" s="2">
        <v>14194</v>
      </c>
      <c r="AU26" s="2">
        <v>15261</v>
      </c>
      <c r="AV26" s="7">
        <v>16705</v>
      </c>
      <c r="AW26" s="7">
        <v>18245</v>
      </c>
      <c r="AX26" s="7">
        <f>SUM(K26:N26)</f>
        <v>19916</v>
      </c>
      <c r="AY26" s="7">
        <f t="shared" si="58"/>
        <v>21973</v>
      </c>
      <c r="AZ26" s="7">
        <f t="shared" si="59"/>
        <v>25094</v>
      </c>
      <c r="BA26" s="2">
        <f t="shared" ref="BA26:BR26" si="61">+AZ26*1.03</f>
        <v>25846.82</v>
      </c>
      <c r="BB26" s="2">
        <f t="shared" si="61"/>
        <v>26622.224600000001</v>
      </c>
      <c r="BC26" s="2">
        <f t="shared" si="61"/>
        <v>27420.891338000001</v>
      </c>
      <c r="BD26" s="2">
        <f t="shared" si="61"/>
        <v>28243.518078140001</v>
      </c>
      <c r="BE26" s="2">
        <f t="shared" si="61"/>
        <v>29090.823620484203</v>
      </c>
      <c r="BF26" s="2">
        <f t="shared" si="61"/>
        <v>29963.548329098729</v>
      </c>
      <c r="BG26" s="2">
        <f t="shared" si="61"/>
        <v>30862.454778971693</v>
      </c>
      <c r="BH26" s="2">
        <f t="shared" si="61"/>
        <v>31788.328422340845</v>
      </c>
      <c r="BI26" s="2">
        <f t="shared" si="61"/>
        <v>32741.978275011072</v>
      </c>
      <c r="BJ26" s="2">
        <f t="shared" si="61"/>
        <v>33724.237623261404</v>
      </c>
      <c r="BK26" s="2">
        <f t="shared" si="61"/>
        <v>34735.964751959247</v>
      </c>
      <c r="BL26" s="2">
        <f t="shared" si="61"/>
        <v>35778.043694518026</v>
      </c>
      <c r="BM26" s="2">
        <f t="shared" si="61"/>
        <v>36851.385005353572</v>
      </c>
      <c r="BN26" s="2">
        <f t="shared" si="61"/>
        <v>37956.926555514183</v>
      </c>
      <c r="BO26" s="2">
        <f t="shared" si="61"/>
        <v>39095.634352179608</v>
      </c>
      <c r="BP26" s="2">
        <f t="shared" si="61"/>
        <v>40268.503382744995</v>
      </c>
      <c r="BQ26" s="2">
        <f t="shared" si="61"/>
        <v>41476.558484227346</v>
      </c>
      <c r="BR26" s="2">
        <f t="shared" si="61"/>
        <v>42720.855238754164</v>
      </c>
    </row>
    <row r="27" spans="2:182" s="2" customFormat="1" x14ac:dyDescent="0.2">
      <c r="B27" s="2" t="s">
        <v>28</v>
      </c>
      <c r="C27" s="2">
        <f t="shared" ref="C27" si="62">+C25+C26</f>
        <v>7638</v>
      </c>
      <c r="D27" s="2">
        <f t="shared" ref="D27:F27" si="63">+D25+D26</f>
        <v>7528</v>
      </c>
      <c r="E27" s="2">
        <f t="shared" si="63"/>
        <v>7809</v>
      </c>
      <c r="F27" s="2">
        <f t="shared" si="63"/>
        <v>7966</v>
      </c>
      <c r="K27" s="2">
        <f t="shared" ref="K27:N27" si="64">+K25+K26</f>
        <v>9648</v>
      </c>
      <c r="L27" s="2">
        <f t="shared" si="64"/>
        <v>9517</v>
      </c>
      <c r="M27" s="2">
        <f t="shared" si="64"/>
        <v>9589</v>
      </c>
      <c r="N27" s="2">
        <f t="shared" si="64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65">+R25+R26</f>
        <v>11388</v>
      </c>
      <c r="S27" s="2">
        <f t="shared" ref="S27" si="66">+S25+S26</f>
        <v>12755</v>
      </c>
      <c r="T27" s="2">
        <f>+T25+T26</f>
        <v>12580</v>
      </c>
      <c r="U27" s="2">
        <f t="shared" ref="U27" si="67">+U25+U26</f>
        <v>12809</v>
      </c>
      <c r="V27" s="2">
        <f t="shared" ref="V27:Z27" si="68">+V25+V26</f>
        <v>13201</v>
      </c>
      <c r="W27" s="2">
        <f t="shared" si="68"/>
        <v>14316</v>
      </c>
      <c r="X27" s="2">
        <f t="shared" si="68"/>
        <v>13658</v>
      </c>
      <c r="Y27" s="2">
        <f t="shared" si="68"/>
        <v>13065.970000000001</v>
      </c>
      <c r="Z27" s="2">
        <f t="shared" si="68"/>
        <v>13029.61</v>
      </c>
      <c r="AD27" s="2">
        <f t="shared" ref="AD27:AE27" si="69">+AD25+AD26</f>
        <v>1546</v>
      </c>
      <c r="AE27" s="2">
        <f t="shared" si="69"/>
        <v>1568</v>
      </c>
      <c r="AF27" s="2">
        <f t="shared" ref="AF27:AH27" si="70">+AF25+AF26</f>
        <v>1555</v>
      </c>
      <c r="AG27" s="2">
        <f t="shared" si="70"/>
        <v>1683</v>
      </c>
      <c r="AH27" s="2">
        <f t="shared" si="70"/>
        <v>1910</v>
      </c>
      <c r="AI27" s="2">
        <f t="shared" ref="AI27:AJ27" si="71">+AI25+AI26</f>
        <v>2393</v>
      </c>
      <c r="AJ27" s="2">
        <f t="shared" si="71"/>
        <v>3145</v>
      </c>
      <c r="AK27" s="2">
        <f t="shared" ref="AK27:AL27" si="72">+AK25+AK26</f>
        <v>3745</v>
      </c>
      <c r="AL27" s="2">
        <f t="shared" si="72"/>
        <v>4870</v>
      </c>
      <c r="AM27" s="2">
        <f t="shared" ref="AM27:AO27" si="73">+AM25+AM26</f>
        <v>5482</v>
      </c>
      <c r="AN27" s="2">
        <f t="shared" si="73"/>
        <v>7299</v>
      </c>
      <c r="AO27" s="2">
        <f t="shared" si="73"/>
        <v>10028</v>
      </c>
      <c r="AP27" s="2">
        <f t="shared" ref="AP27:AU27" si="74">+AP25+AP26</f>
        <v>13421</v>
      </c>
      <c r="AQ27" s="2">
        <f t="shared" si="74"/>
        <v>15305</v>
      </c>
      <c r="AR27" s="2">
        <f t="shared" si="74"/>
        <v>18034</v>
      </c>
      <c r="AS27" s="2">
        <f t="shared" si="74"/>
        <v>22396</v>
      </c>
      <c r="AT27" s="2">
        <f t="shared" si="74"/>
        <v>24239</v>
      </c>
      <c r="AU27" s="2">
        <f t="shared" si="74"/>
        <v>26842</v>
      </c>
      <c r="AV27" s="2">
        <f t="shared" ref="AV27:AW27" si="75">+AV25+AV26</f>
        <v>30941</v>
      </c>
      <c r="AW27" s="2">
        <f t="shared" si="75"/>
        <v>34462</v>
      </c>
      <c r="AX27" s="2">
        <f>+AX25+AX26</f>
        <v>38668</v>
      </c>
      <c r="AY27" s="2">
        <f>+AY25+AY26</f>
        <v>43887</v>
      </c>
      <c r="AZ27" s="2">
        <f>+AZ25+AZ26</f>
        <v>51345</v>
      </c>
      <c r="BA27" s="2">
        <f t="shared" ref="BA27:BR27" si="76">+BA25+BA26</f>
        <v>52885.350000000006</v>
      </c>
      <c r="BB27" s="2">
        <f t="shared" si="76"/>
        <v>54471.910500000005</v>
      </c>
      <c r="BC27" s="2">
        <f t="shared" si="76"/>
        <v>56106.067815000002</v>
      </c>
      <c r="BD27" s="2">
        <f t="shared" si="76"/>
        <v>57789.249849450003</v>
      </c>
      <c r="BE27" s="2">
        <f t="shared" si="76"/>
        <v>59522.927344933509</v>
      </c>
      <c r="BF27" s="2">
        <f t="shared" si="76"/>
        <v>61308.615165281517</v>
      </c>
      <c r="BG27" s="2">
        <f t="shared" si="76"/>
        <v>63147.87362023996</v>
      </c>
      <c r="BH27" s="2">
        <f t="shared" si="76"/>
        <v>65042.309828847167</v>
      </c>
      <c r="BI27" s="2">
        <f t="shared" si="76"/>
        <v>66993.579123712581</v>
      </c>
      <c r="BJ27" s="2">
        <f t="shared" si="76"/>
        <v>69003.386497423955</v>
      </c>
      <c r="BK27" s="2">
        <f t="shared" si="76"/>
        <v>71073.48809234667</v>
      </c>
      <c r="BL27" s="2">
        <f t="shared" si="76"/>
        <v>73205.692735117074</v>
      </c>
      <c r="BM27" s="2">
        <f t="shared" si="76"/>
        <v>75401.863517170597</v>
      </c>
      <c r="BN27" s="2">
        <f t="shared" si="76"/>
        <v>77663.919422685722</v>
      </c>
      <c r="BO27" s="2">
        <f t="shared" si="76"/>
        <v>79993.837005366295</v>
      </c>
      <c r="BP27" s="2">
        <f t="shared" si="76"/>
        <v>82393.652115527279</v>
      </c>
      <c r="BQ27" s="2">
        <f t="shared" si="76"/>
        <v>84865.461678993102</v>
      </c>
      <c r="BR27" s="2">
        <f t="shared" si="76"/>
        <v>87411.425529362896</v>
      </c>
    </row>
    <row r="28" spans="2:182" s="2" customFormat="1" x14ac:dyDescent="0.2">
      <c r="B28" s="2" t="s">
        <v>29</v>
      </c>
      <c r="C28" s="2">
        <f t="shared" ref="C28" si="77">+C24-C27</f>
        <v>26274</v>
      </c>
      <c r="D28" s="2">
        <f t="shared" ref="D28:F28" si="78">+D24-D27</f>
        <v>15894</v>
      </c>
      <c r="E28" s="2">
        <f t="shared" si="78"/>
        <v>12612</v>
      </c>
      <c r="F28" s="2">
        <f t="shared" si="78"/>
        <v>16118</v>
      </c>
      <c r="K28" s="2">
        <f t="shared" ref="K28:N28" si="79">+K24-K27</f>
        <v>25569</v>
      </c>
      <c r="L28" s="2">
        <f t="shared" si="79"/>
        <v>12853</v>
      </c>
      <c r="M28" s="2">
        <f t="shared" si="79"/>
        <v>13091</v>
      </c>
      <c r="N28" s="2">
        <f t="shared" si="79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80">+R24-R27</f>
        <v>23786</v>
      </c>
      <c r="S28" s="2">
        <f t="shared" ref="S28" si="81">+S24-S27</f>
        <v>41488</v>
      </c>
      <c r="T28" s="2">
        <f>+T24-T27</f>
        <v>29979</v>
      </c>
      <c r="U28" s="2">
        <f t="shared" ref="U28" si="82">+U24-U27</f>
        <v>23076</v>
      </c>
      <c r="V28" s="2">
        <f t="shared" ref="V28:Z28" si="83">+V24-V27</f>
        <v>24894</v>
      </c>
      <c r="W28" s="2">
        <f t="shared" si="83"/>
        <v>36016</v>
      </c>
      <c r="X28" s="2">
        <f t="shared" si="83"/>
        <v>28318</v>
      </c>
      <c r="Y28" s="2">
        <f t="shared" si="83"/>
        <v>23030.991999999998</v>
      </c>
      <c r="Z28" s="2">
        <f t="shared" si="83"/>
        <v>27703.205200000004</v>
      </c>
      <c r="AD28" s="2">
        <f t="shared" ref="AD28:AE28" si="84">+AD24-AD27</f>
        <v>620</v>
      </c>
      <c r="AE28" s="2">
        <f t="shared" si="84"/>
        <v>-333</v>
      </c>
      <c r="AF28" s="2">
        <f t="shared" ref="AF28:AH28" si="85">+AF24-AF27</f>
        <v>48</v>
      </c>
      <c r="AG28" s="2">
        <f t="shared" si="85"/>
        <v>25</v>
      </c>
      <c r="AH28" s="2">
        <f t="shared" si="85"/>
        <v>349</v>
      </c>
      <c r="AI28" s="2">
        <f t="shared" ref="AI28:AJ28" si="86">+AI24-AI27</f>
        <v>1650</v>
      </c>
      <c r="AJ28" s="2">
        <f t="shared" si="86"/>
        <v>2453</v>
      </c>
      <c r="AK28" s="2">
        <f t="shared" ref="AK28:AL28" si="87">+AK24-AK27</f>
        <v>4409</v>
      </c>
      <c r="AL28" s="2">
        <f t="shared" si="87"/>
        <v>8327</v>
      </c>
      <c r="AM28" s="2">
        <f t="shared" ref="AM28:AO28" si="88">+AM24-AM27</f>
        <v>11740</v>
      </c>
      <c r="AN28" s="2">
        <f t="shared" si="88"/>
        <v>18385</v>
      </c>
      <c r="AO28" s="2">
        <f t="shared" si="88"/>
        <v>33790</v>
      </c>
      <c r="AP28" s="2">
        <f t="shared" ref="AP28:AU28" si="89">+AP24-AP27</f>
        <v>55241</v>
      </c>
      <c r="AQ28" s="2">
        <f t="shared" si="89"/>
        <v>48999</v>
      </c>
      <c r="AR28" s="2">
        <f t="shared" si="89"/>
        <v>52503</v>
      </c>
      <c r="AS28" s="2">
        <f t="shared" si="89"/>
        <v>71230</v>
      </c>
      <c r="AT28" s="2">
        <f t="shared" si="89"/>
        <v>60024</v>
      </c>
      <c r="AU28" s="2">
        <f t="shared" si="89"/>
        <v>61344</v>
      </c>
      <c r="AV28" s="2">
        <f t="shared" ref="AV28:AW28" si="90">+AV24-AV27</f>
        <v>70898</v>
      </c>
      <c r="AW28" s="2">
        <f t="shared" si="90"/>
        <v>63930</v>
      </c>
      <c r="AX28" s="2">
        <f>+AX24-AX27</f>
        <v>66288</v>
      </c>
      <c r="AY28" s="2">
        <f>+AY24-AY27</f>
        <v>108949</v>
      </c>
      <c r="AZ28" s="2">
        <f>+AZ24-AZ27</f>
        <v>119437</v>
      </c>
      <c r="BA28" s="2">
        <f t="shared" ref="BA28:BR28" si="91">+BA24-BA27</f>
        <v>117062.53080000001</v>
      </c>
      <c r="BB28" s="2">
        <f t="shared" si="91"/>
        <v>134607.00530792042</v>
      </c>
      <c r="BC28" s="2">
        <f t="shared" si="91"/>
        <v>150739.19716233748</v>
      </c>
      <c r="BD28" s="2">
        <f t="shared" si="91"/>
        <v>164006.22426892084</v>
      </c>
      <c r="BE28" s="2">
        <f t="shared" si="91"/>
        <v>178414.37543670338</v>
      </c>
      <c r="BF28" s="2">
        <f t="shared" si="91"/>
        <v>194064.77129476459</v>
      </c>
      <c r="BG28" s="2">
        <f t="shared" si="91"/>
        <v>205724.60753285926</v>
      </c>
      <c r="BH28" s="2">
        <f t="shared" si="91"/>
        <v>216800.92752853991</v>
      </c>
      <c r="BI28" s="2">
        <f t="shared" si="91"/>
        <v>228452.00684980184</v>
      </c>
      <c r="BJ28" s="2">
        <f t="shared" si="91"/>
        <v>240707.19203675454</v>
      </c>
      <c r="BK28" s="2">
        <f t="shared" si="91"/>
        <v>253597.32038386326</v>
      </c>
      <c r="BL28" s="2">
        <f t="shared" si="91"/>
        <v>265907.45473644789</v>
      </c>
      <c r="BM28" s="2">
        <f t="shared" si="91"/>
        <v>278527.69970540423</v>
      </c>
      <c r="BN28" s="2">
        <f t="shared" si="91"/>
        <v>291743.71567594889</v>
      </c>
      <c r="BO28" s="2">
        <f t="shared" si="91"/>
        <v>305583.67494381795</v>
      </c>
      <c r="BP28" s="2">
        <f t="shared" si="91"/>
        <v>320077.08904144564</v>
      </c>
      <c r="BQ28" s="2">
        <f t="shared" si="91"/>
        <v>335254.87283623754</v>
      </c>
      <c r="BR28" s="2">
        <f t="shared" si="91"/>
        <v>351149.41171849973</v>
      </c>
    </row>
    <row r="29" spans="2:182" s="2" customFormat="1" x14ac:dyDescent="0.2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f>AVERAGE(U29:X29)</f>
        <v>-144</v>
      </c>
      <c r="Z29" s="2">
        <f>AVERAGE(V29:Y29)</f>
        <v>-177.5</v>
      </c>
      <c r="AD29" s="2">
        <v>203</v>
      </c>
      <c r="AE29" s="2">
        <v>217</v>
      </c>
      <c r="AF29" s="2">
        <v>70</v>
      </c>
      <c r="AG29" s="2">
        <v>93</v>
      </c>
      <c r="AH29" s="2">
        <v>57</v>
      </c>
      <c r="AI29" s="2">
        <v>165</v>
      </c>
      <c r="AJ29" s="2">
        <v>365</v>
      </c>
      <c r="AK29" s="2">
        <v>599</v>
      </c>
      <c r="AL29" s="2">
        <v>620</v>
      </c>
      <c r="AM29" s="2">
        <v>326</v>
      </c>
      <c r="AN29" s="2">
        <v>155</v>
      </c>
      <c r="AO29" s="2">
        <v>415</v>
      </c>
      <c r="AP29" s="2">
        <v>522</v>
      </c>
      <c r="AQ29" s="2">
        <v>1156</v>
      </c>
      <c r="AR29" s="2">
        <v>980</v>
      </c>
      <c r="AS29" s="2">
        <v>1285</v>
      </c>
      <c r="AT29" s="2">
        <v>1348</v>
      </c>
      <c r="AU29" s="2">
        <v>2745</v>
      </c>
      <c r="AV29" s="7">
        <v>2005</v>
      </c>
      <c r="AW29" s="7">
        <v>1807</v>
      </c>
      <c r="AX29" s="7">
        <f>SUM(K29:N29)</f>
        <v>803</v>
      </c>
      <c r="AY29" s="7">
        <f t="shared" ref="AY29" si="92">SUM(O29:R29)</f>
        <v>258</v>
      </c>
      <c r="AZ29" s="7">
        <f t="shared" ref="AZ29" si="93">SUM(S29:V29)</f>
        <v>-334</v>
      </c>
    </row>
    <row r="30" spans="2:182" s="2" customFormat="1" x14ac:dyDescent="0.2">
      <c r="B30" s="2" t="s">
        <v>34</v>
      </c>
      <c r="C30" s="2">
        <f t="shared" ref="C30" si="94">+C28+C29</f>
        <v>27030</v>
      </c>
      <c r="D30" s="2">
        <f t="shared" ref="D30:F30" si="95">+D28+D29</f>
        <v>16168</v>
      </c>
      <c r="E30" s="2">
        <f t="shared" si="95"/>
        <v>13284</v>
      </c>
      <c r="F30" s="2">
        <f t="shared" si="95"/>
        <v>16421</v>
      </c>
      <c r="K30" s="2">
        <f t="shared" ref="K30:N30" si="96">+K28+K29</f>
        <v>25918</v>
      </c>
      <c r="L30" s="2">
        <f t="shared" si="96"/>
        <v>13135</v>
      </c>
      <c r="M30" s="2">
        <f t="shared" si="96"/>
        <v>13137</v>
      </c>
      <c r="N30" s="2">
        <f t="shared" si="96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97">+R28+R29</f>
        <v>23248</v>
      </c>
      <c r="S30" s="2">
        <f t="shared" ref="S30" si="98">+S28+S29</f>
        <v>41241</v>
      </c>
      <c r="T30" s="2">
        <f>+T28+T29</f>
        <v>30139</v>
      </c>
      <c r="U30" s="2">
        <f t="shared" ref="U30:Z30" si="99">+U28+U29</f>
        <v>23066</v>
      </c>
      <c r="V30" s="2">
        <f t="shared" si="99"/>
        <v>24657</v>
      </c>
      <c r="W30" s="2">
        <f t="shared" si="99"/>
        <v>35623</v>
      </c>
      <c r="X30" s="2">
        <f t="shared" si="99"/>
        <v>28382</v>
      </c>
      <c r="Y30" s="2">
        <f t="shared" si="99"/>
        <v>22886.991999999998</v>
      </c>
      <c r="Z30" s="2">
        <f t="shared" si="99"/>
        <v>27525.705200000004</v>
      </c>
      <c r="AD30" s="2">
        <f t="shared" ref="AD30:AE30" si="100">+AD28+AD29</f>
        <v>823</v>
      </c>
      <c r="AE30" s="2">
        <f t="shared" si="100"/>
        <v>-116</v>
      </c>
      <c r="AF30" s="2">
        <f t="shared" ref="AF30:AH30" si="101">+AF28+AF29</f>
        <v>118</v>
      </c>
      <c r="AG30" s="2">
        <f t="shared" si="101"/>
        <v>118</v>
      </c>
      <c r="AH30" s="2">
        <f t="shared" si="101"/>
        <v>406</v>
      </c>
      <c r="AI30" s="2">
        <f t="shared" ref="AI30:AJ30" si="102">+AI28+AI29</f>
        <v>1815</v>
      </c>
      <c r="AJ30" s="2">
        <f t="shared" si="102"/>
        <v>2818</v>
      </c>
      <c r="AK30" s="2">
        <f t="shared" ref="AK30:AL30" si="103">+AK28+AK29</f>
        <v>5008</v>
      </c>
      <c r="AL30" s="2">
        <f t="shared" si="103"/>
        <v>8947</v>
      </c>
      <c r="AM30" s="2">
        <f t="shared" ref="AM30:AO30" si="104">+AM28+AM29</f>
        <v>12066</v>
      </c>
      <c r="AN30" s="2">
        <f t="shared" si="104"/>
        <v>18540</v>
      </c>
      <c r="AO30" s="2">
        <f t="shared" si="104"/>
        <v>34205</v>
      </c>
      <c r="AP30" s="2">
        <f t="shared" ref="AP30:AU30" si="105">+AP28+AP29</f>
        <v>55763</v>
      </c>
      <c r="AQ30" s="2">
        <f t="shared" si="105"/>
        <v>50155</v>
      </c>
      <c r="AR30" s="2">
        <f t="shared" si="105"/>
        <v>53483</v>
      </c>
      <c r="AS30" s="2">
        <f t="shared" si="105"/>
        <v>72515</v>
      </c>
      <c r="AT30" s="2">
        <f t="shared" si="105"/>
        <v>61372</v>
      </c>
      <c r="AU30" s="2">
        <f t="shared" si="105"/>
        <v>64089</v>
      </c>
      <c r="AV30" s="2">
        <f t="shared" ref="AV30:AW30" si="106">+AV28+AV29</f>
        <v>72903</v>
      </c>
      <c r="AW30" s="2">
        <f t="shared" si="106"/>
        <v>65737</v>
      </c>
      <c r="AX30" s="2">
        <f>+AX28+AX29</f>
        <v>67091</v>
      </c>
      <c r="AY30" s="2">
        <f>+AY28+AY29</f>
        <v>109207</v>
      </c>
      <c r="AZ30" s="2">
        <f>+AZ28+AZ29</f>
        <v>119103</v>
      </c>
      <c r="BA30" s="2">
        <f t="shared" ref="BA30:BR30" si="107">+BA28+BA29</f>
        <v>117062.53080000001</v>
      </c>
      <c r="BB30" s="2">
        <f t="shared" si="107"/>
        <v>134607.00530792042</v>
      </c>
      <c r="BC30" s="2">
        <f t="shared" si="107"/>
        <v>150739.19716233748</v>
      </c>
      <c r="BD30" s="2">
        <f t="shared" si="107"/>
        <v>164006.22426892084</v>
      </c>
      <c r="BE30" s="2">
        <f t="shared" si="107"/>
        <v>178414.37543670338</v>
      </c>
      <c r="BF30" s="2">
        <f t="shared" si="107"/>
        <v>194064.77129476459</v>
      </c>
      <c r="BG30" s="2">
        <f t="shared" si="107"/>
        <v>205724.60753285926</v>
      </c>
      <c r="BH30" s="2">
        <f t="shared" si="107"/>
        <v>216800.92752853991</v>
      </c>
      <c r="BI30" s="2">
        <f t="shared" si="107"/>
        <v>228452.00684980184</v>
      </c>
      <c r="BJ30" s="2">
        <f t="shared" si="107"/>
        <v>240707.19203675454</v>
      </c>
      <c r="BK30" s="2">
        <f t="shared" si="107"/>
        <v>253597.32038386326</v>
      </c>
      <c r="BL30" s="2">
        <f t="shared" si="107"/>
        <v>265907.45473644789</v>
      </c>
      <c r="BM30" s="2">
        <f t="shared" si="107"/>
        <v>278527.69970540423</v>
      </c>
      <c r="BN30" s="2">
        <f t="shared" si="107"/>
        <v>291743.71567594889</v>
      </c>
      <c r="BO30" s="2">
        <f t="shared" si="107"/>
        <v>305583.67494381795</v>
      </c>
      <c r="BP30" s="2">
        <f t="shared" si="107"/>
        <v>320077.08904144564</v>
      </c>
      <c r="BQ30" s="2">
        <f t="shared" si="107"/>
        <v>335254.87283623754</v>
      </c>
      <c r="BR30" s="2">
        <f t="shared" si="107"/>
        <v>351149.41171849973</v>
      </c>
    </row>
    <row r="31" spans="2:182" s="2" customFormat="1" x14ac:dyDescent="0.2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f>Y30*0.16</f>
        <v>3661.9187199999997</v>
      </c>
      <c r="Z31" s="2">
        <f>Z30*0.16</f>
        <v>4404.1128320000007</v>
      </c>
      <c r="AD31" s="2">
        <v>306</v>
      </c>
      <c r="AE31" s="2">
        <v>0</v>
      </c>
      <c r="AF31" s="2">
        <v>22</v>
      </c>
      <c r="AG31" s="2">
        <v>24</v>
      </c>
      <c r="AH31" s="2">
        <v>107</v>
      </c>
      <c r="AI31" s="2">
        <v>480</v>
      </c>
      <c r="AJ31" s="2">
        <v>829</v>
      </c>
      <c r="AK31" s="2">
        <v>1512</v>
      </c>
      <c r="AL31" s="2">
        <v>2828</v>
      </c>
      <c r="AM31" s="2">
        <v>3831</v>
      </c>
      <c r="AN31" s="2">
        <v>4527</v>
      </c>
      <c r="AO31" s="2">
        <v>8283</v>
      </c>
      <c r="AP31" s="2">
        <v>14030</v>
      </c>
      <c r="AQ31" s="2">
        <v>13118</v>
      </c>
      <c r="AR31" s="2">
        <v>13973</v>
      </c>
      <c r="AS31" s="2">
        <v>19121</v>
      </c>
      <c r="AT31" s="2">
        <v>15685</v>
      </c>
      <c r="AU31" s="2">
        <v>15738</v>
      </c>
      <c r="AV31" s="7">
        <v>13372</v>
      </c>
      <c r="AW31" s="7">
        <v>10481</v>
      </c>
      <c r="AX31" s="7">
        <f>SUM(K31:N31)</f>
        <v>9680</v>
      </c>
      <c r="AY31" s="7">
        <f t="shared" ref="AY31" si="108">SUM(O31:R31)</f>
        <v>14527</v>
      </c>
      <c r="AZ31" s="7">
        <f t="shared" ref="AZ31" si="109">SUM(S31:V31)</f>
        <v>19300</v>
      </c>
      <c r="BA31" s="2">
        <f>+BA30*0.2</f>
        <v>23412.506160000004</v>
      </c>
      <c r="BB31" s="2">
        <f t="shared" ref="BB31:BR31" si="110">+BB30*0.2</f>
        <v>26921.401061584085</v>
      </c>
      <c r="BC31" s="2">
        <f t="shared" si="110"/>
        <v>30147.839432467499</v>
      </c>
      <c r="BD31" s="2">
        <f t="shared" si="110"/>
        <v>32801.24485378417</v>
      </c>
      <c r="BE31" s="2">
        <f t="shared" si="110"/>
        <v>35682.875087340675</v>
      </c>
      <c r="BF31" s="2">
        <f t="shared" si="110"/>
        <v>38812.954258952923</v>
      </c>
      <c r="BG31" s="2">
        <f t="shared" si="110"/>
        <v>41144.921506571853</v>
      </c>
      <c r="BH31" s="2">
        <f t="shared" si="110"/>
        <v>43360.185505707981</v>
      </c>
      <c r="BI31" s="2">
        <f t="shared" si="110"/>
        <v>45690.401369960367</v>
      </c>
      <c r="BJ31" s="2">
        <f t="shared" si="110"/>
        <v>48141.438407350914</v>
      </c>
      <c r="BK31" s="2">
        <f t="shared" si="110"/>
        <v>50719.464076772652</v>
      </c>
      <c r="BL31" s="2">
        <f t="shared" si="110"/>
        <v>53181.490947289582</v>
      </c>
      <c r="BM31" s="2">
        <f t="shared" si="110"/>
        <v>55705.539941080846</v>
      </c>
      <c r="BN31" s="2">
        <f t="shared" si="110"/>
        <v>58348.743135189783</v>
      </c>
      <c r="BO31" s="2">
        <f t="shared" si="110"/>
        <v>61116.734988763594</v>
      </c>
      <c r="BP31" s="2">
        <f t="shared" si="110"/>
        <v>64015.41780828913</v>
      </c>
      <c r="BQ31" s="2">
        <f t="shared" si="110"/>
        <v>67050.974567247511</v>
      </c>
      <c r="BR31" s="2">
        <f t="shared" si="110"/>
        <v>70229.882343699952</v>
      </c>
    </row>
    <row r="32" spans="2:182" s="2" customFormat="1" x14ac:dyDescent="0.2">
      <c r="B32" s="2" t="s">
        <v>32</v>
      </c>
      <c r="C32" s="2">
        <f t="shared" ref="C32" si="111">+C30-C31</f>
        <v>20065</v>
      </c>
      <c r="D32" s="2">
        <f t="shared" ref="D32:F32" si="112">+D30-D31</f>
        <v>13822</v>
      </c>
      <c r="E32" s="2">
        <f t="shared" si="112"/>
        <v>11519</v>
      </c>
      <c r="F32" s="2">
        <f t="shared" si="112"/>
        <v>14125</v>
      </c>
      <c r="K32" s="2">
        <f t="shared" ref="K32:N32" si="113">+K30-K31</f>
        <v>22236</v>
      </c>
      <c r="L32" s="2">
        <f t="shared" si="113"/>
        <v>11249</v>
      </c>
      <c r="M32" s="2">
        <f t="shared" si="113"/>
        <v>11253</v>
      </c>
      <c r="N32" s="2">
        <f t="shared" si="113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14">+R30-R31</f>
        <v>20551</v>
      </c>
      <c r="S32" s="2">
        <f t="shared" ref="S32" si="115">+S30-S31</f>
        <v>34630</v>
      </c>
      <c r="T32" s="2">
        <f>+T30-T31</f>
        <v>25010</v>
      </c>
      <c r="U32" s="2">
        <f t="shared" ref="U32:Z32" si="116">+U30-U31</f>
        <v>19442</v>
      </c>
      <c r="V32" s="2">
        <f t="shared" si="116"/>
        <v>20721</v>
      </c>
      <c r="W32" s="2">
        <f t="shared" si="116"/>
        <v>29998</v>
      </c>
      <c r="X32" s="2">
        <f t="shared" si="116"/>
        <v>24160</v>
      </c>
      <c r="Y32" s="2">
        <f t="shared" si="116"/>
        <v>19225.073279999997</v>
      </c>
      <c r="Z32" s="2">
        <f t="shared" si="116"/>
        <v>23121.592368000005</v>
      </c>
      <c r="AD32" s="2">
        <f t="shared" ref="AD32:AE32" si="117">+AD30-AD31</f>
        <v>517</v>
      </c>
      <c r="AE32" s="2">
        <f t="shared" si="117"/>
        <v>-116</v>
      </c>
      <c r="AF32" s="2">
        <f t="shared" ref="AF32:AH32" si="118">+AF30-AF31</f>
        <v>96</v>
      </c>
      <c r="AG32" s="2">
        <f t="shared" si="118"/>
        <v>94</v>
      </c>
      <c r="AH32" s="2">
        <f t="shared" si="118"/>
        <v>299</v>
      </c>
      <c r="AI32" s="2">
        <f t="shared" ref="AI32:AJ32" si="119">+AI30-AI31</f>
        <v>1335</v>
      </c>
      <c r="AJ32" s="2">
        <f t="shared" si="119"/>
        <v>1989</v>
      </c>
      <c r="AK32" s="2">
        <f t="shared" ref="AK32:AL32" si="120">+AK30-AK31</f>
        <v>3496</v>
      </c>
      <c r="AL32" s="2">
        <f t="shared" si="120"/>
        <v>6119</v>
      </c>
      <c r="AM32" s="2">
        <f t="shared" ref="AM32:AO32" si="121">+AM30-AM31</f>
        <v>8235</v>
      </c>
      <c r="AN32" s="2">
        <f t="shared" si="121"/>
        <v>14013</v>
      </c>
      <c r="AO32" s="2">
        <f t="shared" si="121"/>
        <v>25922</v>
      </c>
      <c r="AP32" s="2">
        <f t="shared" ref="AP32:AU32" si="122">+AP30-AP31</f>
        <v>41733</v>
      </c>
      <c r="AQ32" s="2">
        <f t="shared" si="122"/>
        <v>37037</v>
      </c>
      <c r="AR32" s="2">
        <f t="shared" si="122"/>
        <v>39510</v>
      </c>
      <c r="AS32" s="2">
        <f t="shared" si="122"/>
        <v>53394</v>
      </c>
      <c r="AT32" s="2">
        <f t="shared" si="122"/>
        <v>45687</v>
      </c>
      <c r="AU32" s="2">
        <f t="shared" si="122"/>
        <v>48351</v>
      </c>
      <c r="AV32" s="2">
        <f t="shared" ref="AV32:AW32" si="123">+AV30-AV31</f>
        <v>59531</v>
      </c>
      <c r="AW32" s="2">
        <f t="shared" si="123"/>
        <v>55256</v>
      </c>
      <c r="AX32" s="2">
        <f>+AX30-AX31</f>
        <v>57411</v>
      </c>
      <c r="AY32" s="2">
        <f>+AY30-AY31</f>
        <v>94680</v>
      </c>
      <c r="AZ32" s="2">
        <f>+AZ30-AZ31</f>
        <v>99803</v>
      </c>
      <c r="BA32" s="2">
        <f>+BA30-BA31</f>
        <v>93650.024640000003</v>
      </c>
      <c r="BB32" s="2">
        <f t="shared" ref="BB32:BR32" si="124">+BB30-BB31</f>
        <v>107685.60424633634</v>
      </c>
      <c r="BC32" s="2">
        <f t="shared" si="124"/>
        <v>120591.35772986998</v>
      </c>
      <c r="BD32" s="2">
        <f t="shared" si="124"/>
        <v>131204.97941513668</v>
      </c>
      <c r="BE32" s="2">
        <f t="shared" si="124"/>
        <v>142731.5003493627</v>
      </c>
      <c r="BF32" s="2">
        <f t="shared" si="124"/>
        <v>155251.81703581166</v>
      </c>
      <c r="BG32" s="2">
        <f t="shared" si="124"/>
        <v>164579.68602628741</v>
      </c>
      <c r="BH32" s="2">
        <f t="shared" si="124"/>
        <v>173440.74202283192</v>
      </c>
      <c r="BI32" s="2">
        <f t="shared" si="124"/>
        <v>182761.60547984147</v>
      </c>
      <c r="BJ32" s="2">
        <f t="shared" si="124"/>
        <v>192565.75362940363</v>
      </c>
      <c r="BK32" s="2">
        <f t="shared" si="124"/>
        <v>202877.85630709061</v>
      </c>
      <c r="BL32" s="2">
        <f t="shared" si="124"/>
        <v>212725.96378915833</v>
      </c>
      <c r="BM32" s="2">
        <f t="shared" si="124"/>
        <v>222822.15976432338</v>
      </c>
      <c r="BN32" s="2">
        <f t="shared" si="124"/>
        <v>233394.9725407591</v>
      </c>
      <c r="BO32" s="2">
        <f t="shared" si="124"/>
        <v>244466.93995505437</v>
      </c>
      <c r="BP32" s="2">
        <f t="shared" si="124"/>
        <v>256061.67123315652</v>
      </c>
      <c r="BQ32" s="2">
        <f t="shared" si="124"/>
        <v>268203.89826899004</v>
      </c>
      <c r="BR32" s="2">
        <f t="shared" si="124"/>
        <v>280919.52937479981</v>
      </c>
      <c r="BS32" s="2">
        <f>+BR32*(1+$BU$37)</f>
        <v>278110.33408105181</v>
      </c>
      <c r="BT32" s="2">
        <f t="shared" ref="BT32:EE32" si="125">+BS32*(1+$BU$37)</f>
        <v>275329.2307402413</v>
      </c>
      <c r="BU32" s="2">
        <f t="shared" si="125"/>
        <v>272575.93843283888</v>
      </c>
      <c r="BV32" s="2">
        <f t="shared" si="125"/>
        <v>269850.1790485105</v>
      </c>
      <c r="BW32" s="2">
        <f t="shared" si="125"/>
        <v>267151.67725802539</v>
      </c>
      <c r="BX32" s="2">
        <f t="shared" si="125"/>
        <v>264480.16048544511</v>
      </c>
      <c r="BY32" s="2">
        <f t="shared" si="125"/>
        <v>261835.35888059065</v>
      </c>
      <c r="BZ32" s="2">
        <f t="shared" si="125"/>
        <v>259217.00529178474</v>
      </c>
      <c r="CA32" s="2">
        <f t="shared" si="125"/>
        <v>256624.83523886689</v>
      </c>
      <c r="CB32" s="2">
        <f t="shared" si="125"/>
        <v>254058.58688647821</v>
      </c>
      <c r="CC32" s="2">
        <f t="shared" si="125"/>
        <v>251518.00101761342</v>
      </c>
      <c r="CD32" s="2">
        <f t="shared" si="125"/>
        <v>249002.82100743728</v>
      </c>
      <c r="CE32" s="2">
        <f t="shared" si="125"/>
        <v>246512.7927973629</v>
      </c>
      <c r="CF32" s="2">
        <f t="shared" si="125"/>
        <v>244047.66486938926</v>
      </c>
      <c r="CG32" s="2">
        <f t="shared" si="125"/>
        <v>241607.18822069536</v>
      </c>
      <c r="CH32" s="2">
        <f t="shared" si="125"/>
        <v>239191.11633848841</v>
      </c>
      <c r="CI32" s="2">
        <f t="shared" si="125"/>
        <v>236799.20517510353</v>
      </c>
      <c r="CJ32" s="2">
        <f t="shared" si="125"/>
        <v>234431.2131233525</v>
      </c>
      <c r="CK32" s="2">
        <f t="shared" si="125"/>
        <v>232086.90099211899</v>
      </c>
      <c r="CL32" s="2">
        <f t="shared" si="125"/>
        <v>229766.0319821978</v>
      </c>
      <c r="CM32" s="2">
        <f t="shared" si="125"/>
        <v>227468.37166237584</v>
      </c>
      <c r="CN32" s="2">
        <f t="shared" si="125"/>
        <v>225193.68794575208</v>
      </c>
      <c r="CO32" s="2">
        <f t="shared" si="125"/>
        <v>222941.75106629456</v>
      </c>
      <c r="CP32" s="2">
        <f t="shared" si="125"/>
        <v>220712.3335556316</v>
      </c>
      <c r="CQ32" s="2">
        <f t="shared" si="125"/>
        <v>218505.21022007527</v>
      </c>
      <c r="CR32" s="2">
        <f t="shared" si="125"/>
        <v>216320.15811787453</v>
      </c>
      <c r="CS32" s="2">
        <f t="shared" si="125"/>
        <v>214156.95653669577</v>
      </c>
      <c r="CT32" s="2">
        <f t="shared" si="125"/>
        <v>212015.38697132881</v>
      </c>
      <c r="CU32" s="2">
        <f t="shared" si="125"/>
        <v>209895.23310161554</v>
      </c>
      <c r="CV32" s="2">
        <f t="shared" si="125"/>
        <v>207796.28077059938</v>
      </c>
      <c r="CW32" s="2">
        <f t="shared" si="125"/>
        <v>205718.31796289337</v>
      </c>
      <c r="CX32" s="2">
        <f t="shared" si="125"/>
        <v>203661.13478326442</v>
      </c>
      <c r="CY32" s="2">
        <f t="shared" si="125"/>
        <v>201624.52343543177</v>
      </c>
      <c r="CZ32" s="2">
        <f t="shared" si="125"/>
        <v>199608.27820107745</v>
      </c>
      <c r="DA32" s="2">
        <f t="shared" si="125"/>
        <v>197612.19541906667</v>
      </c>
      <c r="DB32" s="2">
        <f t="shared" si="125"/>
        <v>195636.07346487601</v>
      </c>
      <c r="DC32" s="2">
        <f t="shared" si="125"/>
        <v>193679.71273022724</v>
      </c>
      <c r="DD32" s="2">
        <f t="shared" si="125"/>
        <v>191742.91560292497</v>
      </c>
      <c r="DE32" s="2">
        <f t="shared" si="125"/>
        <v>189825.48644689572</v>
      </c>
      <c r="DF32" s="2">
        <f t="shared" si="125"/>
        <v>187927.23158242676</v>
      </c>
      <c r="DG32" s="2">
        <f t="shared" si="125"/>
        <v>186047.9592666025</v>
      </c>
      <c r="DH32" s="2">
        <f t="shared" si="125"/>
        <v>184187.47967393647</v>
      </c>
      <c r="DI32" s="2">
        <f t="shared" si="125"/>
        <v>182345.6048771971</v>
      </c>
      <c r="DJ32" s="2">
        <f t="shared" si="125"/>
        <v>180522.14882842512</v>
      </c>
      <c r="DK32" s="2">
        <f t="shared" si="125"/>
        <v>178716.92734014086</v>
      </c>
      <c r="DL32" s="2">
        <f t="shared" si="125"/>
        <v>176929.75806673945</v>
      </c>
      <c r="DM32" s="2">
        <f t="shared" si="125"/>
        <v>175160.46048607206</v>
      </c>
      <c r="DN32" s="2">
        <f t="shared" si="125"/>
        <v>173408.85588121135</v>
      </c>
      <c r="DO32" s="2">
        <f t="shared" si="125"/>
        <v>171674.76732239925</v>
      </c>
      <c r="DP32" s="2">
        <f t="shared" si="125"/>
        <v>169958.01964917526</v>
      </c>
      <c r="DQ32" s="2">
        <f t="shared" si="125"/>
        <v>168258.43945268349</v>
      </c>
      <c r="DR32" s="2">
        <f t="shared" si="125"/>
        <v>166575.85505815665</v>
      </c>
      <c r="DS32" s="2">
        <f t="shared" si="125"/>
        <v>164910.09650757507</v>
      </c>
      <c r="DT32" s="2">
        <f t="shared" si="125"/>
        <v>163260.99554249932</v>
      </c>
      <c r="DU32" s="2">
        <f t="shared" si="125"/>
        <v>161628.38558707433</v>
      </c>
      <c r="DV32" s="2">
        <f t="shared" si="125"/>
        <v>160012.10173120358</v>
      </c>
      <c r="DW32" s="2">
        <f t="shared" si="125"/>
        <v>158411.98071389153</v>
      </c>
      <c r="DX32" s="2">
        <f t="shared" si="125"/>
        <v>156827.86090675261</v>
      </c>
      <c r="DY32" s="2">
        <f t="shared" si="125"/>
        <v>155259.58229768509</v>
      </c>
      <c r="DZ32" s="2">
        <f t="shared" si="125"/>
        <v>153706.98647470825</v>
      </c>
      <c r="EA32" s="2">
        <f t="shared" si="125"/>
        <v>152169.91660996116</v>
      </c>
      <c r="EB32" s="2">
        <f t="shared" si="125"/>
        <v>150648.21744386156</v>
      </c>
      <c r="EC32" s="2">
        <f t="shared" si="125"/>
        <v>149141.73526942293</v>
      </c>
      <c r="ED32" s="2">
        <f t="shared" si="125"/>
        <v>147650.3179167287</v>
      </c>
      <c r="EE32" s="2">
        <f t="shared" si="125"/>
        <v>146173.81473756142</v>
      </c>
      <c r="EF32" s="2">
        <f t="shared" ref="EF32:FZ32" si="126">+EE32*(1+$BU$37)</f>
        <v>144712.07659018581</v>
      </c>
      <c r="EG32" s="2">
        <f t="shared" si="126"/>
        <v>143264.95582428394</v>
      </c>
      <c r="EH32" s="2">
        <f t="shared" si="126"/>
        <v>141832.30626604109</v>
      </c>
      <c r="EI32" s="2">
        <f t="shared" si="126"/>
        <v>140413.98320338069</v>
      </c>
      <c r="EJ32" s="2">
        <f t="shared" si="126"/>
        <v>139009.84337134688</v>
      </c>
      <c r="EK32" s="2">
        <f t="shared" si="126"/>
        <v>137619.74493763343</v>
      </c>
      <c r="EL32" s="2">
        <f t="shared" si="126"/>
        <v>136243.54748825709</v>
      </c>
      <c r="EM32" s="2">
        <f t="shared" si="126"/>
        <v>134881.11201337451</v>
      </c>
      <c r="EN32" s="2">
        <f t="shared" si="126"/>
        <v>133532.30089324075</v>
      </c>
      <c r="EO32" s="2">
        <f t="shared" si="126"/>
        <v>132196.97788430835</v>
      </c>
      <c r="EP32" s="2">
        <f t="shared" si="126"/>
        <v>130875.00810546527</v>
      </c>
      <c r="EQ32" s="2">
        <f t="shared" si="126"/>
        <v>129566.25802441062</v>
      </c>
      <c r="ER32" s="2">
        <f t="shared" si="126"/>
        <v>128270.59544416651</v>
      </c>
      <c r="ES32" s="2">
        <f t="shared" si="126"/>
        <v>126987.88948972484</v>
      </c>
      <c r="ET32" s="2">
        <f t="shared" si="126"/>
        <v>125718.01059482759</v>
      </c>
      <c r="EU32" s="2">
        <f t="shared" si="126"/>
        <v>124460.83048887931</v>
      </c>
      <c r="EV32" s="2">
        <f t="shared" si="126"/>
        <v>123216.22218399051</v>
      </c>
      <c r="EW32" s="2">
        <f t="shared" si="126"/>
        <v>121984.0599621506</v>
      </c>
      <c r="EX32" s="2">
        <f t="shared" si="126"/>
        <v>120764.2193625291</v>
      </c>
      <c r="EY32" s="2">
        <f t="shared" si="126"/>
        <v>119556.57716890381</v>
      </c>
      <c r="EZ32" s="2">
        <f t="shared" si="126"/>
        <v>118361.01139721477</v>
      </c>
      <c r="FA32" s="2">
        <f t="shared" si="126"/>
        <v>117177.40128324262</v>
      </c>
      <c r="FB32" s="2">
        <f t="shared" si="126"/>
        <v>116005.6272704102</v>
      </c>
      <c r="FC32" s="2">
        <f t="shared" si="126"/>
        <v>114845.57099770611</v>
      </c>
      <c r="FD32" s="2">
        <f t="shared" si="126"/>
        <v>113697.11528772904</v>
      </c>
      <c r="FE32" s="2">
        <f t="shared" si="126"/>
        <v>112560.14413485175</v>
      </c>
      <c r="FF32" s="2">
        <f t="shared" si="126"/>
        <v>111434.54269350323</v>
      </c>
      <c r="FG32" s="2">
        <f t="shared" si="126"/>
        <v>110320.1972665682</v>
      </c>
      <c r="FH32" s="2">
        <f t="shared" si="126"/>
        <v>109216.99529390251</v>
      </c>
      <c r="FI32" s="2">
        <f t="shared" si="126"/>
        <v>108124.82534096348</v>
      </c>
      <c r="FJ32" s="2">
        <f t="shared" si="126"/>
        <v>107043.57708755384</v>
      </c>
      <c r="FK32" s="2">
        <f t="shared" si="126"/>
        <v>105973.1413166783</v>
      </c>
      <c r="FL32" s="2">
        <f t="shared" si="126"/>
        <v>104913.40990351152</v>
      </c>
      <c r="FM32" s="2">
        <f t="shared" si="126"/>
        <v>103864.27580447641</v>
      </c>
      <c r="FN32" s="2">
        <f t="shared" si="126"/>
        <v>102825.63304643164</v>
      </c>
      <c r="FO32" s="2">
        <f t="shared" si="126"/>
        <v>101797.37671596733</v>
      </c>
      <c r="FP32" s="2">
        <f t="shared" si="126"/>
        <v>100779.40294880765</v>
      </c>
      <c r="FQ32" s="2">
        <f t="shared" si="126"/>
        <v>99771.608919319566</v>
      </c>
      <c r="FR32" s="2">
        <f t="shared" si="126"/>
        <v>98773.892830126366</v>
      </c>
      <c r="FS32" s="2">
        <f t="shared" si="126"/>
        <v>97786.153901825106</v>
      </c>
      <c r="FT32" s="2">
        <f t="shared" si="126"/>
        <v>96808.292362806853</v>
      </c>
      <c r="FU32" s="2">
        <f t="shared" si="126"/>
        <v>95840.209439178783</v>
      </c>
      <c r="FV32" s="2">
        <f t="shared" si="126"/>
        <v>94881.807344786997</v>
      </c>
      <c r="FW32" s="2">
        <f t="shared" si="126"/>
        <v>93932.989271339131</v>
      </c>
      <c r="FX32" s="2">
        <f t="shared" si="126"/>
        <v>92993.659378625744</v>
      </c>
      <c r="FY32" s="2">
        <f t="shared" si="126"/>
        <v>92063.722784839483</v>
      </c>
      <c r="FZ32" s="2">
        <f t="shared" si="126"/>
        <v>91143.085556991093</v>
      </c>
    </row>
    <row r="33" spans="2:73" s="4" customFormat="1" x14ac:dyDescent="0.2">
      <c r="B33" s="4" t="s">
        <v>36</v>
      </c>
      <c r="C33" s="12">
        <f t="shared" ref="C33" si="127">+C32/C34</f>
        <v>0.97255857987156114</v>
      </c>
      <c r="D33" s="12">
        <f t="shared" ref="D33:F33" si="128">+D32/D34</f>
        <v>0.68176083107937602</v>
      </c>
      <c r="E33" s="12">
        <f t="shared" si="128"/>
        <v>0.58452984598534197</v>
      </c>
      <c r="F33" s="12">
        <f t="shared" si="128"/>
        <v>0.70623460408563088</v>
      </c>
      <c r="G33" s="12"/>
      <c r="H33" s="12"/>
      <c r="I33" s="12"/>
      <c r="J33" s="12"/>
      <c r="K33" s="12">
        <f t="shared" ref="K33:N33" si="129">+K32/K34</f>
        <v>1.2479223042091785</v>
      </c>
      <c r="L33" s="12">
        <f t="shared" si="129"/>
        <v>0.63846699811252383</v>
      </c>
      <c r="M33" s="12">
        <f t="shared" si="129"/>
        <v>0.64601300384622584</v>
      </c>
      <c r="N33" s="12">
        <f t="shared" si="129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30">+R32/R34</f>
        <v>1.2354000701047909</v>
      </c>
      <c r="S33" s="12">
        <f t="shared" ref="S33" si="131">+S32/S34</f>
        <v>2.0963369432743812</v>
      </c>
      <c r="T33" s="12">
        <f>+T32/T34</f>
        <v>1.5246917147727936</v>
      </c>
      <c r="U33" s="12">
        <f t="shared" ref="U33:Z33" si="132">+U32/U34</f>
        <v>1.1955329791418789</v>
      </c>
      <c r="V33" s="12">
        <f t="shared" si="132"/>
        <v>1.2855442500262897</v>
      </c>
      <c r="W33" s="12">
        <f t="shared" si="132"/>
        <v>1.8800783518485347</v>
      </c>
      <c r="X33" s="12">
        <f t="shared" si="132"/>
        <v>1.5245739743359175</v>
      </c>
      <c r="Y33" s="12">
        <f t="shared" si="132"/>
        <v>1.2131641712495385</v>
      </c>
      <c r="Z33" s="12">
        <f t="shared" si="132"/>
        <v>1.4590471013848008</v>
      </c>
      <c r="AD33" s="12">
        <f t="shared" ref="AD33:AE33" si="133">+AD32/AD34</f>
        <v>1.4348197733151276</v>
      </c>
      <c r="AE33" s="12">
        <f t="shared" si="133"/>
        <v>-0.33563552296933274</v>
      </c>
      <c r="AF33" s="12">
        <f t="shared" ref="AF33:AH33" si="134">+AF32/AF34</f>
        <v>0.26535096811642273</v>
      </c>
      <c r="AG33" s="12">
        <f t="shared" si="134"/>
        <v>0.12931058200767059</v>
      </c>
      <c r="AH33" s="12">
        <f t="shared" si="134"/>
        <v>0.38599471742346592</v>
      </c>
      <c r="AI33" s="12">
        <f t="shared" ref="AI33:AJ33" si="135">+AI32/AI34</f>
        <v>1.5581596209061837</v>
      </c>
      <c r="AJ33" s="12">
        <f t="shared" si="135"/>
        <v>2.266599508162721</v>
      </c>
      <c r="AK33" s="12">
        <f t="shared" ref="AK33:AL33" si="136">+AK32/AK34</f>
        <v>3.9312171930029729</v>
      </c>
      <c r="AL33" s="12">
        <f t="shared" si="136"/>
        <v>6.7827685090656757</v>
      </c>
      <c r="AM33" s="12">
        <f t="shared" ref="AM33:AO33" si="137">+AM32/AM34</f>
        <v>9.0793325284866118</v>
      </c>
      <c r="AN33" s="12">
        <f t="shared" si="137"/>
        <v>15.15390737872981</v>
      </c>
      <c r="AO33" s="12">
        <f t="shared" si="137"/>
        <v>27.675373273759003</v>
      </c>
      <c r="AP33" s="12">
        <f t="shared" ref="AP33:AU33" si="138">+AP32/AP34</f>
        <v>6.3064763445557777</v>
      </c>
      <c r="AQ33" s="12">
        <f t="shared" si="138"/>
        <v>5.6790982137298718</v>
      </c>
      <c r="AR33" s="12">
        <f t="shared" si="138"/>
        <v>6.4530744220284548</v>
      </c>
      <c r="AS33" s="12">
        <f t="shared" si="138"/>
        <v>9.216876236067618</v>
      </c>
      <c r="AT33" s="12">
        <f t="shared" si="138"/>
        <v>8.3063028961611227</v>
      </c>
      <c r="AU33" s="12">
        <f t="shared" si="138"/>
        <v>9.2067470826545037</v>
      </c>
      <c r="AV33" s="12">
        <f t="shared" ref="AV33:AW33" si="139">+AV32/AV34</f>
        <v>2.9764851126245446</v>
      </c>
      <c r="AW33" s="12">
        <f t="shared" si="139"/>
        <v>2.9714474637107351</v>
      </c>
      <c r="AX33" s="12">
        <f>+AX32/AX34</f>
        <v>3.2753479151477172</v>
      </c>
      <c r="AY33" s="12">
        <f>+AY32/AY34</f>
        <v>5.6140203576723327</v>
      </c>
      <c r="AZ33" s="12">
        <f>+AZ32/AZ34</f>
        <v>6.1132002950847406</v>
      </c>
      <c r="BA33" s="12">
        <f>+BA32/BA34</f>
        <v>5.7363141214586859</v>
      </c>
      <c r="BB33" s="12">
        <f t="shared" ref="BB33:BR33" si="140">+BB32/BB34</f>
        <v>6.5960308573397786</v>
      </c>
      <c r="BC33" s="12">
        <f t="shared" si="140"/>
        <v>7.3865427257588516</v>
      </c>
      <c r="BD33" s="12">
        <f t="shared" si="140"/>
        <v>8.0366553999098311</v>
      </c>
      <c r="BE33" s="12">
        <f t="shared" si="140"/>
        <v>8.7426855911506856</v>
      </c>
      <c r="BF33" s="12">
        <f t="shared" si="140"/>
        <v>9.5095884263575847</v>
      </c>
      <c r="BG33" s="12">
        <f t="shared" si="140"/>
        <v>10.080945314077274</v>
      </c>
      <c r="BH33" s="12">
        <f t="shared" si="140"/>
        <v>10.62370865919554</v>
      </c>
      <c r="BI33" s="12">
        <f t="shared" si="140"/>
        <v>11.194636439280661</v>
      </c>
      <c r="BJ33" s="12">
        <f t="shared" si="140"/>
        <v>11.79516669749893</v>
      </c>
      <c r="BK33" s="12">
        <f t="shared" si="140"/>
        <v>12.426810527165173</v>
      </c>
      <c r="BL33" s="12">
        <f t="shared" si="140"/>
        <v>13.030033411902131</v>
      </c>
      <c r="BM33" s="12">
        <f t="shared" si="140"/>
        <v>13.648452379414255</v>
      </c>
      <c r="BN33" s="12">
        <f t="shared" si="140"/>
        <v>14.296065398910487</v>
      </c>
      <c r="BO33" s="12">
        <f t="shared" si="140"/>
        <v>14.974252973073975</v>
      </c>
      <c r="BP33" s="12">
        <f t="shared" si="140"/>
        <v>15.684461230047436</v>
      </c>
      <c r="BQ33" s="12">
        <f t="shared" si="140"/>
        <v>16.428205064385516</v>
      </c>
      <c r="BR33" s="12">
        <f t="shared" si="140"/>
        <v>17.207071429406856</v>
      </c>
    </row>
    <row r="34" spans="2:73" s="2" customFormat="1" x14ac:dyDescent="0.2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f>X34</f>
        <v>15847.05</v>
      </c>
      <c r="Z34" s="2">
        <f>Y34</f>
        <v>15847.05</v>
      </c>
      <c r="AD34" s="2">
        <v>360.32400000000001</v>
      </c>
      <c r="AE34" s="2">
        <v>345.613</v>
      </c>
      <c r="AF34" s="2">
        <v>361.78500000000003</v>
      </c>
      <c r="AG34" s="2">
        <v>726.93200000000002</v>
      </c>
      <c r="AH34" s="2">
        <v>774.62199999999996</v>
      </c>
      <c r="AI34" s="2">
        <v>856.78</v>
      </c>
      <c r="AJ34" s="2">
        <v>877.52599999999995</v>
      </c>
      <c r="AK34" s="2">
        <v>889.29200000000003</v>
      </c>
      <c r="AL34" s="2">
        <v>902.13900000000001</v>
      </c>
      <c r="AM34" s="2">
        <v>907.005</v>
      </c>
      <c r="AN34" s="2">
        <v>924.71199999999999</v>
      </c>
      <c r="AO34" s="2">
        <v>936.64499999999998</v>
      </c>
      <c r="AP34" s="2">
        <v>6617.4830000000002</v>
      </c>
      <c r="AQ34" s="2">
        <v>6521.634</v>
      </c>
      <c r="AR34" s="2">
        <v>6122.6629999999996</v>
      </c>
      <c r="AS34" s="2">
        <v>5793.0690000000004</v>
      </c>
      <c r="AT34" s="2">
        <v>5500.2809999999999</v>
      </c>
      <c r="AU34" s="2">
        <v>5251.692</v>
      </c>
      <c r="AV34" s="2">
        <f>5000.109*4</f>
        <v>20000.436000000002</v>
      </c>
      <c r="AW34" s="2">
        <v>18595.651000000002</v>
      </c>
      <c r="AX34" s="2">
        <f>AVERAGE(K34:N34)</f>
        <v>17528.214249999997</v>
      </c>
      <c r="AY34" s="2">
        <f>AVERAGE(O34:R34)</f>
        <v>16864.919249999999</v>
      </c>
      <c r="AZ34" s="2">
        <f>AVERAGE(S34:V34)</f>
        <v>16325.818750000002</v>
      </c>
      <c r="BA34" s="2">
        <f>+AZ34</f>
        <v>16325.818750000002</v>
      </c>
      <c r="BB34" s="2">
        <f t="shared" ref="BB34:BR34" si="141">+BA34</f>
        <v>16325.818750000002</v>
      </c>
      <c r="BC34" s="2">
        <f t="shared" si="141"/>
        <v>16325.818750000002</v>
      </c>
      <c r="BD34" s="2">
        <f t="shared" si="141"/>
        <v>16325.818750000002</v>
      </c>
      <c r="BE34" s="2">
        <f t="shared" si="141"/>
        <v>16325.818750000002</v>
      </c>
      <c r="BF34" s="2">
        <f t="shared" si="141"/>
        <v>16325.818750000002</v>
      </c>
      <c r="BG34" s="2">
        <f t="shared" si="141"/>
        <v>16325.818750000002</v>
      </c>
      <c r="BH34" s="2">
        <f t="shared" si="141"/>
        <v>16325.818750000002</v>
      </c>
      <c r="BI34" s="2">
        <f t="shared" si="141"/>
        <v>16325.818750000002</v>
      </c>
      <c r="BJ34" s="2">
        <f t="shared" si="141"/>
        <v>16325.818750000002</v>
      </c>
      <c r="BK34" s="2">
        <f t="shared" si="141"/>
        <v>16325.818750000002</v>
      </c>
      <c r="BL34" s="2">
        <f t="shared" si="141"/>
        <v>16325.818750000002</v>
      </c>
      <c r="BM34" s="2">
        <f t="shared" si="141"/>
        <v>16325.818750000002</v>
      </c>
      <c r="BN34" s="2">
        <f t="shared" si="141"/>
        <v>16325.818750000002</v>
      </c>
      <c r="BO34" s="2">
        <f t="shared" si="141"/>
        <v>16325.818750000002</v>
      </c>
      <c r="BP34" s="2">
        <f t="shared" si="141"/>
        <v>16325.818750000002</v>
      </c>
      <c r="BQ34" s="2">
        <f t="shared" si="141"/>
        <v>16325.818750000002</v>
      </c>
      <c r="BR34" s="2">
        <f t="shared" si="141"/>
        <v>16325.818750000002</v>
      </c>
    </row>
    <row r="36" spans="2:73" s="4" customFormat="1" x14ac:dyDescent="0.2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42">P20/L20-1</f>
        <v>0.53626121105070901</v>
      </c>
      <c r="Q36" s="9">
        <f t="shared" ref="Q36" si="143">Q20/M20-1</f>
        <v>0.36439641450950822</v>
      </c>
      <c r="R36" s="9">
        <f t="shared" ref="R36" si="144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45">W20/S20-1</f>
        <v>-5.4790431239662762E-2</v>
      </c>
      <c r="X36" s="9">
        <f t="shared" si="145"/>
        <v>-2.5103312156911084E-2</v>
      </c>
      <c r="Y36" s="9">
        <f t="shared" si="145"/>
        <v>-1.1095239817259128E-2</v>
      </c>
      <c r="Z36" s="9">
        <f t="shared" si="145"/>
        <v>2.6940518714086092E-2</v>
      </c>
      <c r="AD36" s="9">
        <f t="shared" ref="AD36:AJ36" si="146">+AD20/AC20-1</f>
        <v>0.30143462667101395</v>
      </c>
      <c r="AE36" s="9">
        <f t="shared" si="146"/>
        <v>-0.32819741951647252</v>
      </c>
      <c r="AF36" s="9">
        <f t="shared" si="146"/>
        <v>7.0669401454409808E-2</v>
      </c>
      <c r="AG36" s="9">
        <f t="shared" si="146"/>
        <v>8.0982236154649945E-2</v>
      </c>
      <c r="AH36" s="9">
        <f t="shared" si="146"/>
        <v>0.33381665861124543</v>
      </c>
      <c r="AI36" s="9">
        <f t="shared" si="146"/>
        <v>0.68269114627370464</v>
      </c>
      <c r="AJ36" s="9">
        <f t="shared" si="146"/>
        <v>0.38647620414902017</v>
      </c>
      <c r="AK36" s="9">
        <f t="shared" ref="AK36:AL36" si="147">+AK20/AJ20-1</f>
        <v>0.24286823712140815</v>
      </c>
      <c r="AL36" s="9">
        <f t="shared" si="147"/>
        <v>0.56173456635841035</v>
      </c>
      <c r="AM36" s="9">
        <f t="shared" ref="AM36:AR36" si="148">+AM20/AL20-1</f>
        <v>0.14440799125123371</v>
      </c>
      <c r="AN36" s="9">
        <f t="shared" si="148"/>
        <v>0.52021908868430256</v>
      </c>
      <c r="AO36" s="9">
        <f t="shared" si="148"/>
        <v>0.65962437715599842</v>
      </c>
      <c r="AP36" s="9">
        <f t="shared" si="148"/>
        <v>0.44581474193756976</v>
      </c>
      <c r="AQ36" s="9">
        <f t="shared" si="148"/>
        <v>9.2020855163953197E-2</v>
      </c>
      <c r="AR36" s="9">
        <f t="shared" si="148"/>
        <v>6.9539523725937524E-2</v>
      </c>
      <c r="AS36" s="9">
        <f t="shared" ref="AS36:AV36" si="149">+AS20/AR20-1</f>
        <v>0.27856341803659834</v>
      </c>
      <c r="AT36" s="9">
        <f t="shared" si="149"/>
        <v>-7.7342061913013738E-2</v>
      </c>
      <c r="AU36" s="9">
        <f t="shared" si="149"/>
        <v>6.304518199398057E-2</v>
      </c>
      <c r="AV36" s="9">
        <f t="shared" si="149"/>
        <v>0.15861957650261305</v>
      </c>
      <c r="AW36" s="9">
        <f>+AW20/AV20-1</f>
        <v>-2.04107758052674E-2</v>
      </c>
      <c r="AX36" s="9">
        <f>+AX20/AW20-1</f>
        <v>5.5120803769784787E-2</v>
      </c>
      <c r="AY36" s="9">
        <f t="shared" ref="AY36:BR36" si="150">+AY20/AX20-1</f>
        <v>0.33259384733074704</v>
      </c>
      <c r="AZ36" s="9">
        <f t="shared" si="150"/>
        <v>7.7937876041846099E-2</v>
      </c>
      <c r="BA36" s="9">
        <f t="shared" si="150"/>
        <v>-1.9589960641902215E-2</v>
      </c>
      <c r="BB36" s="9">
        <f t="shared" si="150"/>
        <v>0.10429459381482498</v>
      </c>
      <c r="BC36" s="9">
        <f t="shared" si="150"/>
        <v>8.1060495184403614E-2</v>
      </c>
      <c r="BD36" s="9">
        <f t="shared" si="150"/>
        <v>6.5487301729144631E-2</v>
      </c>
      <c r="BE36" s="9">
        <f t="shared" si="150"/>
        <v>6.5894706567020123E-2</v>
      </c>
      <c r="BF36" s="9">
        <f t="shared" si="150"/>
        <v>6.6307674354849855E-2</v>
      </c>
      <c r="BG36" s="9">
        <f t="shared" si="150"/>
        <v>5.3630178001616624E-2</v>
      </c>
      <c r="BH36" s="9">
        <f t="shared" si="150"/>
        <v>4.7769492638211952E-2</v>
      </c>
      <c r="BI36" s="9">
        <f t="shared" si="150"/>
        <v>4.7794898159412957E-2</v>
      </c>
      <c r="BJ36" s="9">
        <f t="shared" si="150"/>
        <v>4.7820407271579324E-2</v>
      </c>
      <c r="BK36" s="9">
        <f t="shared" si="150"/>
        <v>4.7846020575201598E-2</v>
      </c>
      <c r="BL36" s="9">
        <f t="shared" si="150"/>
        <v>4.2990582191128945E-2</v>
      </c>
      <c r="BM36" s="9">
        <f t="shared" si="150"/>
        <v>4.1973670700443222E-2</v>
      </c>
      <c r="BN36" s="9">
        <f t="shared" si="150"/>
        <v>4.2011937103833219E-2</v>
      </c>
      <c r="BO36" s="9">
        <f t="shared" si="150"/>
        <v>4.2050297837300299E-2</v>
      </c>
      <c r="BP36" s="9">
        <f t="shared" si="150"/>
        <v>4.2088750455233637E-2</v>
      </c>
      <c r="BQ36" s="9">
        <f t="shared" si="150"/>
        <v>4.2127292485881984E-2</v>
      </c>
      <c r="BR36" s="9">
        <f t="shared" si="150"/>
        <v>4.2165921431944309E-2</v>
      </c>
      <c r="BT36" s="4" t="s">
        <v>93</v>
      </c>
      <c r="BU36" s="15">
        <v>7.4999999999999997E-2</v>
      </c>
    </row>
    <row r="37" spans="2:73" s="4" customFormat="1" x14ac:dyDescent="0.2">
      <c r="B37" s="8" t="s">
        <v>42</v>
      </c>
      <c r="L37" s="9"/>
      <c r="M37" s="9"/>
      <c r="N37" s="9"/>
      <c r="O37" s="9">
        <f t="shared" ref="O37:X37" si="151">+O10/K10-1</f>
        <v>0.1722751398395197</v>
      </c>
      <c r="P37" s="9">
        <f t="shared" si="151"/>
        <v>0.65520336993301576</v>
      </c>
      <c r="Q37" s="9">
        <f t="shared" si="151"/>
        <v>0.49784238019532134</v>
      </c>
      <c r="R37" s="9">
        <f t="shared" si="151"/>
        <v>0.46982302223566785</v>
      </c>
      <c r="S37" s="9">
        <f t="shared" si="151"/>
        <v>9.1940180191167231E-2</v>
      </c>
      <c r="T37" s="9">
        <f t="shared" si="151"/>
        <v>5.4904251324627618E-2</v>
      </c>
      <c r="U37" s="9">
        <f t="shared" si="151"/>
        <v>2.7672479150871787E-2</v>
      </c>
      <c r="V37" s="9">
        <f t="shared" si="151"/>
        <v>9.6686220026757308E-2</v>
      </c>
      <c r="W37" s="9">
        <f t="shared" si="151"/>
        <v>-8.1713854917071505E-2</v>
      </c>
      <c r="X37" s="9">
        <f t="shared" si="151"/>
        <v>1.510777140597197E-2</v>
      </c>
      <c r="AK37" s="9"/>
      <c r="AL37" s="9">
        <f t="shared" ref="AL37" si="152">+AL10/AK10-1</f>
        <v>53.8130081300813</v>
      </c>
      <c r="AM37" s="9">
        <f t="shared" ref="AM37:AT37" si="153">+AM10/AL10-1</f>
        <v>0.93310590329279153</v>
      </c>
      <c r="AN37" s="9">
        <f t="shared" si="153"/>
        <v>0.93194199340136574</v>
      </c>
      <c r="AO37" s="9">
        <f t="shared" si="153"/>
        <v>0.82683982683982693</v>
      </c>
      <c r="AP37" s="9">
        <f t="shared" si="153"/>
        <v>0.71077003347971646</v>
      </c>
      <c r="AQ37" s="9">
        <f t="shared" si="153"/>
        <v>0.15995272708788688</v>
      </c>
      <c r="AR37" s="9">
        <f t="shared" si="153"/>
        <v>0.11735448460215392</v>
      </c>
      <c r="AS37" s="9">
        <f t="shared" si="153"/>
        <v>0.52014393426870997</v>
      </c>
      <c r="AT37" s="9">
        <f t="shared" si="153"/>
        <v>-0.11829774059764842</v>
      </c>
      <c r="AU37" s="9">
        <f t="shared" ref="AU37:AY37" si="154">+AU10/AT10-1</f>
        <v>3.3789319678127372E-2</v>
      </c>
      <c r="AV37" s="9">
        <f t="shared" si="154"/>
        <v>0.16677870633106662</v>
      </c>
      <c r="AW37" s="9">
        <f>+AW10/AV10-1</f>
        <v>-0.13649871427878313</v>
      </c>
      <c r="AX37" s="9">
        <f>+AX10/AW10-1</f>
        <v>-3.2307681502447672E-2</v>
      </c>
      <c r="AY37" s="9">
        <f t="shared" si="154"/>
        <v>0.39331983364905176</v>
      </c>
      <c r="AZ37" s="9">
        <f>+AZ10/AY10-1</f>
        <v>7.0405734139696641E-2</v>
      </c>
      <c r="BA37" s="9">
        <f>+BA10/AZ10-1</f>
        <v>2.0100000000000007E-2</v>
      </c>
      <c r="BB37" s="9">
        <f t="shared" ref="BB37:BR37" si="155">+BB10/BA10-1</f>
        <v>2.0100000000000007E-2</v>
      </c>
      <c r="BC37" s="9">
        <f t="shared" si="155"/>
        <v>6.6800000000000193E-2</v>
      </c>
      <c r="BD37" s="9">
        <f t="shared" si="155"/>
        <v>5.6640000000000024E-2</v>
      </c>
      <c r="BE37" s="9">
        <f t="shared" si="155"/>
        <v>5.6640000000000024E-2</v>
      </c>
      <c r="BF37" s="9">
        <f t="shared" si="155"/>
        <v>5.6640000000000246E-2</v>
      </c>
      <c r="BG37" s="9">
        <f t="shared" si="155"/>
        <v>5.6639999999999802E-2</v>
      </c>
      <c r="BH37" s="9">
        <f t="shared" si="155"/>
        <v>4.6479999999999855E-2</v>
      </c>
      <c r="BI37" s="9">
        <f t="shared" si="155"/>
        <v>4.6480000000000299E-2</v>
      </c>
      <c r="BJ37" s="9">
        <f t="shared" si="155"/>
        <v>4.6479999999999855E-2</v>
      </c>
      <c r="BK37" s="9">
        <f t="shared" si="155"/>
        <v>4.6480000000000077E-2</v>
      </c>
      <c r="BL37" s="9">
        <f t="shared" si="155"/>
        <v>3.6320000000000352E-2</v>
      </c>
      <c r="BM37" s="9">
        <f t="shared" si="155"/>
        <v>3.6319999999999908E-2</v>
      </c>
      <c r="BN37" s="9">
        <f t="shared" si="155"/>
        <v>3.632000000000013E-2</v>
      </c>
      <c r="BO37" s="9">
        <f t="shared" si="155"/>
        <v>3.6319999999999908E-2</v>
      </c>
      <c r="BP37" s="9">
        <f t="shared" si="155"/>
        <v>3.632000000000013E-2</v>
      </c>
      <c r="BQ37" s="9">
        <f t="shared" si="155"/>
        <v>3.6319999999999908E-2</v>
      </c>
      <c r="BR37" s="9">
        <f t="shared" si="155"/>
        <v>3.632000000000013E-2</v>
      </c>
      <c r="BT37" s="4" t="s">
        <v>95</v>
      </c>
      <c r="BU37" s="15">
        <v>-0.01</v>
      </c>
    </row>
    <row r="38" spans="2:73" s="4" customFormat="1" x14ac:dyDescent="0.2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56">+P19/L19-1</f>
        <v>0.26618219958046141</v>
      </c>
      <c r="Q38" s="9">
        <f t="shared" si="156"/>
        <v>0.32912739434478566</v>
      </c>
      <c r="R38" s="9">
        <f t="shared" si="156"/>
        <v>0.25623754209911342</v>
      </c>
      <c r="S38" s="9">
        <f t="shared" si="156"/>
        <v>0.23824630416851722</v>
      </c>
      <c r="T38" s="9">
        <f t="shared" si="156"/>
        <v>0.17277084196201398</v>
      </c>
      <c r="U38" s="9">
        <f t="shared" si="156"/>
        <v>0.12112547180601618</v>
      </c>
      <c r="V38" s="9">
        <f t="shared" si="156"/>
        <v>4.984406631285232E-2</v>
      </c>
      <c r="W38" s="9">
        <f t="shared" si="156"/>
        <v>6.4050010248001721E-2</v>
      </c>
      <c r="X38" s="9">
        <f>+X19/T19-1</f>
        <v>5.4790373845921003E-2</v>
      </c>
      <c r="Y38" s="9">
        <f t="shared" ref="Y38:Z38" si="157">+Y19/U19-1</f>
        <v>5.0000000000000044E-2</v>
      </c>
      <c r="Z38" s="9">
        <f t="shared" si="157"/>
        <v>8.9587242026266445E-2</v>
      </c>
      <c r="AW38" s="9">
        <f>+AW19/AV19-1</f>
        <v>0.16461205595250084</v>
      </c>
      <c r="AX38" s="9">
        <f t="shared" ref="AX38:AZ38" si="158">+AX19/AW19-1</f>
        <v>0.16152167807997242</v>
      </c>
      <c r="AY38" s="9">
        <f t="shared" si="158"/>
        <v>0.27259708376729663</v>
      </c>
      <c r="AZ38" s="9">
        <f t="shared" si="158"/>
        <v>0.14181951041286078</v>
      </c>
      <c r="BA38" s="9">
        <f>+BA19/AZ19-1</f>
        <v>6.4447260300272591E-2</v>
      </c>
      <c r="BB38" s="9">
        <f t="shared" ref="BB38:BR38" si="159">+BB19/BA19-1</f>
        <v>0.14999999999999991</v>
      </c>
      <c r="BC38" s="9">
        <f t="shared" si="159"/>
        <v>0.14999999999999991</v>
      </c>
      <c r="BD38" s="9">
        <f t="shared" si="159"/>
        <v>0.10000000000000009</v>
      </c>
      <c r="BE38" s="9">
        <f t="shared" si="159"/>
        <v>0.10000000000000009</v>
      </c>
      <c r="BF38" s="9">
        <f t="shared" si="159"/>
        <v>0.10000000000000009</v>
      </c>
      <c r="BG38" s="9">
        <f t="shared" si="159"/>
        <v>5.0000000000000044E-2</v>
      </c>
      <c r="BH38" s="9">
        <f t="shared" si="159"/>
        <v>5.0000000000000044E-2</v>
      </c>
      <c r="BI38" s="9">
        <f t="shared" si="159"/>
        <v>5.0000000000000044E-2</v>
      </c>
      <c r="BJ38" s="9">
        <f t="shared" si="159"/>
        <v>5.0000000000000044E-2</v>
      </c>
      <c r="BK38" s="9">
        <f t="shared" si="159"/>
        <v>5.0000000000000044E-2</v>
      </c>
      <c r="BL38" s="9">
        <f t="shared" si="159"/>
        <v>5.0000000000000044E-2</v>
      </c>
      <c r="BM38" s="9">
        <f t="shared" si="159"/>
        <v>5.0000000000000044E-2</v>
      </c>
      <c r="BN38" s="9">
        <f t="shared" si="159"/>
        <v>5.0000000000000044E-2</v>
      </c>
      <c r="BO38" s="9">
        <f t="shared" si="159"/>
        <v>5.0000000000000044E-2</v>
      </c>
      <c r="BP38" s="9">
        <f t="shared" si="159"/>
        <v>5.0000000000000044E-2</v>
      </c>
      <c r="BQ38" s="9">
        <f t="shared" si="159"/>
        <v>5.0000000000000044E-2</v>
      </c>
      <c r="BR38" s="9">
        <f t="shared" si="159"/>
        <v>5.0000000000000044E-2</v>
      </c>
      <c r="BT38" s="4" t="s">
        <v>94</v>
      </c>
      <c r="BU38" s="8">
        <f>NPV(BU36,BA32:FZ32)+Main!O5-Main!O6</f>
        <v>2578275.433036631</v>
      </c>
    </row>
    <row r="39" spans="2:73" x14ac:dyDescent="0.2">
      <c r="B39" t="s">
        <v>31</v>
      </c>
      <c r="C39" s="5"/>
      <c r="D39" s="5"/>
      <c r="E39" s="5">
        <f t="shared" ref="E39" si="160">+E24/E20</f>
        <v>0.38338496198254013</v>
      </c>
      <c r="K39" s="5">
        <f t="shared" ref="K39" si="161">+K24/K20</f>
        <v>0.38354806739345887</v>
      </c>
      <c r="L39" s="5">
        <f t="shared" ref="L39:N39" si="162">+L24/L20</f>
        <v>0.38361943305952362</v>
      </c>
      <c r="M39" s="5">
        <f t="shared" si="162"/>
        <v>0.37999497361146017</v>
      </c>
      <c r="N39" s="5">
        <f t="shared" si="162"/>
        <v>0.38160375900336951</v>
      </c>
      <c r="O39" s="5">
        <f t="shared" ref="O39:Q39" si="163">+O24/O20</f>
        <v>0.39777815665969724</v>
      </c>
      <c r="P39" s="5">
        <f t="shared" si="163"/>
        <v>0.42506474370423292</v>
      </c>
      <c r="Q39" s="5">
        <f t="shared" si="163"/>
        <v>0.43292727853230839</v>
      </c>
      <c r="R39" s="5">
        <f t="shared" ref="R39" si="164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165">+V24/V20</f>
        <v>0.4225922392563175</v>
      </c>
      <c r="W39" s="5">
        <f t="shared" si="165"/>
        <v>0.42962254809908323</v>
      </c>
      <c r="X39" s="5">
        <f t="shared" si="165"/>
        <v>0.44261672782487665</v>
      </c>
      <c r="Y39" s="5">
        <f t="shared" ref="Y39:Z39" si="166">+Y24/Y20</f>
        <v>0.44</v>
      </c>
      <c r="Z39" s="5">
        <f t="shared" si="166"/>
        <v>0.44000000000000006</v>
      </c>
      <c r="AD39" s="5">
        <f t="shared" ref="AD39:AE39" si="167">+AD24/AD20</f>
        <v>0.27132656895903795</v>
      </c>
      <c r="AE39" s="5">
        <f t="shared" si="167"/>
        <v>0.23028155882901361</v>
      </c>
      <c r="AF39" s="5">
        <f t="shared" ref="AF39:AI39" si="168">+AF24/AF20</f>
        <v>0.27917102055033088</v>
      </c>
      <c r="AG39" s="5">
        <f t="shared" si="168"/>
        <v>0.27517319155791847</v>
      </c>
      <c r="AH39" s="5">
        <f t="shared" si="168"/>
        <v>0.27285904094697427</v>
      </c>
      <c r="AI39" s="5">
        <f t="shared" si="168"/>
        <v>0.29021606489124974</v>
      </c>
      <c r="AJ39" s="5">
        <f t="shared" ref="AJ39:AL39" si="169">+AJ24/AJ20</f>
        <v>0.28982655966865128</v>
      </c>
      <c r="AK39" s="5">
        <f t="shared" si="169"/>
        <v>0.33966508372906773</v>
      </c>
      <c r="AL39" s="5">
        <f t="shared" si="169"/>
        <v>0.35200448107545812</v>
      </c>
      <c r="AM39" s="5">
        <f t="shared" ref="AM39:AN39" si="170">+AM24/AM20</f>
        <v>0.40139843841044165</v>
      </c>
      <c r="AN39" s="5">
        <f t="shared" si="170"/>
        <v>0.39377539287083174</v>
      </c>
      <c r="AO39" s="5">
        <f t="shared" ref="AO39:AR39" si="171">+AO24/AO20</f>
        <v>0.40478895878945764</v>
      </c>
      <c r="AP39" s="5">
        <f t="shared" si="171"/>
        <v>0.43871239808827661</v>
      </c>
      <c r="AQ39" s="5">
        <f t="shared" si="171"/>
        <v>0.37624480720847231</v>
      </c>
      <c r="AR39" s="5">
        <f t="shared" si="171"/>
        <v>0.38588035777783858</v>
      </c>
      <c r="AS39" s="5">
        <f>+AS24/AS20</f>
        <v>0.40059902017414373</v>
      </c>
      <c r="AT39" s="5">
        <f>+AT24/AT20</f>
        <v>0.39075955648097049</v>
      </c>
      <c r="AU39" s="5">
        <f>+AU24/AU20</f>
        <v>0.38469860491899105</v>
      </c>
      <c r="AV39" s="5">
        <f t="shared" ref="AV39:AZ39" si="172">+AV24/AV20</f>
        <v>0.38343718820007905</v>
      </c>
      <c r="AW39" s="5">
        <f t="shared" si="172"/>
        <v>0.37817768109034722</v>
      </c>
      <c r="AX39" s="5">
        <f t="shared" si="172"/>
        <v>0.38233247727810865</v>
      </c>
      <c r="AY39" s="5">
        <f t="shared" si="172"/>
        <v>0.41779359625167778</v>
      </c>
      <c r="AZ39" s="5">
        <f t="shared" si="172"/>
        <v>0.43309630561360085</v>
      </c>
      <c r="BA39" s="5">
        <f>+BA24/BA20</f>
        <v>0.43959261478302053</v>
      </c>
      <c r="BB39" s="5">
        <f t="shared" ref="BB39:BK39" si="173">+BB24/BB20</f>
        <v>0.44288685601934785</v>
      </c>
      <c r="BC39" s="5">
        <f t="shared" si="173"/>
        <v>0.44817257206868022</v>
      </c>
      <c r="BD39" s="5">
        <f t="shared" si="173"/>
        <v>0.45102861115111043</v>
      </c>
      <c r="BE39" s="5">
        <f t="shared" si="173"/>
        <v>0.45394124170924899</v>
      </c>
      <c r="BF39" s="5">
        <f t="shared" si="173"/>
        <v>0.4569095209248073</v>
      </c>
      <c r="BG39" s="5">
        <f t="shared" si="173"/>
        <v>0.45657562880748426</v>
      </c>
      <c r="BH39" s="5">
        <f t="shared" si="173"/>
        <v>0.45678122045005248</v>
      </c>
      <c r="BI39" s="5">
        <f t="shared" si="173"/>
        <v>0.45698489814281817</v>
      </c>
      <c r="BJ39" s="5">
        <f t="shared" si="173"/>
        <v>0.45718663841938834</v>
      </c>
      <c r="BK39" s="5">
        <f t="shared" si="173"/>
        <v>0.45738641779098504</v>
      </c>
      <c r="BL39" s="5">
        <f t="shared" ref="BL39:BR39" si="174">+BL24/BL20</f>
        <v>0.45804090317451768</v>
      </c>
      <c r="BM39" s="5">
        <f t="shared" si="174"/>
        <v>0.45879611282696087</v>
      </c>
      <c r="BN39" s="5">
        <f t="shared" si="174"/>
        <v>0.45955348376970845</v>
      </c>
      <c r="BO39" s="5">
        <f t="shared" si="174"/>
        <v>0.46031296778585512</v>
      </c>
      <c r="BP39" s="5">
        <f t="shared" si="174"/>
        <v>0.46107451609005018</v>
      </c>
      <c r="BQ39" s="5">
        <f t="shared" si="174"/>
        <v>0.46183807933999621</v>
      </c>
      <c r="BR39" s="5">
        <f t="shared" si="174"/>
        <v>0.46260360764826525</v>
      </c>
      <c r="BT39" s="4" t="s">
        <v>96</v>
      </c>
      <c r="BU39" s="6">
        <f>BU38/Main!O3</f>
        <v>162.69801432678935</v>
      </c>
    </row>
    <row r="40" spans="2:73" x14ac:dyDescent="0.2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175">(L19-L22)/L19</f>
        <v>0.65373089601438417</v>
      </c>
      <c r="M40" s="5">
        <f t="shared" si="175"/>
        <v>0.67224080267558528</v>
      </c>
      <c r="N40" s="5">
        <f t="shared" si="175"/>
        <v>0.66925561894288266</v>
      </c>
      <c r="O40" s="5">
        <f t="shared" si="175"/>
        <v>0.6839667533785927</v>
      </c>
      <c r="P40" s="5">
        <f t="shared" si="175"/>
        <v>0.70072776758771671</v>
      </c>
      <c r="Q40" s="5">
        <f t="shared" si="175"/>
        <v>0.69804414960539862</v>
      </c>
      <c r="R40" s="5">
        <f t="shared" si="175"/>
        <v>0.704765552333534</v>
      </c>
      <c r="S40" s="5">
        <f t="shared" si="175"/>
        <v>0.72366263578602175</v>
      </c>
      <c r="T40" s="5">
        <f t="shared" si="175"/>
        <v>0.72609858231168967</v>
      </c>
      <c r="U40" s="5">
        <f t="shared" si="175"/>
        <v>0.71490512140379514</v>
      </c>
      <c r="V40" s="5">
        <f t="shared" ref="V40:X40" si="176">(V19-V22)/V19</f>
        <v>0.70481550969355844</v>
      </c>
      <c r="W40" s="5">
        <f t="shared" si="176"/>
        <v>0.70832129442357705</v>
      </c>
      <c r="X40" s="5">
        <f t="shared" si="176"/>
        <v>0.70990577318601422</v>
      </c>
      <c r="Y40" s="5">
        <f t="shared" ref="Y40:Z40" si="177">(Y19-Y22)/Y19</f>
        <v>1</v>
      </c>
      <c r="Z40" s="5">
        <f t="shared" si="177"/>
        <v>1</v>
      </c>
      <c r="AD40" s="5">
        <f t="shared" ref="AD40:AE40" si="178">(AD19-AD22)/AD19</f>
        <v>1</v>
      </c>
      <c r="AE40" s="5">
        <f t="shared" si="178"/>
        <v>1</v>
      </c>
      <c r="AF40" s="5">
        <f t="shared" ref="AF40:AI40" si="179">(AF19-AF22)/AF19</f>
        <v>1</v>
      </c>
      <c r="AG40" s="5">
        <f t="shared" si="179"/>
        <v>1</v>
      </c>
      <c r="AH40" s="5">
        <f t="shared" si="179"/>
        <v>1</v>
      </c>
      <c r="AI40" s="5">
        <f t="shared" si="179"/>
        <v>1</v>
      </c>
      <c r="AJ40" s="5">
        <f t="shared" ref="AJ40:AL40" si="180">(AJ19-AJ22)/AJ19</f>
        <v>1</v>
      </c>
      <c r="AK40" s="5">
        <f t="shared" si="180"/>
        <v>1</v>
      </c>
      <c r="AL40" s="5">
        <f t="shared" si="180"/>
        <v>1</v>
      </c>
      <c r="AM40" s="5">
        <f t="shared" ref="AM40:AN40" si="181">(AM19-AM22)/AM19</f>
        <v>1</v>
      </c>
      <c r="AN40" s="5">
        <f t="shared" si="181"/>
        <v>1</v>
      </c>
      <c r="AO40" s="5">
        <f t="shared" ref="AO40:AR40" si="182">(AO19-AO22)/AO19</f>
        <v>1</v>
      </c>
      <c r="AP40" s="5">
        <f t="shared" si="182"/>
        <v>1</v>
      </c>
      <c r="AQ40" s="5">
        <f t="shared" si="182"/>
        <v>1</v>
      </c>
      <c r="AR40" s="5">
        <f t="shared" si="182"/>
        <v>1</v>
      </c>
      <c r="AS40" s="5">
        <f>(AS19-AS22)/AS19</f>
        <v>1</v>
      </c>
      <c r="AT40" s="5">
        <f>(AT19-AT22)/AT19</f>
        <v>1</v>
      </c>
      <c r="AU40" s="5">
        <f>(AU19-AU22)/AU19</f>
        <v>1</v>
      </c>
      <c r="AV40" s="5">
        <f t="shared" ref="AV40:AZ40" si="183">(AV19-AV22)/AV19</f>
        <v>0.60772869075173597</v>
      </c>
      <c r="AW40" s="5">
        <f t="shared" si="183"/>
        <v>0.63738091637683347</v>
      </c>
      <c r="AX40" s="5">
        <f t="shared" si="183"/>
        <v>0.66015101919357233</v>
      </c>
      <c r="AY40" s="5">
        <f t="shared" si="183"/>
        <v>0.69725977347460721</v>
      </c>
      <c r="AZ40" s="5">
        <f t="shared" si="183"/>
        <v>0.71745446633132381</v>
      </c>
      <c r="BA40" s="5">
        <f>(BA19-BA22)/BA19</f>
        <v>0.73</v>
      </c>
      <c r="BB40" s="5">
        <f t="shared" ref="BB40:BK40" si="184">(BB19-BB22)/BB19</f>
        <v>0.73</v>
      </c>
      <c r="BC40" s="5">
        <f t="shared" si="184"/>
        <v>0.72999999999999987</v>
      </c>
      <c r="BD40" s="5">
        <f t="shared" si="184"/>
        <v>0.73</v>
      </c>
      <c r="BE40" s="5">
        <f t="shared" si="184"/>
        <v>0.73000000000000009</v>
      </c>
      <c r="BF40" s="5">
        <f t="shared" si="184"/>
        <v>0.73</v>
      </c>
      <c r="BG40" s="5">
        <f t="shared" si="184"/>
        <v>0.73</v>
      </c>
      <c r="BH40" s="5">
        <f t="shared" si="184"/>
        <v>0.73</v>
      </c>
      <c r="BI40" s="5">
        <f t="shared" si="184"/>
        <v>0.73</v>
      </c>
      <c r="BJ40" s="5">
        <f t="shared" si="184"/>
        <v>0.73</v>
      </c>
      <c r="BK40" s="5">
        <f t="shared" si="184"/>
        <v>0.73</v>
      </c>
      <c r="BL40" s="5">
        <f t="shared" ref="BL40:BR40" si="185">(BL19-BL22)/BL19</f>
        <v>0.73</v>
      </c>
      <c r="BM40" s="5">
        <f t="shared" si="185"/>
        <v>0.72999999999999987</v>
      </c>
      <c r="BN40" s="5">
        <f t="shared" si="185"/>
        <v>0.73</v>
      </c>
      <c r="BO40" s="5">
        <f t="shared" si="185"/>
        <v>0.73</v>
      </c>
      <c r="BP40" s="5">
        <f t="shared" si="185"/>
        <v>0.73</v>
      </c>
      <c r="BQ40" s="5">
        <f t="shared" si="185"/>
        <v>0.72999999999999987</v>
      </c>
      <c r="BR40" s="5">
        <f t="shared" si="185"/>
        <v>0.73</v>
      </c>
      <c r="BT40" s="4" t="s">
        <v>97</v>
      </c>
      <c r="BU40" s="5">
        <f>BU39/Main!O2-1</f>
        <v>1.686258954243347E-2</v>
      </c>
    </row>
    <row r="41" spans="2:73" x14ac:dyDescent="0.2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186">(L18-L21)/L18</f>
        <v>0.30343600578227509</v>
      </c>
      <c r="M41" s="5">
        <f t="shared" si="186"/>
        <v>0.29736293494379851</v>
      </c>
      <c r="N41" s="5">
        <f t="shared" si="186"/>
        <v>0.2981515085046561</v>
      </c>
      <c r="O41" s="5">
        <f t="shared" si="186"/>
        <v>0.35063441961579467</v>
      </c>
      <c r="P41" s="5">
        <f t="shared" si="186"/>
        <v>0.3609647372838215</v>
      </c>
      <c r="Q41" s="5">
        <f t="shared" si="186"/>
        <v>0.36043347720022517</v>
      </c>
      <c r="R41" s="5">
        <f t="shared" si="186"/>
        <v>0.34253184395310604</v>
      </c>
      <c r="S41" s="5">
        <f t="shared" si="186"/>
        <v>0.38418446983117716</v>
      </c>
      <c r="T41" s="5">
        <f t="shared" si="186"/>
        <v>0.36364692668190091</v>
      </c>
      <c r="U41" s="5">
        <f t="shared" si="186"/>
        <v>0.34519769552521506</v>
      </c>
      <c r="V41" s="5">
        <f t="shared" si="186"/>
        <v>0.34627526142224979</v>
      </c>
      <c r="W41" s="5">
        <f t="shared" ref="W41:X41" si="187">(W18-W21)/W18</f>
        <v>0.36957920073038136</v>
      </c>
      <c r="X41" s="5">
        <f t="shared" si="187"/>
        <v>0.36702782399329087</v>
      </c>
      <c r="Y41" s="5">
        <f t="shared" ref="Y41:Z41" si="188">(Y18-Y21)/Y18</f>
        <v>1</v>
      </c>
      <c r="Z41" s="5">
        <f t="shared" si="188"/>
        <v>1</v>
      </c>
      <c r="AD41" s="5">
        <f t="shared" ref="AD41:AE41" si="189">(AD18-AD21)/AD18</f>
        <v>1</v>
      </c>
      <c r="AE41" s="5">
        <f t="shared" si="189"/>
        <v>1</v>
      </c>
      <c r="AF41" s="5">
        <f t="shared" ref="AF41:AI41" si="190">(AF18-AF21)/AF18</f>
        <v>1</v>
      </c>
      <c r="AG41" s="5">
        <f t="shared" si="190"/>
        <v>1</v>
      </c>
      <c r="AH41" s="5">
        <f t="shared" si="190"/>
        <v>1</v>
      </c>
      <c r="AI41" s="5">
        <f t="shared" si="190"/>
        <v>1</v>
      </c>
      <c r="AJ41" s="5">
        <f t="shared" ref="AJ41:AL41" si="191">(AJ18-AJ21)/AJ18</f>
        <v>1</v>
      </c>
      <c r="AK41" s="5">
        <f t="shared" si="191"/>
        <v>1</v>
      </c>
      <c r="AL41" s="5">
        <f t="shared" si="191"/>
        <v>1</v>
      </c>
      <c r="AM41" s="5">
        <f t="shared" ref="AM41:AN41" si="192">(AM18-AM21)/AM18</f>
        <v>1</v>
      </c>
      <c r="AN41" s="5">
        <f t="shared" si="192"/>
        <v>1</v>
      </c>
      <c r="AO41" s="5">
        <f t="shared" ref="AO41:AR41" si="193">(AO18-AO21)/AO18</f>
        <v>1</v>
      </c>
      <c r="AP41" s="5">
        <f t="shared" si="193"/>
        <v>1</v>
      </c>
      <c r="AQ41" s="5">
        <f t="shared" si="193"/>
        <v>1</v>
      </c>
      <c r="AR41" s="5">
        <f t="shared" si="193"/>
        <v>1</v>
      </c>
      <c r="AS41" s="5">
        <f>(AS18-AS21)/AS18</f>
        <v>1</v>
      </c>
      <c r="AT41" s="5">
        <f>(AT18-AT21)/AT18</f>
        <v>1</v>
      </c>
      <c r="AU41" s="5">
        <f>(AU18-AU21)/AU18</f>
        <v>1</v>
      </c>
      <c r="AV41" s="5">
        <f t="shared" ref="AV41:AZ41" si="194">(AV18-AV21)/AV18</f>
        <v>0.34396294836770025</v>
      </c>
      <c r="AW41" s="5">
        <f t="shared" si="194"/>
        <v>0.32207795851002652</v>
      </c>
      <c r="AX41" s="5">
        <f t="shared" si="194"/>
        <v>0.31466339293399231</v>
      </c>
      <c r="AY41" s="5">
        <f t="shared" si="194"/>
        <v>0.35349303276483562</v>
      </c>
      <c r="AZ41" s="5">
        <f t="shared" si="194"/>
        <v>0.36283479707399452</v>
      </c>
      <c r="BA41" s="5">
        <f>(BA18-BA21)/BA18</f>
        <v>0.36000000000000004</v>
      </c>
      <c r="BB41" s="5">
        <f t="shared" ref="BB41:BK41" si="195">(BB18-BB21)/BB18</f>
        <v>0.36000000000000004</v>
      </c>
      <c r="BC41" s="5">
        <f t="shared" si="195"/>
        <v>0.36</v>
      </c>
      <c r="BD41" s="5">
        <f t="shared" si="195"/>
        <v>0.35999999999999993</v>
      </c>
      <c r="BE41" s="5">
        <f t="shared" si="195"/>
        <v>0.35999999999999993</v>
      </c>
      <c r="BF41" s="5">
        <f t="shared" si="195"/>
        <v>0.35999999999999993</v>
      </c>
      <c r="BG41" s="5">
        <f t="shared" si="195"/>
        <v>0.36000000000000004</v>
      </c>
      <c r="BH41" s="5">
        <f t="shared" si="195"/>
        <v>0.36000000000000004</v>
      </c>
      <c r="BI41" s="5">
        <f t="shared" si="195"/>
        <v>0.35999999999999993</v>
      </c>
      <c r="BJ41" s="5">
        <f t="shared" si="195"/>
        <v>0.36000000000000004</v>
      </c>
      <c r="BK41" s="5">
        <f t="shared" si="195"/>
        <v>0.36</v>
      </c>
      <c r="BL41" s="5">
        <f t="shared" ref="BL41:BR41" si="196">(BL18-BL21)/BL18</f>
        <v>0.36</v>
      </c>
      <c r="BM41" s="5">
        <f t="shared" si="196"/>
        <v>0.36</v>
      </c>
      <c r="BN41" s="5">
        <f t="shared" si="196"/>
        <v>0.36</v>
      </c>
      <c r="BO41" s="5">
        <f t="shared" si="196"/>
        <v>0.36</v>
      </c>
      <c r="BP41" s="5">
        <f t="shared" si="196"/>
        <v>0.35999999999999993</v>
      </c>
      <c r="BQ41" s="5">
        <f t="shared" si="196"/>
        <v>0.35999999999999993</v>
      </c>
      <c r="BR41" s="5">
        <f t="shared" si="196"/>
        <v>0.36</v>
      </c>
    </row>
    <row r="42" spans="2:73" x14ac:dyDescent="0.2">
      <c r="B42" t="s">
        <v>30</v>
      </c>
      <c r="C42" s="5"/>
      <c r="D42" s="5"/>
      <c r="E42" s="5">
        <f t="shared" ref="E42" si="197">+E28/E20</f>
        <v>0.23677837228949591</v>
      </c>
      <c r="K42" s="5">
        <f t="shared" ref="K42" si="198">+K28/K20</f>
        <v>0.2784717759940753</v>
      </c>
      <c r="L42" s="5">
        <f t="shared" ref="L42:N42" si="199">+L28/L20</f>
        <v>0.22041397287054346</v>
      </c>
      <c r="M42" s="5">
        <f t="shared" si="199"/>
        <v>0.21933484124989527</v>
      </c>
      <c r="N42" s="5">
        <f t="shared" si="199"/>
        <v>0.2283687285542057</v>
      </c>
      <c r="O42" s="5">
        <f t="shared" ref="O42:Q42" si="200">+O28/O20</f>
        <v>0.30091799100853384</v>
      </c>
      <c r="P42" s="5">
        <f t="shared" si="200"/>
        <v>0.30700794784782998</v>
      </c>
      <c r="Q42" s="5">
        <f t="shared" si="200"/>
        <v>0.29626445956234498</v>
      </c>
      <c r="R42" s="5">
        <f t="shared" ref="R42" si="201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02">+V28/V20</f>
        <v>0.27615202005635303</v>
      </c>
      <c r="W42" s="5">
        <f t="shared" si="202"/>
        <v>0.30742441572630896</v>
      </c>
      <c r="X42" s="5">
        <f t="shared" si="202"/>
        <v>0.29859968788223878</v>
      </c>
      <c r="Y42" s="5">
        <f t="shared" ref="Y42:Z42" si="203">+Y28/Y20</f>
        <v>0.28073377698655083</v>
      </c>
      <c r="Z42" s="5">
        <f t="shared" si="203"/>
        <v>0.29925283160884991</v>
      </c>
      <c r="AD42" s="5">
        <f t="shared" ref="AD42:AE42" si="204">+AD28/AD20</f>
        <v>7.7665038206188156E-2</v>
      </c>
      <c r="AE42" s="5">
        <f t="shared" si="204"/>
        <v>-6.2092112623531606E-2</v>
      </c>
      <c r="AF42" s="5">
        <f t="shared" ref="AF42:AI42" si="205">+AF28/AF20</f>
        <v>8.3594566353187051E-3</v>
      </c>
      <c r="AG42" s="5">
        <f t="shared" si="205"/>
        <v>4.0277106492669565E-3</v>
      </c>
      <c r="AH42" s="5">
        <f t="shared" si="205"/>
        <v>4.2154849619519263E-2</v>
      </c>
      <c r="AI42" s="5">
        <f t="shared" si="205"/>
        <v>0.11844088722991888</v>
      </c>
      <c r="AJ42" s="5">
        <f t="shared" ref="AJ42:AL42" si="206">+AJ28/AJ20</f>
        <v>0.1269997411338338</v>
      </c>
      <c r="AK42" s="5">
        <f t="shared" si="206"/>
        <v>0.1836624177289011</v>
      </c>
      <c r="AL42" s="5">
        <f t="shared" si="206"/>
        <v>0.22210663892667573</v>
      </c>
      <c r="AM42" s="5">
        <f t="shared" ref="AM42:AN42" si="207">+AM28/AM20</f>
        <v>0.2736277823097541</v>
      </c>
      <c r="AN42" s="5">
        <f t="shared" si="207"/>
        <v>0.28187044844768111</v>
      </c>
      <c r="AO42" s="5">
        <f t="shared" ref="AO42:AR42" si="208">+AO28/AO20</f>
        <v>0.31215068961376086</v>
      </c>
      <c r="AP42" s="5">
        <f t="shared" si="208"/>
        <v>0.35295959311984054</v>
      </c>
      <c r="AQ42" s="5">
        <f t="shared" si="208"/>
        <v>0.28669475162366159</v>
      </c>
      <c r="AR42" s="5">
        <f t="shared" si="208"/>
        <v>0.28722339232473537</v>
      </c>
      <c r="AS42" s="5">
        <f>+AS28/AS20</f>
        <v>0.30477290717326661</v>
      </c>
      <c r="AT42" s="5">
        <f>+AT28/AT20</f>
        <v>0.27835410106706115</v>
      </c>
      <c r="AU42" s="5">
        <f>+AU28/AU20</f>
        <v>0.26760428208729942</v>
      </c>
      <c r="AV42" s="5">
        <f t="shared" ref="AV42:AZ42" si="209">+AV28/AV20</f>
        <v>0.26694026619477024</v>
      </c>
      <c r="AW42" s="5">
        <f t="shared" si="209"/>
        <v>0.24572017188496928</v>
      </c>
      <c r="AX42" s="5">
        <f t="shared" si="209"/>
        <v>0.24147314354406862</v>
      </c>
      <c r="AY42" s="5">
        <f t="shared" si="209"/>
        <v>0.29782377527561593</v>
      </c>
      <c r="AZ42" s="5">
        <f t="shared" si="209"/>
        <v>0.30288744395528594</v>
      </c>
      <c r="BA42" s="5">
        <f>+BA28/BA20</f>
        <v>0.30279767988427825</v>
      </c>
      <c r="BB42" s="5">
        <f t="shared" ref="BB42:BK42" si="210">+BB28/BB20</f>
        <v>0.3152951936722882</v>
      </c>
      <c r="BC42" s="5">
        <f t="shared" si="210"/>
        <v>0.32660730092716617</v>
      </c>
      <c r="BD42" s="5">
        <f t="shared" si="210"/>
        <v>0.33351221365622086</v>
      </c>
      <c r="BE42" s="5">
        <f t="shared" si="210"/>
        <v>0.3403822863321444</v>
      </c>
      <c r="BF42" s="5">
        <f t="shared" si="210"/>
        <v>0.34721723712014863</v>
      </c>
      <c r="BG42" s="5">
        <f t="shared" si="210"/>
        <v>0.34934345695275493</v>
      </c>
      <c r="BH42" s="5">
        <f t="shared" si="210"/>
        <v>0.35136763684563976</v>
      </c>
      <c r="BI42" s="5">
        <f t="shared" si="210"/>
        <v>0.35336157328861934</v>
      </c>
      <c r="BJ42" s="5">
        <f t="shared" si="210"/>
        <v>0.35532564787259752</v>
      </c>
      <c r="BK42" s="5">
        <f t="shared" si="210"/>
        <v>0.35726023684161068</v>
      </c>
      <c r="BL42" s="5">
        <f t="shared" ref="BL42:BR42" si="211">+BL28/BL20</f>
        <v>0.35916180671978387</v>
      </c>
      <c r="BM42" s="5">
        <f t="shared" si="211"/>
        <v>0.36105326940183619</v>
      </c>
      <c r="BN42" s="5">
        <f t="shared" si="211"/>
        <v>0.36293738452645519</v>
      </c>
      <c r="BO42" s="5">
        <f t="shared" si="211"/>
        <v>0.36481413972824017</v>
      </c>
      <c r="BP42" s="5">
        <f t="shared" si="211"/>
        <v>0.36668352217866462</v>
      </c>
      <c r="BQ42" s="5">
        <f t="shared" si="211"/>
        <v>0.36854551860414519</v>
      </c>
      <c r="BR42" s="5">
        <f t="shared" si="211"/>
        <v>0.37040011530426659</v>
      </c>
    </row>
    <row r="43" spans="2:73" x14ac:dyDescent="0.2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12">L31/L30</f>
        <v>0.14358583936048724</v>
      </c>
      <c r="M43" s="5">
        <f t="shared" si="212"/>
        <v>0.14341173783968944</v>
      </c>
      <c r="N43" s="5">
        <f t="shared" si="212"/>
        <v>0.14952016643178309</v>
      </c>
      <c r="O43" s="5">
        <f t="shared" si="212"/>
        <v>0.14366121683194855</v>
      </c>
      <c r="P43" s="5">
        <f t="shared" si="212"/>
        <v>0.1564028417407447</v>
      </c>
      <c r="Q43" s="5">
        <f t="shared" si="212"/>
        <v>0.10771882309491568</v>
      </c>
      <c r="R43" s="5">
        <f t="shared" si="212"/>
        <v>0.11600997935306263</v>
      </c>
      <c r="S43" s="5">
        <f t="shared" si="212"/>
        <v>0.16030164157028201</v>
      </c>
      <c r="T43" s="5">
        <f t="shared" si="212"/>
        <v>0.17017817445834302</v>
      </c>
      <c r="U43" s="5">
        <f t="shared" si="212"/>
        <v>0.15711436746726784</v>
      </c>
      <c r="V43" s="5">
        <f t="shared" ref="V43:X43" si="213">V31/V30</f>
        <v>0.15963012531938192</v>
      </c>
      <c r="W43" s="5">
        <f t="shared" si="213"/>
        <v>0.15790360160570419</v>
      </c>
      <c r="X43" s="5">
        <f t="shared" si="213"/>
        <v>0.14875625396377987</v>
      </c>
      <c r="Y43" s="5">
        <f t="shared" ref="Y43:Z43" si="214">Y31/Y30</f>
        <v>0.16</v>
      </c>
      <c r="Z43" s="5">
        <f t="shared" si="214"/>
        <v>0.16</v>
      </c>
      <c r="AD43" s="5">
        <f t="shared" ref="AD43:AE43" si="215">AD31/AD30</f>
        <v>0.37181044957472659</v>
      </c>
      <c r="AE43" s="5">
        <f t="shared" si="215"/>
        <v>0</v>
      </c>
      <c r="AF43" s="5">
        <f t="shared" ref="AF43:AI43" si="216">AF31/AF30</f>
        <v>0.1864406779661017</v>
      </c>
      <c r="AG43" s="5">
        <f t="shared" si="216"/>
        <v>0.20338983050847459</v>
      </c>
      <c r="AH43" s="5">
        <f t="shared" si="216"/>
        <v>0.26354679802955666</v>
      </c>
      <c r="AI43" s="5">
        <f t="shared" si="216"/>
        <v>0.26446280991735538</v>
      </c>
      <c r="AJ43" s="5">
        <f t="shared" ref="AJ43:AL43" si="217">AJ31/AJ30</f>
        <v>0.29418026969481903</v>
      </c>
      <c r="AK43" s="5">
        <f t="shared" si="217"/>
        <v>0.30191693290734822</v>
      </c>
      <c r="AL43" s="5">
        <f t="shared" si="217"/>
        <v>0.3160836034424947</v>
      </c>
      <c r="AM43" s="5">
        <f t="shared" ref="AM43:AN43" si="218">AM31/AM30</f>
        <v>0.31750372948781702</v>
      </c>
      <c r="AN43" s="5">
        <f t="shared" si="218"/>
        <v>0.24417475728155341</v>
      </c>
      <c r="AO43" s="5">
        <f t="shared" ref="AO43:AR43" si="219">AO31/AO30</f>
        <v>0.24215757930127174</v>
      </c>
      <c r="AP43" s="5">
        <f t="shared" si="219"/>
        <v>0.25160052364471064</v>
      </c>
      <c r="AQ43" s="5">
        <f t="shared" si="219"/>
        <v>0.26154919748778788</v>
      </c>
      <c r="AR43" s="5">
        <f t="shared" si="219"/>
        <v>0.26126058747639436</v>
      </c>
      <c r="AS43" s="5">
        <f t="shared" ref="AS43:AT43" si="220">AS31/AS30</f>
        <v>0.26368337585327173</v>
      </c>
      <c r="AT43" s="5">
        <f t="shared" si="220"/>
        <v>0.25557257381216192</v>
      </c>
      <c r="AU43" s="5">
        <f t="shared" ref="AU43" si="221">AU31/AU30</f>
        <v>0.24556476150353415</v>
      </c>
      <c r="AV43" s="5">
        <f t="shared" ref="AV43:AZ43" si="222">AV31/AV30</f>
        <v>0.18342180705869443</v>
      </c>
      <c r="AW43" s="5">
        <f t="shared" si="222"/>
        <v>0.15943836804235059</v>
      </c>
      <c r="AX43" s="5">
        <f t="shared" si="222"/>
        <v>0.14428164731484103</v>
      </c>
      <c r="AY43" s="5">
        <f t="shared" si="222"/>
        <v>0.13302260844085087</v>
      </c>
      <c r="AZ43" s="5">
        <f t="shared" si="222"/>
        <v>0.16204461684424407</v>
      </c>
      <c r="BA43" s="5">
        <f>BA31/BA30</f>
        <v>0.2</v>
      </c>
      <c r="BB43" s="5">
        <f t="shared" ref="BB43:BK43" si="223">BB31/BB30</f>
        <v>0.2</v>
      </c>
      <c r="BC43" s="5">
        <f t="shared" si="223"/>
        <v>0.2</v>
      </c>
      <c r="BD43" s="5">
        <f t="shared" si="223"/>
        <v>0.2</v>
      </c>
      <c r="BE43" s="5">
        <f t="shared" si="223"/>
        <v>0.19999999999999998</v>
      </c>
      <c r="BF43" s="5">
        <f t="shared" si="223"/>
        <v>0.2</v>
      </c>
      <c r="BG43" s="5">
        <f t="shared" si="223"/>
        <v>0.2</v>
      </c>
      <c r="BH43" s="5">
        <f t="shared" si="223"/>
        <v>0.2</v>
      </c>
      <c r="BI43" s="5">
        <f t="shared" si="223"/>
        <v>0.2</v>
      </c>
      <c r="BJ43" s="5">
        <f t="shared" si="223"/>
        <v>0.2</v>
      </c>
      <c r="BK43" s="5">
        <f t="shared" si="223"/>
        <v>0.2</v>
      </c>
      <c r="BL43" s="5">
        <f t="shared" ref="BL43:BR43" si="224">BL31/BL30</f>
        <v>0.2</v>
      </c>
      <c r="BM43" s="5">
        <f t="shared" si="224"/>
        <v>0.2</v>
      </c>
      <c r="BN43" s="5">
        <f t="shared" si="224"/>
        <v>0.2</v>
      </c>
      <c r="BO43" s="5">
        <f t="shared" si="224"/>
        <v>0.2</v>
      </c>
      <c r="BP43" s="5">
        <f t="shared" si="224"/>
        <v>0.2</v>
      </c>
      <c r="BQ43" s="5">
        <f t="shared" si="224"/>
        <v>0.2</v>
      </c>
      <c r="BR43" s="5">
        <f t="shared" si="224"/>
        <v>0.2</v>
      </c>
    </row>
    <row r="45" spans="2:73" s="2" customFormat="1" x14ac:dyDescent="0.2">
      <c r="B45" s="2" t="s">
        <v>109</v>
      </c>
      <c r="AF45" s="2">
        <v>10211</v>
      </c>
      <c r="AG45" s="2">
        <v>10912</v>
      </c>
      <c r="AH45" s="2">
        <v>11695</v>
      </c>
      <c r="AI45" s="2">
        <v>14800</v>
      </c>
      <c r="AJ45" s="2">
        <v>17787</v>
      </c>
    </row>
    <row r="46" spans="2:73" s="2" customFormat="1" x14ac:dyDescent="0.2"/>
    <row r="47" spans="2:73" x14ac:dyDescent="0.2">
      <c r="B47" t="s">
        <v>128</v>
      </c>
      <c r="W47" s="2">
        <f>W48-W60</f>
        <v>54340</v>
      </c>
      <c r="X47" s="2">
        <f>X48-X60</f>
        <v>56718</v>
      </c>
    </row>
    <row r="48" spans="2:73" s="2" customFormat="1" x14ac:dyDescent="0.2">
      <c r="B48" s="2" t="s">
        <v>3</v>
      </c>
      <c r="W48" s="2">
        <f>20535+30820+114095</f>
        <v>165450</v>
      </c>
      <c r="X48" s="2">
        <f>24687+31185+110461</f>
        <v>166333</v>
      </c>
    </row>
    <row r="49" spans="2:24" s="2" customFormat="1" x14ac:dyDescent="0.2">
      <c r="B49" s="2" t="s">
        <v>115</v>
      </c>
      <c r="W49" s="2">
        <v>23752</v>
      </c>
      <c r="X49" s="2">
        <v>17936</v>
      </c>
    </row>
    <row r="50" spans="2:24" s="2" customFormat="1" x14ac:dyDescent="0.2">
      <c r="B50" s="2" t="s">
        <v>116</v>
      </c>
      <c r="W50" s="2">
        <v>6820</v>
      </c>
      <c r="X50" s="2">
        <v>7482</v>
      </c>
    </row>
    <row r="51" spans="2:24" s="2" customFormat="1" x14ac:dyDescent="0.2">
      <c r="B51" s="2" t="s">
        <v>117</v>
      </c>
      <c r="W51" s="2">
        <v>30428</v>
      </c>
      <c r="X51" s="2">
        <v>17963</v>
      </c>
    </row>
    <row r="52" spans="2:24" s="2" customFormat="1" x14ac:dyDescent="0.2">
      <c r="B52" s="2" t="s">
        <v>118</v>
      </c>
      <c r="W52" s="2">
        <v>16422</v>
      </c>
      <c r="X52" s="2">
        <v>13660</v>
      </c>
    </row>
    <row r="53" spans="2:24" s="2" customFormat="1" x14ac:dyDescent="0.2">
      <c r="B53" s="2" t="s">
        <v>119</v>
      </c>
      <c r="W53" s="2">
        <v>42951</v>
      </c>
      <c r="X53" s="2">
        <v>43398</v>
      </c>
    </row>
    <row r="54" spans="2:24" s="2" customFormat="1" x14ac:dyDescent="0.2">
      <c r="B54" s="2" t="s">
        <v>120</v>
      </c>
      <c r="W54" s="2">
        <v>60924</v>
      </c>
      <c r="X54" s="2">
        <v>65388</v>
      </c>
    </row>
    <row r="55" spans="2:24" s="2" customFormat="1" x14ac:dyDescent="0.2">
      <c r="B55" s="2" t="s">
        <v>121</v>
      </c>
      <c r="W55" s="2">
        <f>SUM(W48:W54)</f>
        <v>346747</v>
      </c>
      <c r="X55" s="2">
        <f>SUM(X48:X54)</f>
        <v>332160</v>
      </c>
    </row>
    <row r="57" spans="2:24" x14ac:dyDescent="0.2">
      <c r="B57" s="2" t="s">
        <v>122</v>
      </c>
      <c r="W57" s="2">
        <v>57918</v>
      </c>
      <c r="X57" s="2">
        <v>42945</v>
      </c>
    </row>
    <row r="58" spans="2:24" x14ac:dyDescent="0.2">
      <c r="B58" s="2" t="s">
        <v>123</v>
      </c>
      <c r="W58" s="2">
        <v>59893</v>
      </c>
      <c r="X58" s="2">
        <v>56425</v>
      </c>
    </row>
    <row r="59" spans="2:24" x14ac:dyDescent="0.2">
      <c r="B59" s="2" t="s">
        <v>124</v>
      </c>
      <c r="W59" s="2">
        <v>7992</v>
      </c>
      <c r="X59" s="2">
        <v>8131</v>
      </c>
    </row>
    <row r="60" spans="2:24" x14ac:dyDescent="0.2">
      <c r="B60" s="2" t="s">
        <v>4</v>
      </c>
      <c r="W60" s="2">
        <f>1743+9740+99627</f>
        <v>111110</v>
      </c>
      <c r="X60" s="2">
        <f>1996+10578+97041</f>
        <v>109615</v>
      </c>
    </row>
    <row r="61" spans="2:24" x14ac:dyDescent="0.2">
      <c r="B61" s="2" t="s">
        <v>127</v>
      </c>
      <c r="W61" s="2">
        <v>53107</v>
      </c>
      <c r="X61" s="2">
        <v>52886</v>
      </c>
    </row>
    <row r="62" spans="2:24" x14ac:dyDescent="0.2">
      <c r="B62" s="2" t="s">
        <v>126</v>
      </c>
      <c r="W62" s="2">
        <v>56727</v>
      </c>
      <c r="X62" s="2">
        <v>62158</v>
      </c>
    </row>
    <row r="63" spans="2:24" x14ac:dyDescent="0.2">
      <c r="B63" s="2" t="s">
        <v>125</v>
      </c>
      <c r="W63" s="2">
        <f>SUM(W57:W62)</f>
        <v>346747</v>
      </c>
      <c r="X63" s="2">
        <f>SUM(X57:X62)</f>
        <v>332160</v>
      </c>
    </row>
    <row r="65" spans="2:24" x14ac:dyDescent="0.2">
      <c r="B65" s="2" t="s">
        <v>130</v>
      </c>
      <c r="W65" s="2">
        <f>W32</f>
        <v>29998</v>
      </c>
      <c r="X65" s="2">
        <f>X32</f>
        <v>24160</v>
      </c>
    </row>
    <row r="66" spans="2:24" x14ac:dyDescent="0.2">
      <c r="B66" s="2" t="s">
        <v>131</v>
      </c>
      <c r="W66" s="2">
        <v>29998</v>
      </c>
      <c r="X66" s="2">
        <f>54158-W66</f>
        <v>24160</v>
      </c>
    </row>
    <row r="67" spans="2:24" x14ac:dyDescent="0.2">
      <c r="B67" s="2" t="s">
        <v>133</v>
      </c>
      <c r="W67" s="2">
        <v>2916</v>
      </c>
      <c r="X67" s="2">
        <f>5814-W67</f>
        <v>2898</v>
      </c>
    </row>
    <row r="68" spans="2:24" x14ac:dyDescent="0.2">
      <c r="B68" s="2" t="s">
        <v>134</v>
      </c>
      <c r="W68" s="2">
        <v>2905</v>
      </c>
      <c r="X68" s="2">
        <f>5591-W68</f>
        <v>2686</v>
      </c>
    </row>
    <row r="69" spans="2:24" x14ac:dyDescent="0.2">
      <c r="B69" s="2" t="s">
        <v>135</v>
      </c>
      <c r="W69" s="2">
        <v>-317</v>
      </c>
      <c r="X69" s="2">
        <f>-1732-W69</f>
        <v>-1415</v>
      </c>
    </row>
    <row r="70" spans="2:24" x14ac:dyDescent="0.2">
      <c r="B70" s="2" t="s">
        <v>136</v>
      </c>
      <c r="W70" s="2">
        <f>4275-1807+2320-4099-6075+131+3758</f>
        <v>-1497</v>
      </c>
      <c r="X70" s="2">
        <f>9596-2548+14785-4092-20764+1757-W70</f>
        <v>231</v>
      </c>
    </row>
    <row r="71" spans="2:24" x14ac:dyDescent="0.2">
      <c r="B71" t="s">
        <v>132</v>
      </c>
      <c r="W71" s="2">
        <f>SUM(W66:W70)</f>
        <v>34005</v>
      </c>
      <c r="X71" s="2">
        <f>SUM(X66:X70)</f>
        <v>28560</v>
      </c>
    </row>
    <row r="73" spans="2:24" x14ac:dyDescent="0.2">
      <c r="B73" s="2" t="s">
        <v>137</v>
      </c>
      <c r="W73" s="2">
        <f>-5153+7127+509</f>
        <v>2483</v>
      </c>
      <c r="X73" s="2">
        <f>-11197+17124+1897-W73</f>
        <v>5341</v>
      </c>
    </row>
    <row r="74" spans="2:24" x14ac:dyDescent="0.2">
      <c r="B74" s="2" t="s">
        <v>138</v>
      </c>
      <c r="W74" s="2">
        <v>-3787</v>
      </c>
      <c r="X74" s="2">
        <f>-6703-W74</f>
        <v>-2916</v>
      </c>
    </row>
    <row r="75" spans="2:24" x14ac:dyDescent="0.2">
      <c r="B75" s="2" t="s">
        <v>135</v>
      </c>
      <c r="W75" s="2">
        <v>-141</v>
      </c>
      <c r="X75" s="2">
        <f>-247-W75</f>
        <v>-106</v>
      </c>
    </row>
    <row r="76" spans="2:24" x14ac:dyDescent="0.2">
      <c r="B76" s="2" t="s">
        <v>139</v>
      </c>
      <c r="W76" s="2">
        <f>SUM(W73:W75)</f>
        <v>-1445</v>
      </c>
      <c r="X76" s="2">
        <f>SUM(X73:X75)</f>
        <v>2319</v>
      </c>
    </row>
    <row r="78" spans="2:24" x14ac:dyDescent="0.2">
      <c r="B78" s="2" t="s">
        <v>140</v>
      </c>
      <c r="W78" s="2">
        <v>-2316</v>
      </c>
      <c r="X78" s="2">
        <f>-2734-W78</f>
        <v>-418</v>
      </c>
    </row>
    <row r="79" spans="2:24" x14ac:dyDescent="0.2">
      <c r="B79" s="2" t="s">
        <v>141</v>
      </c>
      <c r="W79" s="2">
        <v>-3768</v>
      </c>
      <c r="X79" s="2">
        <f>-7418-W79</f>
        <v>-3650</v>
      </c>
    </row>
    <row r="80" spans="2:24" x14ac:dyDescent="0.2">
      <c r="B80" s="2" t="s">
        <v>142</v>
      </c>
      <c r="W80" s="2">
        <v>-19475</v>
      </c>
      <c r="X80" s="2">
        <f>-39069-W80</f>
        <v>-19594</v>
      </c>
    </row>
    <row r="81" spans="2:24" x14ac:dyDescent="0.2">
      <c r="B81" s="2" t="s">
        <v>4</v>
      </c>
      <c r="W81" s="2">
        <f>-1401-8214</f>
        <v>-9615</v>
      </c>
      <c r="X81" s="2">
        <f>-3651-7960-W81</f>
        <v>-1996</v>
      </c>
    </row>
    <row r="82" spans="2:24" x14ac:dyDescent="0.2">
      <c r="B82" s="2" t="s">
        <v>135</v>
      </c>
      <c r="W82" s="2">
        <v>-389</v>
      </c>
      <c r="X82" s="2">
        <f>-455-W82</f>
        <v>-66</v>
      </c>
    </row>
    <row r="83" spans="2:24" x14ac:dyDescent="0.2">
      <c r="B83" s="2" t="s">
        <v>143</v>
      </c>
      <c r="W83" s="2">
        <f>SUM(W78:W82)</f>
        <v>-35563</v>
      </c>
      <c r="X83" s="2">
        <f>SUM(X78:X82)</f>
        <v>-25724</v>
      </c>
    </row>
    <row r="85" spans="2:24" x14ac:dyDescent="0.2">
      <c r="B85" s="2" t="s">
        <v>144</v>
      </c>
      <c r="W85" s="2">
        <f>W83+W76+W71</f>
        <v>-3003</v>
      </c>
      <c r="X85" s="2">
        <f>X83+X76+X71</f>
        <v>5155</v>
      </c>
    </row>
  </sheetData>
  <phoneticPr fontId="3" type="noConversion"/>
  <hyperlinks>
    <hyperlink ref="A1" location="Main!A1" display="Main" xr:uid="{8359FE81-84D5-48DA-AAE3-BF56C6A2A8A2}"/>
    <hyperlink ref="AK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B2" t="s">
        <v>76</v>
      </c>
      <c r="C2" t="s">
        <v>37</v>
      </c>
    </row>
    <row r="3" spans="1:3" x14ac:dyDescent="0.2">
      <c r="B3" t="s">
        <v>77</v>
      </c>
      <c r="C3" t="s">
        <v>78</v>
      </c>
    </row>
    <row r="4" spans="1:3" x14ac:dyDescent="0.2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2023-05-05T03:06:38Z</dcterms:modified>
</cp:coreProperties>
</file>