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B0FA22B-F11A-466F-98A2-ECB1DBB430AF}" xr6:coauthVersionLast="47" xr6:coauthVersionMax="47" xr10:uidLastSave="{00000000-0000-0000-0000-000000000000}"/>
  <bookViews>
    <workbookView xWindow="-50445" yWindow="7815" windowWidth="27480" windowHeight="18705" xr2:uid="{C805B1BA-B66D-4BA0-8D01-D55633D0E2D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" i="2" l="1"/>
  <c r="BO5" i="2" s="1"/>
  <c r="BO4" i="2"/>
  <c r="BD18" i="2"/>
  <c r="BV16" i="2"/>
  <c r="BW16" i="2" s="1"/>
  <c r="BX16" i="2" s="1"/>
  <c r="BY16" i="2" s="1"/>
  <c r="BZ16" i="2" s="1"/>
  <c r="BV8" i="2"/>
  <c r="BV9" i="2" s="1"/>
  <c r="BW7" i="2"/>
  <c r="BX7" i="2" s="1"/>
  <c r="BY7" i="2" s="1"/>
  <c r="BZ7" i="2" s="1"/>
  <c r="BV7" i="2"/>
  <c r="BV6" i="2"/>
  <c r="BW6" i="2" s="1"/>
  <c r="BX6" i="2" s="1"/>
  <c r="BY6" i="2" s="1"/>
  <c r="BZ6" i="2" s="1"/>
  <c r="BX2" i="2"/>
  <c r="BY2" i="2" s="1"/>
  <c r="BZ2" i="2" s="1"/>
  <c r="BW2" i="2"/>
  <c r="BV2" i="2"/>
  <c r="BP3" i="2"/>
  <c r="BP5" i="2" s="1"/>
  <c r="BP19" i="2" s="1"/>
  <c r="BP11" i="2"/>
  <c r="BO21" i="2"/>
  <c r="BF21" i="2"/>
  <c r="BE21" i="2"/>
  <c r="BF14" i="2"/>
  <c r="BE14" i="2"/>
  <c r="BF12" i="2"/>
  <c r="BE12" i="2"/>
  <c r="BR16" i="2"/>
  <c r="BS16" i="2" s="1"/>
  <c r="BT16" i="2" s="1"/>
  <c r="BU16" i="2" s="1"/>
  <c r="BQ16" i="2"/>
  <c r="BP16" i="2"/>
  <c r="BU9" i="2"/>
  <c r="BT9" i="2"/>
  <c r="BS9" i="2"/>
  <c r="BR9" i="2"/>
  <c r="BQ9" i="2"/>
  <c r="BP9" i="2"/>
  <c r="BP8" i="2"/>
  <c r="BQ8" i="2" s="1"/>
  <c r="BR8" i="2" s="1"/>
  <c r="BS8" i="2" s="1"/>
  <c r="BT8" i="2" s="1"/>
  <c r="BU8" i="2" s="1"/>
  <c r="BP7" i="2"/>
  <c r="BQ7" i="2" s="1"/>
  <c r="BR7" i="2" s="1"/>
  <c r="BS7" i="2" s="1"/>
  <c r="BT7" i="2" s="1"/>
  <c r="BU7" i="2" s="1"/>
  <c r="BQ6" i="2"/>
  <c r="BR6" i="2" s="1"/>
  <c r="BS6" i="2" s="1"/>
  <c r="BT6" i="2" s="1"/>
  <c r="BU6" i="2" s="1"/>
  <c r="BP6" i="2"/>
  <c r="BO9" i="2"/>
  <c r="BO8" i="2"/>
  <c r="BO7" i="2"/>
  <c r="BO6" i="2"/>
  <c r="BF9" i="2"/>
  <c r="BF10" i="2" s="1"/>
  <c r="BE9" i="2"/>
  <c r="BE10" i="2" s="1"/>
  <c r="BF8" i="2"/>
  <c r="BE8" i="2"/>
  <c r="BF7" i="2"/>
  <c r="BE7" i="2"/>
  <c r="BF6" i="2"/>
  <c r="BE6" i="2"/>
  <c r="BF5" i="2"/>
  <c r="BF19" i="2" s="1"/>
  <c r="BF4" i="2"/>
  <c r="BE5" i="2"/>
  <c r="BE4" i="2"/>
  <c r="AU19" i="2"/>
  <c r="AT19" i="2"/>
  <c r="AS19" i="2"/>
  <c r="AR19" i="2"/>
  <c r="AU18" i="2"/>
  <c r="AT18" i="2"/>
  <c r="AS18" i="2"/>
  <c r="AR18" i="2"/>
  <c r="AY19" i="2"/>
  <c r="AX19" i="2"/>
  <c r="AW19" i="2"/>
  <c r="AV19" i="2"/>
  <c r="AY18" i="2"/>
  <c r="AX18" i="2"/>
  <c r="AW18" i="2"/>
  <c r="AV18" i="2"/>
  <c r="BC19" i="2"/>
  <c r="BB19" i="2"/>
  <c r="BA19" i="2"/>
  <c r="AZ19" i="2"/>
  <c r="BE19" i="2"/>
  <c r="BD19" i="2"/>
  <c r="BQ3" i="2" l="1"/>
  <c r="BR3" i="2" s="1"/>
  <c r="BP10" i="2"/>
  <c r="BP18" i="2"/>
  <c r="BO19" i="2"/>
  <c r="BO10" i="2"/>
  <c r="BO12" i="2" s="1"/>
  <c r="BW8" i="2"/>
  <c r="BP4" i="2"/>
  <c r="BP12" i="2"/>
  <c r="BP13" i="2" s="1"/>
  <c r="BE3" i="2"/>
  <c r="BE18" i="2" s="1"/>
  <c r="BL2" i="2"/>
  <c r="BM2" i="2" s="1"/>
  <c r="BN2" i="2" s="1"/>
  <c r="BO2" i="2" s="1"/>
  <c r="BP2" i="2" s="1"/>
  <c r="BQ2" i="2" s="1"/>
  <c r="BR2" i="2" s="1"/>
  <c r="BS2" i="2" s="1"/>
  <c r="BT2" i="2" s="1"/>
  <c r="BU2" i="2" s="1"/>
  <c r="L7" i="1"/>
  <c r="L4" i="1"/>
  <c r="BD21" i="2"/>
  <c r="BD35" i="2"/>
  <c r="BD34" i="2"/>
  <c r="BD40" i="2" s="1"/>
  <c r="BD27" i="2"/>
  <c r="BD30" i="2" s="1"/>
  <c r="BC5" i="2"/>
  <c r="BB5" i="2"/>
  <c r="BA5" i="2"/>
  <c r="AZ5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C9" i="2"/>
  <c r="BB9" i="2"/>
  <c r="BA9" i="2"/>
  <c r="AZ9" i="2"/>
  <c r="AY9" i="2"/>
  <c r="AY10" i="2" s="1"/>
  <c r="AX9" i="2"/>
  <c r="AX10" i="2" s="1"/>
  <c r="AW9" i="2"/>
  <c r="AW10" i="2" s="1"/>
  <c r="AV9" i="2"/>
  <c r="AV10" i="2" s="1"/>
  <c r="AU9" i="2"/>
  <c r="AU10" i="2" s="1"/>
  <c r="AT9" i="2"/>
  <c r="AT10" i="2" s="1"/>
  <c r="AS9" i="2"/>
  <c r="AS10" i="2" s="1"/>
  <c r="AR9" i="2"/>
  <c r="AR10" i="2" s="1"/>
  <c r="AQ9" i="2"/>
  <c r="AQ10" i="2" s="1"/>
  <c r="AP9" i="2"/>
  <c r="AP10" i="2" s="1"/>
  <c r="AO9" i="2"/>
  <c r="AO10" i="2" s="1"/>
  <c r="AN9" i="2"/>
  <c r="AN10" i="2" s="1"/>
  <c r="AM9" i="2"/>
  <c r="AM10" i="2" s="1"/>
  <c r="AL9" i="2"/>
  <c r="AL10" i="2" s="1"/>
  <c r="AK9" i="2"/>
  <c r="AK10" i="2" s="1"/>
  <c r="AJ9" i="2"/>
  <c r="AJ10" i="2" s="1"/>
  <c r="AI9" i="2"/>
  <c r="AI10" i="2" s="1"/>
  <c r="AH9" i="2"/>
  <c r="AH10" i="2" s="1"/>
  <c r="AG9" i="2"/>
  <c r="AG10" i="2" s="1"/>
  <c r="AF9" i="2"/>
  <c r="AF10" i="2" s="1"/>
  <c r="AE9" i="2"/>
  <c r="AE10" i="2" s="1"/>
  <c r="AD9" i="2"/>
  <c r="AD10" i="2" s="1"/>
  <c r="AC9" i="2"/>
  <c r="AC10" i="2" s="1"/>
  <c r="AB9" i="2"/>
  <c r="AB10" i="2" s="1"/>
  <c r="AA9" i="2"/>
  <c r="AA10" i="2" s="1"/>
  <c r="Z9" i="2"/>
  <c r="Z10" i="2" s="1"/>
  <c r="Y9" i="2"/>
  <c r="Y10" i="2" s="1"/>
  <c r="X9" i="2"/>
  <c r="X10" i="2" s="1"/>
  <c r="W9" i="2"/>
  <c r="W10" i="2" s="1"/>
  <c r="V9" i="2"/>
  <c r="V10" i="2" s="1"/>
  <c r="U9" i="2"/>
  <c r="U10" i="2" s="1"/>
  <c r="T9" i="2"/>
  <c r="T10" i="2" s="1"/>
  <c r="S9" i="2"/>
  <c r="S10" i="2" s="1"/>
  <c r="R9" i="2"/>
  <c r="R10" i="2" s="1"/>
  <c r="Q9" i="2"/>
  <c r="Q10" i="2" s="1"/>
  <c r="P9" i="2"/>
  <c r="P10" i="2" s="1"/>
  <c r="O9" i="2"/>
  <c r="O10" i="2" s="1"/>
  <c r="N9" i="2"/>
  <c r="N10" i="2" s="1"/>
  <c r="M9" i="2"/>
  <c r="M10" i="2" s="1"/>
  <c r="L9" i="2"/>
  <c r="L10" i="2" s="1"/>
  <c r="K9" i="2"/>
  <c r="K10" i="2" s="1"/>
  <c r="J9" i="2"/>
  <c r="J10" i="2" s="1"/>
  <c r="I9" i="2"/>
  <c r="I10" i="2" s="1"/>
  <c r="H9" i="2"/>
  <c r="H10" i="2" s="1"/>
  <c r="G9" i="2"/>
  <c r="G10" i="2" s="1"/>
  <c r="F9" i="2"/>
  <c r="F10" i="2" s="1"/>
  <c r="E9" i="2"/>
  <c r="E10" i="2" s="1"/>
  <c r="D9" i="2"/>
  <c r="D10" i="2" s="1"/>
  <c r="C9" i="2"/>
  <c r="C10" i="2" s="1"/>
  <c r="BD9" i="2"/>
  <c r="BD5" i="2"/>
  <c r="BD10" i="2" s="1"/>
  <c r="BD12" i="2" s="1"/>
  <c r="BD14" i="2" s="1"/>
  <c r="BD15" i="2" s="1"/>
  <c r="BC18" i="2"/>
  <c r="BB18" i="2"/>
  <c r="BA18" i="2"/>
  <c r="AZ18" i="2"/>
  <c r="BP14" i="2" l="1"/>
  <c r="BX8" i="2"/>
  <c r="BW9" i="2"/>
  <c r="BP21" i="2"/>
  <c r="BP15" i="2"/>
  <c r="BF3" i="2"/>
  <c r="BF18" i="2" s="1"/>
  <c r="AZ10" i="2"/>
  <c r="AZ12" i="2" s="1"/>
  <c r="AZ14" i="2" s="1"/>
  <c r="AZ15" i="2" s="1"/>
  <c r="BB10" i="2"/>
  <c r="BB12" i="2" s="1"/>
  <c r="BB14" i="2" s="1"/>
  <c r="BA10" i="2"/>
  <c r="BA12" i="2" s="1"/>
  <c r="BA14" i="2" s="1"/>
  <c r="BC10" i="2"/>
  <c r="BC12" i="2" s="1"/>
  <c r="BC14" i="2" s="1"/>
  <c r="BY8" i="2" l="1"/>
  <c r="BX9" i="2"/>
  <c r="BQ5" i="2"/>
  <c r="BQ18" i="2"/>
  <c r="BQ4" i="2"/>
  <c r="BQ11" i="2"/>
  <c r="BY9" i="2" l="1"/>
  <c r="BZ8" i="2"/>
  <c r="BZ9" i="2" s="1"/>
  <c r="BQ19" i="2"/>
  <c r="BQ10" i="2"/>
  <c r="BQ12" i="2" s="1"/>
  <c r="BQ13" i="2" s="1"/>
  <c r="BQ14" i="2" s="1"/>
  <c r="BS3" i="2"/>
  <c r="BT3" i="2" s="1"/>
  <c r="BU3" i="2" s="1"/>
  <c r="BV3" i="2" s="1"/>
  <c r="BW3" i="2" s="1"/>
  <c r="BX3" i="2" s="1"/>
  <c r="BY3" i="2" s="1"/>
  <c r="BZ3" i="2" s="1"/>
  <c r="BR18" i="2"/>
  <c r="BR5" i="2"/>
  <c r="BR4" i="2" s="1"/>
  <c r="BR19" i="2" l="1"/>
  <c r="BR10" i="2"/>
  <c r="BS18" i="2"/>
  <c r="BS5" i="2"/>
  <c r="BS4" i="2" s="1"/>
  <c r="BQ15" i="2"/>
  <c r="BQ21" i="2"/>
  <c r="BT5" i="2" l="1"/>
  <c r="BT4" i="2" s="1"/>
  <c r="BT18" i="2"/>
  <c r="BS19" i="2"/>
  <c r="BS10" i="2"/>
  <c r="BR11" i="2"/>
  <c r="BR12" i="2" s="1"/>
  <c r="BV5" i="2" l="1"/>
  <c r="BV18" i="2"/>
  <c r="BV4" i="2"/>
  <c r="BU18" i="2"/>
  <c r="BU5" i="2"/>
  <c r="BT19" i="2"/>
  <c r="BT10" i="2"/>
  <c r="BR13" i="2"/>
  <c r="BR14" i="2"/>
  <c r="BW18" i="2" l="1"/>
  <c r="BW5" i="2"/>
  <c r="BV10" i="2"/>
  <c r="BV19" i="2"/>
  <c r="BU19" i="2"/>
  <c r="BU10" i="2"/>
  <c r="BU4" i="2"/>
  <c r="BR15" i="2"/>
  <c r="BR21" i="2"/>
  <c r="BW19" i="2" l="1"/>
  <c r="BW10" i="2"/>
  <c r="BX18" i="2"/>
  <c r="BX5" i="2"/>
  <c r="BX4" i="2" s="1"/>
  <c r="BW4" i="2"/>
  <c r="BS11" i="2"/>
  <c r="BS12" i="2" s="1"/>
  <c r="BY18" i="2" l="1"/>
  <c r="BY5" i="2"/>
  <c r="BY4" i="2" s="1"/>
  <c r="BX10" i="2"/>
  <c r="BX19" i="2"/>
  <c r="BS13" i="2"/>
  <c r="BS14" i="2"/>
  <c r="BZ18" i="2" l="1"/>
  <c r="BZ5" i="2"/>
  <c r="BZ4" i="2" s="1"/>
  <c r="BY19" i="2"/>
  <c r="BY10" i="2"/>
  <c r="BS15" i="2"/>
  <c r="BS21" i="2"/>
  <c r="BZ10" i="2" l="1"/>
  <c r="BZ19" i="2"/>
  <c r="BT11" i="2"/>
  <c r="BT12" i="2" s="1"/>
  <c r="BT13" i="2" l="1"/>
  <c r="BT14" i="2"/>
  <c r="BT15" i="2" l="1"/>
  <c r="BT21" i="2"/>
  <c r="BU11" i="2" l="1"/>
  <c r="BU12" i="2" s="1"/>
  <c r="BU13" i="2" l="1"/>
  <c r="BU14" i="2" s="1"/>
  <c r="BU15" i="2" l="1"/>
  <c r="BU21" i="2"/>
  <c r="BV11" i="2" s="1"/>
  <c r="BV12" i="2" s="1"/>
  <c r="BV13" i="2" l="1"/>
  <c r="BV14" i="2"/>
  <c r="BV15" i="2" l="1"/>
  <c r="BV21" i="2"/>
  <c r="BW11" i="2" l="1"/>
  <c r="BW12" i="2" s="1"/>
  <c r="BW13" i="2" s="1"/>
  <c r="BW14" i="2" s="1"/>
  <c r="BW21" i="2" s="1"/>
  <c r="BX11" i="2" l="1"/>
  <c r="BX12" i="2" s="1"/>
  <c r="BX13" i="2" s="1"/>
  <c r="BX14" i="2" s="1"/>
  <c r="BX15" i="2" s="1"/>
  <c r="BW15" i="2"/>
  <c r="BX21" i="2" l="1"/>
  <c r="BY11" i="2" l="1"/>
  <c r="BY12" i="2" s="1"/>
  <c r="BY13" i="2" l="1"/>
  <c r="BY14" i="2"/>
  <c r="BY15" i="2" l="1"/>
  <c r="BY21" i="2"/>
  <c r="BZ11" i="2" l="1"/>
  <c r="BZ12" i="2" s="1"/>
  <c r="BZ13" i="2" s="1"/>
  <c r="BZ14" i="2" s="1"/>
  <c r="BZ15" i="2" l="1"/>
  <c r="CA14" i="2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FE14" i="2" s="1"/>
  <c r="FF14" i="2" s="1"/>
  <c r="FG14" i="2" s="1"/>
  <c r="FH14" i="2" s="1"/>
  <c r="FI14" i="2" s="1"/>
  <c r="FJ14" i="2" s="1"/>
  <c r="FK14" i="2" s="1"/>
  <c r="FL14" i="2" s="1"/>
  <c r="FM14" i="2" s="1"/>
  <c r="FN14" i="2" s="1"/>
  <c r="FO14" i="2" s="1"/>
  <c r="FP14" i="2" s="1"/>
  <c r="FQ14" i="2" s="1"/>
  <c r="FR14" i="2" s="1"/>
  <c r="FS14" i="2" s="1"/>
  <c r="FT14" i="2" s="1"/>
  <c r="FU14" i="2" s="1"/>
  <c r="FV14" i="2" s="1"/>
  <c r="FW14" i="2" s="1"/>
  <c r="FX14" i="2" s="1"/>
  <c r="FY14" i="2" s="1"/>
  <c r="FZ14" i="2" s="1"/>
  <c r="GA14" i="2" s="1"/>
  <c r="GB14" i="2" s="1"/>
  <c r="GC14" i="2" s="1"/>
  <c r="GD14" i="2" s="1"/>
  <c r="GE14" i="2" s="1"/>
  <c r="GF14" i="2" s="1"/>
  <c r="GG14" i="2" s="1"/>
  <c r="GH14" i="2" s="1"/>
  <c r="GI14" i="2" s="1"/>
  <c r="GJ14" i="2" s="1"/>
  <c r="GK14" i="2" s="1"/>
  <c r="GL14" i="2" s="1"/>
  <c r="GM14" i="2" s="1"/>
  <c r="GN14" i="2" s="1"/>
  <c r="GO14" i="2" s="1"/>
  <c r="GP14" i="2" s="1"/>
  <c r="GQ14" i="2" s="1"/>
  <c r="GR14" i="2" s="1"/>
  <c r="GS14" i="2" s="1"/>
  <c r="GT14" i="2" s="1"/>
  <c r="GU14" i="2" s="1"/>
  <c r="GV14" i="2" s="1"/>
  <c r="GW14" i="2" s="1"/>
  <c r="GX14" i="2" s="1"/>
  <c r="GY14" i="2" s="1"/>
  <c r="GZ14" i="2" s="1"/>
  <c r="HA14" i="2" s="1"/>
  <c r="HB14" i="2" s="1"/>
  <c r="HC14" i="2" s="1"/>
  <c r="HD14" i="2" s="1"/>
  <c r="HE14" i="2" s="1"/>
  <c r="HF14" i="2" s="1"/>
  <c r="HG14" i="2" s="1"/>
  <c r="HH14" i="2" s="1"/>
  <c r="HI14" i="2" s="1"/>
  <c r="HJ14" i="2" s="1"/>
  <c r="HK14" i="2" s="1"/>
  <c r="HL14" i="2" s="1"/>
  <c r="HM14" i="2" s="1"/>
  <c r="HN14" i="2" s="1"/>
  <c r="HO14" i="2" s="1"/>
  <c r="HP14" i="2" s="1"/>
  <c r="HQ14" i="2" s="1"/>
  <c r="HR14" i="2" s="1"/>
  <c r="HS14" i="2" s="1"/>
  <c r="HT14" i="2" s="1"/>
  <c r="HU14" i="2" s="1"/>
  <c r="HV14" i="2" s="1"/>
  <c r="BZ21" i="2"/>
  <c r="BZ26" i="2" l="1"/>
  <c r="BZ27" i="2" s="1"/>
</calcChain>
</file>

<file path=xl/sharedStrings.xml><?xml version="1.0" encoding="utf-8"?>
<sst xmlns="http://schemas.openxmlformats.org/spreadsheetml/2006/main" count="115" uniqueCount="108">
  <si>
    <t>Price</t>
  </si>
  <si>
    <t>Shares</t>
  </si>
  <si>
    <t>MC</t>
  </si>
  <si>
    <t>Cash</t>
  </si>
  <si>
    <t>Debt</t>
  </si>
  <si>
    <t>EV</t>
  </si>
  <si>
    <t/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</si>
  <si>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</si>
  <si>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</si>
  <si>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</si>
  <si>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</si>
  <si>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</si>
  <si>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</si>
  <si>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</si>
  <si>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</si>
  <si>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</si>
  <si>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</si>
  <si>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</si>
  <si>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</si>
  <si>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</si>
  <si>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</si>
  <si>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</si>
  <si>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</si>
  <si>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</si>
  <si>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</si>
  <si>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</si>
  <si>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</si>
  <si>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</si>
  <si>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</si>
  <si>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</si>
  <si>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</si>
  <si>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</si>
  <si>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</si>
  <si>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</si>
  <si>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</si>
  <si>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</si>
  <si>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</si>
  <si>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</si>
  <si>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</si>
  <si>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</si>
  <si>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</si>
  <si>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</si>
  <si>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</si>
  <si>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</si>
  <si>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</si>
  <si>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</si>
  <si>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</si>
  <si>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</si>
  <si>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</si>
  <si>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</si>
  <si>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</si>
  <si>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</si>
  <si>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</si>
  <si>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</si>
  <si>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</si>
  <si>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SG&amp;A Expense</t>
  </si>
  <si>
    <t>R&amp;D Expense</t>
  </si>
  <si>
    <t>Net Income</t>
  </si>
  <si>
    <t>Main</t>
  </si>
  <si>
    <t>Revenue</t>
  </si>
  <si>
    <t>COGS</t>
  </si>
  <si>
    <t>Gross Profit</t>
  </si>
  <si>
    <t>Q224</t>
  </si>
  <si>
    <t>Q124</t>
  </si>
  <si>
    <t>Q423</t>
  </si>
  <si>
    <t>Q323</t>
  </si>
  <si>
    <t>Q223</t>
  </si>
  <si>
    <t>Q123</t>
  </si>
  <si>
    <t>Revenue y/y</t>
  </si>
  <si>
    <t>Center Expenses</t>
  </si>
  <si>
    <t>Operating Expenses</t>
  </si>
  <si>
    <t>Operating Income</t>
  </si>
  <si>
    <t>Interest Income</t>
  </si>
  <si>
    <t>Pretax Income</t>
  </si>
  <si>
    <t>Taxes</t>
  </si>
  <si>
    <t>Q324</t>
  </si>
  <si>
    <t>Q424</t>
  </si>
  <si>
    <t>EPS</t>
  </si>
  <si>
    <t>AR</t>
  </si>
  <si>
    <t>Inventories</t>
  </si>
  <si>
    <t>Prepaids</t>
  </si>
  <si>
    <t>PP&amp;E</t>
  </si>
  <si>
    <t>Goodwill</t>
  </si>
  <si>
    <t>ROU</t>
  </si>
  <si>
    <t>Deposits/Other</t>
  </si>
  <si>
    <t>Assets</t>
  </si>
  <si>
    <t>AP</t>
  </si>
  <si>
    <t>Accrued</t>
  </si>
  <si>
    <t>DR</t>
  </si>
  <si>
    <t>Lease</t>
  </si>
  <si>
    <t>Fee</t>
  </si>
  <si>
    <t>L+SE</t>
  </si>
  <si>
    <t>ONCL</t>
  </si>
  <si>
    <t>Net Cash</t>
  </si>
  <si>
    <t>Name</t>
  </si>
  <si>
    <t>Asceniv</t>
  </si>
  <si>
    <t>Bivigam</t>
  </si>
  <si>
    <t>MOA</t>
  </si>
  <si>
    <t>10% IVIG</t>
  </si>
  <si>
    <t>Competition</t>
  </si>
  <si>
    <t>Approval</t>
  </si>
  <si>
    <t>Gammagard (IVIG, SCIG - TAK), Gamunex (GFS)</t>
  </si>
  <si>
    <t>Gross Margin</t>
  </si>
  <si>
    <t>Discount</t>
  </si>
  <si>
    <t>Terminal</t>
  </si>
  <si>
    <t>NPV</t>
  </si>
  <si>
    <t>ROIC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</si>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</sst>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2"/>
    <xf numFmtId="0" fontId="1" fillId="0" borderId="0" xfId="0" applyFont="1"/>
    <xf numFmtId="0" fontId="1" fillId="0" borderId="0" xfId="1" applyFont="1"/>
    <xf numFmtId="0" fontId="1" fillId="0" borderId="0" xfId="1" applyFont="1" applyAlignment="1">
      <alignment horizontal="right"/>
    </xf>
    <xf numFmtId="9" fontId="1" fillId="0" borderId="0" xfId="0" applyNumberFormat="1" applyFont="1"/>
    <xf numFmtId="3" fontId="1" fillId="0" borderId="0" xfId="0" applyNumberFormat="1" applyFont="1"/>
    <xf numFmtId="3" fontId="1" fillId="0" borderId="0" xfId="1" applyNumberFormat="1" applyFont="1"/>
    <xf numFmtId="3" fontId="2" fillId="0" borderId="0" xfId="0" applyNumberFormat="1" applyFont="1"/>
    <xf numFmtId="3" fontId="2" fillId="0" borderId="0" xfId="1" applyNumberFormat="1" applyFont="1"/>
    <xf numFmtId="4" fontId="1" fillId="0" borderId="0" xfId="1" applyNumberFormat="1" applyFon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" fontId="1" fillId="0" borderId="0" xfId="0" applyNumberFormat="1" applyFont="1"/>
  </cellXfs>
  <cellStyles count="3">
    <cellStyle name="Hyperlink" xfId="2" builtinId="8"/>
    <cellStyle name="Normal" xfId="0" builtinId="0"/>
    <cellStyle name="Normal 2" xfId="1" xr:uid="{9B354E6A-3362-4C2F-ADCF-889D7DAEEF69}"/>
  </cellStyles>
  <dxfs count="0"/>
  <tableStyles count="1" defaultTableStyle="TableStyleMedium2" defaultPivotStyle="PivotStyleLight16">
    <tableStyle name="Invisible" pivot="0" table="0" count="0" xr9:uid="{DFABDD53-4DE7-447F-81FC-DF76212550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32657</xdr:colOff>
      <xdr:row>0</xdr:row>
      <xdr:rowOff>21771</xdr:rowOff>
    </xdr:from>
    <xdr:to>
      <xdr:col>56</xdr:col>
      <xdr:colOff>32657</xdr:colOff>
      <xdr:row>40</xdr:row>
      <xdr:rowOff>59872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898BE40-B0F3-A51C-48F8-9153FA7E1BC5}"/>
            </a:ext>
          </a:extLst>
        </xdr:cNvPr>
        <xdr:cNvCxnSpPr/>
      </xdr:nvCxnSpPr>
      <xdr:spPr>
        <a:xfrm>
          <a:off x="34932257" y="21771"/>
          <a:ext cx="0" cy="624295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B17E-8CAF-402D-804E-49EB209CC6AE}">
  <dimension ref="B2:M9"/>
  <sheetViews>
    <sheetView tabSelected="1" zoomScale="160" zoomScaleNormal="160" workbookViewId="0"/>
  </sheetViews>
  <sheetFormatPr defaultRowHeight="12.75" x14ac:dyDescent="0.2"/>
  <cols>
    <col min="1" max="1" width="5.28515625" customWidth="1"/>
    <col min="4" max="4" width="22.42578125" bestFit="1" customWidth="1"/>
  </cols>
  <sheetData>
    <row r="2" spans="2:13" x14ac:dyDescent="0.2">
      <c r="B2" s="18" t="s">
        <v>94</v>
      </c>
      <c r="C2" s="19" t="s">
        <v>97</v>
      </c>
      <c r="D2" s="19" t="s">
        <v>99</v>
      </c>
      <c r="E2" s="19" t="s">
        <v>100</v>
      </c>
      <c r="F2" s="19"/>
      <c r="G2" s="19"/>
      <c r="H2" s="19"/>
      <c r="I2" s="20"/>
      <c r="K2" t="s">
        <v>0</v>
      </c>
      <c r="L2">
        <v>19.79</v>
      </c>
    </row>
    <row r="3" spans="2:13" x14ac:dyDescent="0.2">
      <c r="B3" s="13" t="s">
        <v>95</v>
      </c>
      <c r="C3" t="s">
        <v>98</v>
      </c>
      <c r="D3" t="s">
        <v>101</v>
      </c>
      <c r="I3" s="14"/>
      <c r="K3" t="s">
        <v>1</v>
      </c>
      <c r="L3" s="11">
        <v>242</v>
      </c>
      <c r="M3" s="12" t="s">
        <v>62</v>
      </c>
    </row>
    <row r="4" spans="2:13" x14ac:dyDescent="0.2">
      <c r="B4" s="13" t="s">
        <v>96</v>
      </c>
      <c r="I4" s="14"/>
      <c r="K4" t="s">
        <v>2</v>
      </c>
      <c r="L4" s="11">
        <f>+L2*L3</f>
        <v>4789.1799999999994</v>
      </c>
    </row>
    <row r="5" spans="2:13" x14ac:dyDescent="0.2">
      <c r="B5" s="13"/>
      <c r="I5" s="14"/>
      <c r="K5" t="s">
        <v>3</v>
      </c>
      <c r="L5" s="11">
        <v>88</v>
      </c>
      <c r="M5" s="12" t="s">
        <v>62</v>
      </c>
    </row>
    <row r="6" spans="2:13" x14ac:dyDescent="0.2">
      <c r="B6" s="13"/>
      <c r="I6" s="14"/>
      <c r="K6" t="s">
        <v>4</v>
      </c>
      <c r="L6" s="11">
        <v>131</v>
      </c>
      <c r="M6" s="12" t="s">
        <v>62</v>
      </c>
    </row>
    <row r="7" spans="2:13" x14ac:dyDescent="0.2">
      <c r="B7" s="13"/>
      <c r="I7" s="14"/>
      <c r="K7" t="s">
        <v>5</v>
      </c>
      <c r="L7" s="11">
        <f>+L4-L5+L6</f>
        <v>4832.1799999999994</v>
      </c>
    </row>
    <row r="8" spans="2:13" x14ac:dyDescent="0.2">
      <c r="B8" s="13"/>
      <c r="I8" s="14"/>
    </row>
    <row r="9" spans="2:13" x14ac:dyDescent="0.2">
      <c r="B9" s="15"/>
      <c r="C9" s="16"/>
      <c r="D9" s="16"/>
      <c r="E9" s="16"/>
      <c r="F9" s="16"/>
      <c r="G9" s="16"/>
      <c r="H9" s="16"/>
      <c r="I9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B23D-CE21-4A3B-B18A-E37ACD1D9607}">
  <dimension ref="A1:HV40"/>
  <sheetViews>
    <sheetView zoomScale="175" zoomScaleNormal="175" workbookViewId="0">
      <pane xSplit="2" ySplit="2" topLeftCell="BJ3" activePane="bottomRight" state="frozen"/>
      <selection pane="topRight" activeCell="C1" sqref="C1"/>
      <selection pane="bottomLeft" activeCell="A3" sqref="A3"/>
      <selection pane="bottomRight" activeCell="BP5" sqref="BP5"/>
    </sheetView>
  </sheetViews>
  <sheetFormatPr defaultRowHeight="12.75" x14ac:dyDescent="0.2"/>
  <cols>
    <col min="1" max="1" width="5" style="2" bestFit="1" customWidth="1"/>
    <col min="2" max="2" width="24.7109375" style="2" bestFit="1" customWidth="1"/>
    <col min="3" max="75" width="9.140625" style="2"/>
    <col min="76" max="76" width="10" style="2" bestFit="1" customWidth="1"/>
    <col min="77" max="16384" width="9.140625" style="2"/>
  </cols>
  <sheetData>
    <row r="1" spans="1:230" x14ac:dyDescent="0.2">
      <c r="A1" s="1" t="s">
        <v>58</v>
      </c>
    </row>
    <row r="2" spans="1:230" x14ac:dyDescent="0.2"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3" t="s">
        <v>34</v>
      </c>
      <c r="AE2" s="3" t="s">
        <v>35</v>
      </c>
      <c r="AF2" s="3" t="s">
        <v>36</v>
      </c>
      <c r="AG2" s="3" t="s">
        <v>37</v>
      </c>
      <c r="AH2" s="3" t="s">
        <v>38</v>
      </c>
      <c r="AI2" s="3" t="s">
        <v>39</v>
      </c>
      <c r="AJ2" s="3" t="s">
        <v>40</v>
      </c>
      <c r="AK2" s="3" t="s">
        <v>41</v>
      </c>
      <c r="AL2" s="3" t="s">
        <v>42</v>
      </c>
      <c r="AM2" s="3" t="s">
        <v>43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51</v>
      </c>
      <c r="AV2" s="3" t="s">
        <v>52</v>
      </c>
      <c r="AW2" s="3" t="s">
        <v>53</v>
      </c>
      <c r="AX2" s="3" t="s">
        <v>54</v>
      </c>
      <c r="AY2" s="4" t="s">
        <v>67</v>
      </c>
      <c r="AZ2" s="4" t="s">
        <v>66</v>
      </c>
      <c r="BA2" s="4" t="s">
        <v>65</v>
      </c>
      <c r="BB2" s="4" t="s">
        <v>64</v>
      </c>
      <c r="BC2" s="4" t="s">
        <v>63</v>
      </c>
      <c r="BD2" s="4" t="s">
        <v>62</v>
      </c>
      <c r="BE2" s="4" t="s">
        <v>75</v>
      </c>
      <c r="BF2" s="4" t="s">
        <v>76</v>
      </c>
      <c r="BK2" s="2">
        <v>2020</v>
      </c>
      <c r="BL2" s="2">
        <f>+BK2+1</f>
        <v>2021</v>
      </c>
      <c r="BM2" s="2">
        <f t="shared" ref="BM2:BR2" si="0">+BL2+1</f>
        <v>2022</v>
      </c>
      <c r="BN2" s="2">
        <f t="shared" si="0"/>
        <v>2023</v>
      </c>
      <c r="BO2" s="2">
        <f t="shared" si="0"/>
        <v>2024</v>
      </c>
      <c r="BP2" s="2">
        <f t="shared" si="0"/>
        <v>2025</v>
      </c>
      <c r="BQ2" s="2">
        <f t="shared" si="0"/>
        <v>2026</v>
      </c>
      <c r="BR2" s="2">
        <f t="shared" si="0"/>
        <v>2027</v>
      </c>
      <c r="BS2">
        <f>+BR2+1</f>
        <v>2028</v>
      </c>
      <c r="BT2">
        <f t="shared" ref="BT2:BU2" si="1">+BS2+1</f>
        <v>2029</v>
      </c>
      <c r="BU2">
        <f t="shared" si="1"/>
        <v>2030</v>
      </c>
      <c r="BV2">
        <f t="shared" ref="BV2:BZ2" si="2">+BU2+1</f>
        <v>2031</v>
      </c>
      <c r="BW2">
        <f t="shared" si="2"/>
        <v>2032</v>
      </c>
      <c r="BX2">
        <f t="shared" si="2"/>
        <v>2033</v>
      </c>
      <c r="BY2">
        <f t="shared" si="2"/>
        <v>2034</v>
      </c>
      <c r="BZ2">
        <f t="shared" si="2"/>
        <v>2035</v>
      </c>
    </row>
    <row r="3" spans="1:230" s="8" customFormat="1" x14ac:dyDescent="0.2">
      <c r="B3" s="9" t="s">
        <v>59</v>
      </c>
      <c r="C3" s="9">
        <v>0</v>
      </c>
      <c r="D3" s="9">
        <v>0</v>
      </c>
      <c r="E3" s="9">
        <v>0</v>
      </c>
      <c r="F3" s="9">
        <v>0.8</v>
      </c>
      <c r="G3" s="9">
        <v>0</v>
      </c>
      <c r="H3" s="9">
        <v>0.2</v>
      </c>
      <c r="I3" s="9">
        <v>0.4</v>
      </c>
      <c r="J3" s="9">
        <v>0.5</v>
      </c>
      <c r="K3" s="9">
        <v>0.8</v>
      </c>
      <c r="L3" s="9">
        <v>0</v>
      </c>
      <c r="M3" s="9">
        <v>0</v>
      </c>
      <c r="N3" s="9">
        <v>2.2000000000000002</v>
      </c>
      <c r="O3" s="9">
        <v>0</v>
      </c>
      <c r="P3" s="9">
        <v>0</v>
      </c>
      <c r="Q3" s="9">
        <v>-1.3</v>
      </c>
      <c r="R3" s="9">
        <v>7.2</v>
      </c>
      <c r="S3" s="9">
        <v>-1.5</v>
      </c>
      <c r="T3" s="9">
        <v>-1.3</v>
      </c>
      <c r="U3" s="9">
        <v>-1.8</v>
      </c>
      <c r="V3" s="9">
        <v>11.7</v>
      </c>
      <c r="W3" s="9">
        <v>-2.1</v>
      </c>
      <c r="X3" s="9">
        <v>-2.2000000000000002</v>
      </c>
      <c r="Y3" s="9">
        <v>2.9</v>
      </c>
      <c r="Z3" s="9">
        <v>12</v>
      </c>
      <c r="AA3" s="9">
        <v>2.6</v>
      </c>
      <c r="AB3" s="9">
        <v>3.4</v>
      </c>
      <c r="AC3" s="9">
        <v>4.7</v>
      </c>
      <c r="AD3" s="9">
        <v>12</v>
      </c>
      <c r="AE3" s="9">
        <v>4</v>
      </c>
      <c r="AF3" s="9">
        <v>4.7</v>
      </c>
      <c r="AG3" s="9">
        <v>4.2</v>
      </c>
      <c r="AH3" s="9">
        <v>4.0999999999999996</v>
      </c>
      <c r="AI3" s="9">
        <v>3.5</v>
      </c>
      <c r="AJ3" s="9">
        <v>6.6</v>
      </c>
      <c r="AK3" s="9">
        <v>7.2</v>
      </c>
      <c r="AL3" s="9">
        <v>12</v>
      </c>
      <c r="AM3" s="9">
        <v>10.199999999999999</v>
      </c>
      <c r="AN3" s="9">
        <v>7.8</v>
      </c>
      <c r="AO3" s="9">
        <v>10.3</v>
      </c>
      <c r="AP3" s="9">
        <v>14</v>
      </c>
      <c r="AQ3" s="9">
        <v>16</v>
      </c>
      <c r="AR3" s="9">
        <v>17.8</v>
      </c>
      <c r="AS3" s="9">
        <v>20.7</v>
      </c>
      <c r="AT3" s="9">
        <v>26.4</v>
      </c>
      <c r="AU3" s="9">
        <v>29.1</v>
      </c>
      <c r="AV3" s="9">
        <v>33.9</v>
      </c>
      <c r="AW3" s="9">
        <v>41.1</v>
      </c>
      <c r="AX3" s="9">
        <v>50</v>
      </c>
      <c r="AY3" s="9">
        <v>56.9</v>
      </c>
      <c r="AZ3" s="9">
        <v>60.1</v>
      </c>
      <c r="BA3" s="9">
        <v>67.3</v>
      </c>
      <c r="BB3" s="9">
        <v>73.900000000000006</v>
      </c>
      <c r="BC3" s="9">
        <v>81.900000000000006</v>
      </c>
      <c r="BD3" s="9">
        <v>107.2</v>
      </c>
      <c r="BE3" s="8">
        <f>+BD3+5</f>
        <v>112.2</v>
      </c>
      <c r="BF3" s="8">
        <f>+BE3+5</f>
        <v>117.2</v>
      </c>
      <c r="BO3" s="8">
        <f>SUM(BC3:BF3)</f>
        <v>418.5</v>
      </c>
      <c r="BP3" s="8">
        <f>+BO3*1.4</f>
        <v>585.9</v>
      </c>
      <c r="BQ3" s="8">
        <f>+BP3*1.3</f>
        <v>761.67</v>
      </c>
      <c r="BR3" s="8">
        <f>+BQ3*1.2</f>
        <v>914.00399999999991</v>
      </c>
      <c r="BS3" s="8">
        <f>+BR3*1.2</f>
        <v>1096.8047999999999</v>
      </c>
      <c r="BT3" s="8">
        <f>+BS3*1.15</f>
        <v>1261.3255199999999</v>
      </c>
      <c r="BU3" s="8">
        <f>+BT3*1.15</f>
        <v>1450.5243479999997</v>
      </c>
      <c r="BV3" s="8">
        <f>+BU3*1.15</f>
        <v>1668.1030001999995</v>
      </c>
      <c r="BW3" s="8">
        <f>+BV3*1.1</f>
        <v>1834.9133002199997</v>
      </c>
      <c r="BX3" s="8">
        <f>+BW3*1.1</f>
        <v>2018.4046302419997</v>
      </c>
      <c r="BY3" s="8">
        <f>+BX3*1.05</f>
        <v>2119.3248617540999</v>
      </c>
      <c r="BZ3" s="8">
        <f>+BY3*1.05</f>
        <v>2225.291104841805</v>
      </c>
    </row>
    <row r="4" spans="1:230" s="6" customFormat="1" x14ac:dyDescent="0.2">
      <c r="B4" s="7" t="s">
        <v>60</v>
      </c>
      <c r="C4" s="7">
        <v>0</v>
      </c>
      <c r="D4" s="7">
        <v>0</v>
      </c>
      <c r="E4" s="7">
        <v>0</v>
      </c>
      <c r="F4" s="7">
        <v>0.2</v>
      </c>
      <c r="G4" s="7">
        <v>0</v>
      </c>
      <c r="H4" s="7">
        <v>0.1</v>
      </c>
      <c r="I4" s="7">
        <v>0.1</v>
      </c>
      <c r="J4" s="7">
        <v>0.4</v>
      </c>
      <c r="K4" s="7">
        <v>0.5</v>
      </c>
      <c r="L4" s="7">
        <v>0.5</v>
      </c>
      <c r="M4" s="7">
        <v>0.7</v>
      </c>
      <c r="N4" s="7">
        <v>0.3</v>
      </c>
      <c r="O4" s="7">
        <v>1</v>
      </c>
      <c r="P4" s="7">
        <v>0.9</v>
      </c>
      <c r="Q4" s="7">
        <v>0.9</v>
      </c>
      <c r="R4" s="7">
        <v>1</v>
      </c>
      <c r="S4" s="7">
        <v>0.9</v>
      </c>
      <c r="T4" s="7">
        <v>0.8</v>
      </c>
      <c r="U4" s="7">
        <v>1.1000000000000001</v>
      </c>
      <c r="V4" s="7">
        <v>1.5</v>
      </c>
      <c r="W4" s="7">
        <v>1.3</v>
      </c>
      <c r="X4" s="7">
        <v>1.3</v>
      </c>
      <c r="Y4" s="7">
        <v>1.7</v>
      </c>
      <c r="Z4" s="7">
        <v>2</v>
      </c>
      <c r="AA4" s="7">
        <v>1.6</v>
      </c>
      <c r="AB4" s="7">
        <v>4.3</v>
      </c>
      <c r="AC4" s="7">
        <v>11.3</v>
      </c>
      <c r="AD4" s="7">
        <v>11.9</v>
      </c>
      <c r="AE4" s="7">
        <v>12.2</v>
      </c>
      <c r="AF4" s="7">
        <v>9.6</v>
      </c>
      <c r="AG4" s="7">
        <v>9.1999999999999993</v>
      </c>
      <c r="AH4" s="7">
        <v>11.1</v>
      </c>
      <c r="AI4" s="7">
        <v>9.4</v>
      </c>
      <c r="AJ4" s="7">
        <v>10.5</v>
      </c>
      <c r="AK4" s="7">
        <v>7.9</v>
      </c>
      <c r="AL4" s="7">
        <v>11.7</v>
      </c>
      <c r="AM4" s="7">
        <v>16.8</v>
      </c>
      <c r="AN4" s="7">
        <v>0</v>
      </c>
      <c r="AO4" s="7">
        <v>0</v>
      </c>
      <c r="AP4" s="7">
        <v>44.5</v>
      </c>
      <c r="AQ4" s="7">
        <v>17.8</v>
      </c>
      <c r="AR4" s="7">
        <v>18.8</v>
      </c>
      <c r="AS4" s="7">
        <v>20.3</v>
      </c>
      <c r="AT4" s="7">
        <v>22.9</v>
      </c>
      <c r="AU4" s="7">
        <v>25.4</v>
      </c>
      <c r="AV4" s="7">
        <v>26.1</v>
      </c>
      <c r="AW4" s="7">
        <v>31.4</v>
      </c>
      <c r="AX4" s="7">
        <v>35.799999999999997</v>
      </c>
      <c r="AY4" s="7">
        <v>40.4</v>
      </c>
      <c r="AZ4" s="7">
        <v>43.4</v>
      </c>
      <c r="BA4" s="7">
        <v>42.6</v>
      </c>
      <c r="BB4" s="7">
        <v>42.8</v>
      </c>
      <c r="BC4" s="7">
        <v>42.8</v>
      </c>
      <c r="BD4" s="7">
        <v>49.7</v>
      </c>
      <c r="BE4" s="6">
        <f>+BE3*0.44</f>
        <v>49.368000000000002</v>
      </c>
      <c r="BF4" s="6">
        <f>+BF3*0.42</f>
        <v>49.223999999999997</v>
      </c>
      <c r="BO4" s="6">
        <f>SUM(BC4:BF4)</f>
        <v>191.09199999999998</v>
      </c>
      <c r="BP4" s="6">
        <f>+BP3-BP5</f>
        <v>246.07800000000003</v>
      </c>
      <c r="BQ4" s="6">
        <f t="shared" ref="BQ4:BU4" si="3">+BQ3-BQ5</f>
        <v>304.66800000000001</v>
      </c>
      <c r="BR4" s="6">
        <f t="shared" si="3"/>
        <v>347.32151999999996</v>
      </c>
      <c r="BS4" s="6">
        <f t="shared" si="3"/>
        <v>405.81777599999998</v>
      </c>
      <c r="BT4" s="6">
        <f t="shared" si="3"/>
        <v>454.07718719999991</v>
      </c>
      <c r="BU4" s="6">
        <f t="shared" si="3"/>
        <v>507.68352179999988</v>
      </c>
      <c r="BV4" s="6">
        <f t="shared" ref="BV4" si="4">+BV3-BV5</f>
        <v>583.83605006999983</v>
      </c>
      <c r="BW4" s="6">
        <f t="shared" ref="BW4" si="5">+BW3-BW5</f>
        <v>642.21965507699974</v>
      </c>
      <c r="BX4" s="6">
        <f t="shared" ref="BX4" si="6">+BX3-BX5</f>
        <v>706.44162058469988</v>
      </c>
      <c r="BY4" s="6">
        <f t="shared" ref="BY4" si="7">+BY3-BY5</f>
        <v>741.76370161393493</v>
      </c>
      <c r="BZ4" s="6">
        <f t="shared" ref="BZ4" si="8">+BZ3-BZ5</f>
        <v>778.85188669463173</v>
      </c>
    </row>
    <row r="5" spans="1:230" s="6" customFormat="1" x14ac:dyDescent="0.2">
      <c r="B5" s="7" t="s">
        <v>61</v>
      </c>
      <c r="C5" s="7">
        <v>0</v>
      </c>
      <c r="D5" s="7">
        <v>0</v>
      </c>
      <c r="E5" s="7">
        <v>0</v>
      </c>
      <c r="F5" s="7">
        <v>0.6</v>
      </c>
      <c r="G5" s="7">
        <v>0</v>
      </c>
      <c r="H5" s="7">
        <v>0.1</v>
      </c>
      <c r="I5" s="7">
        <v>0.2</v>
      </c>
      <c r="J5" s="7">
        <v>0.1</v>
      </c>
      <c r="K5" s="7">
        <v>0.3</v>
      </c>
      <c r="L5" s="7">
        <v>-0.5</v>
      </c>
      <c r="M5" s="7">
        <v>-0.7</v>
      </c>
      <c r="N5" s="7">
        <v>1.9</v>
      </c>
      <c r="O5" s="7">
        <v>-0.9</v>
      </c>
      <c r="P5" s="7">
        <v>-0.9</v>
      </c>
      <c r="Q5" s="7">
        <v>-2.2000000000000002</v>
      </c>
      <c r="R5" s="7">
        <v>6.2</v>
      </c>
      <c r="S5" s="7">
        <v>-2.4</v>
      </c>
      <c r="T5" s="7">
        <v>-2.1</v>
      </c>
      <c r="U5" s="7">
        <v>-2.9</v>
      </c>
      <c r="V5" s="7">
        <v>10.199999999999999</v>
      </c>
      <c r="W5" s="7">
        <v>-3.3</v>
      </c>
      <c r="X5" s="7">
        <v>-3.5</v>
      </c>
      <c r="Y5" s="7">
        <v>1.2</v>
      </c>
      <c r="Z5" s="7">
        <v>10</v>
      </c>
      <c r="AA5" s="7">
        <v>1</v>
      </c>
      <c r="AB5" s="7">
        <v>-0.9</v>
      </c>
      <c r="AC5" s="7">
        <v>-6.6</v>
      </c>
      <c r="AD5" s="7">
        <v>0.1</v>
      </c>
      <c r="AE5" s="7">
        <v>-8.1999999999999993</v>
      </c>
      <c r="AF5" s="7">
        <v>-5</v>
      </c>
      <c r="AG5" s="7">
        <v>-4.9000000000000004</v>
      </c>
      <c r="AH5" s="7">
        <v>-7.1</v>
      </c>
      <c r="AI5" s="7">
        <v>-5.9</v>
      </c>
      <c r="AJ5" s="7">
        <v>-3.9</v>
      </c>
      <c r="AK5" s="7">
        <v>-0.7</v>
      </c>
      <c r="AL5" s="7">
        <v>0.3</v>
      </c>
      <c r="AM5" s="7">
        <v>-6.6</v>
      </c>
      <c r="AN5" s="7">
        <v>7.8</v>
      </c>
      <c r="AO5" s="7">
        <v>10.3</v>
      </c>
      <c r="AP5" s="7">
        <v>-30.5</v>
      </c>
      <c r="AQ5" s="7">
        <v>-1.7</v>
      </c>
      <c r="AR5" s="7">
        <v>-1</v>
      </c>
      <c r="AS5" s="7">
        <v>0.4</v>
      </c>
      <c r="AT5" s="7">
        <v>3.5</v>
      </c>
      <c r="AU5" s="7">
        <v>3.7</v>
      </c>
      <c r="AV5" s="7">
        <v>7.8</v>
      </c>
      <c r="AW5" s="7">
        <v>9.6999999999999993</v>
      </c>
      <c r="AX5" s="7">
        <v>14.2</v>
      </c>
      <c r="AY5" s="7">
        <v>16.5</v>
      </c>
      <c r="AZ5" s="7">
        <f t="shared" ref="AZ5:BC5" si="9">+AZ3-AZ4</f>
        <v>16.700000000000003</v>
      </c>
      <c r="BA5" s="7">
        <f t="shared" si="9"/>
        <v>24.699999999999996</v>
      </c>
      <c r="BB5" s="7">
        <f t="shared" si="9"/>
        <v>31.100000000000009</v>
      </c>
      <c r="BC5" s="7">
        <f t="shared" si="9"/>
        <v>39.100000000000009</v>
      </c>
      <c r="BD5" s="7">
        <f>+BD3-BD4</f>
        <v>57.5</v>
      </c>
      <c r="BE5" s="6">
        <f>+BE3-BE4</f>
        <v>62.832000000000001</v>
      </c>
      <c r="BF5" s="6">
        <f>+BF3-BF4</f>
        <v>67.975999999999999</v>
      </c>
      <c r="BO5" s="6">
        <f>+BO3-BO4</f>
        <v>227.40800000000002</v>
      </c>
      <c r="BP5" s="6">
        <f>+BP3*0.58</f>
        <v>339.82199999999995</v>
      </c>
      <c r="BQ5" s="6">
        <f>+BQ3*0.6</f>
        <v>457.00199999999995</v>
      </c>
      <c r="BR5" s="6">
        <f>+BR3*0.62</f>
        <v>566.68247999999994</v>
      </c>
      <c r="BS5" s="6">
        <f>+BS3*0.63</f>
        <v>690.98702399999991</v>
      </c>
      <c r="BT5" s="6">
        <f>+BT3*0.64</f>
        <v>807.24833279999996</v>
      </c>
      <c r="BU5" s="6">
        <f>+BU3*0.65</f>
        <v>942.84082619999981</v>
      </c>
      <c r="BV5" s="6">
        <f t="shared" ref="BV5:BZ5" si="10">+BV3*0.65</f>
        <v>1084.2669501299997</v>
      </c>
      <c r="BW5" s="6">
        <f t="shared" si="10"/>
        <v>1192.6936451429999</v>
      </c>
      <c r="BX5" s="6">
        <f t="shared" si="10"/>
        <v>1311.9630096572998</v>
      </c>
      <c r="BY5" s="6">
        <f t="shared" si="10"/>
        <v>1377.5611601401649</v>
      </c>
      <c r="BZ5" s="6">
        <f t="shared" si="10"/>
        <v>1446.4392181471733</v>
      </c>
    </row>
    <row r="6" spans="1:230" s="6" customFormat="1" x14ac:dyDescent="0.2">
      <c r="B6" s="7" t="s">
        <v>55</v>
      </c>
      <c r="C6" s="7">
        <v>0.7</v>
      </c>
      <c r="D6" s="7">
        <v>0.7</v>
      </c>
      <c r="E6" s="7">
        <v>0.7</v>
      </c>
      <c r="F6" s="7">
        <v>0.5</v>
      </c>
      <c r="G6" s="7">
        <v>1.1000000000000001</v>
      </c>
      <c r="H6" s="7">
        <v>1.1000000000000001</v>
      </c>
      <c r="I6" s="7">
        <v>1.5</v>
      </c>
      <c r="J6" s="7">
        <v>1.1000000000000001</v>
      </c>
      <c r="K6" s="7">
        <v>1.9</v>
      </c>
      <c r="L6" s="7">
        <v>1.6</v>
      </c>
      <c r="M6" s="7">
        <v>1.5</v>
      </c>
      <c r="N6" s="7">
        <v>1.7</v>
      </c>
      <c r="O6" s="7">
        <v>1.9</v>
      </c>
      <c r="P6" s="7">
        <v>2.4</v>
      </c>
      <c r="Q6" s="7">
        <v>2.1</v>
      </c>
      <c r="R6" s="7">
        <v>2.2999999999999998</v>
      </c>
      <c r="S6" s="7">
        <v>2.4</v>
      </c>
      <c r="T6" s="7">
        <v>2.5</v>
      </c>
      <c r="U6" s="7">
        <v>3.3</v>
      </c>
      <c r="V6" s="7">
        <v>3.1</v>
      </c>
      <c r="W6" s="7">
        <v>3</v>
      </c>
      <c r="X6" s="7">
        <v>3</v>
      </c>
      <c r="Y6" s="7">
        <v>3.3</v>
      </c>
      <c r="Z6" s="7">
        <v>4.7</v>
      </c>
      <c r="AA6" s="7">
        <v>5.8</v>
      </c>
      <c r="AB6" s="7">
        <v>6</v>
      </c>
      <c r="AC6" s="7">
        <v>5.8</v>
      </c>
      <c r="AD6" s="7">
        <v>7.7</v>
      </c>
      <c r="AE6" s="7">
        <v>7.2</v>
      </c>
      <c r="AF6" s="7">
        <v>7.2</v>
      </c>
      <c r="AG6" s="7">
        <v>7.6</v>
      </c>
      <c r="AH6" s="7">
        <v>8.3000000000000007</v>
      </c>
      <c r="AI6" s="7">
        <v>6.2</v>
      </c>
      <c r="AJ6" s="7">
        <v>6.7</v>
      </c>
      <c r="AK6" s="7">
        <v>7.7</v>
      </c>
      <c r="AL6" s="7">
        <v>7.5</v>
      </c>
      <c r="AM6" s="7">
        <v>8.4</v>
      </c>
      <c r="AN6" s="7">
        <v>9.6</v>
      </c>
      <c r="AO6" s="7">
        <v>10.3</v>
      </c>
      <c r="AP6" s="7">
        <v>10.9</v>
      </c>
      <c r="AQ6" s="7">
        <v>12.3</v>
      </c>
      <c r="AR6" s="7">
        <v>13.2</v>
      </c>
      <c r="AS6" s="7">
        <v>13.9</v>
      </c>
      <c r="AT6" s="7">
        <v>15.8</v>
      </c>
      <c r="AU6" s="7">
        <v>17.7</v>
      </c>
      <c r="AV6" s="7">
        <v>15.9</v>
      </c>
      <c r="AW6" s="7">
        <v>17.8</v>
      </c>
      <c r="AX6" s="7">
        <v>19</v>
      </c>
      <c r="AY6" s="7">
        <v>16.3</v>
      </c>
      <c r="AZ6" s="7">
        <v>14.247999999999999</v>
      </c>
      <c r="BA6" s="7">
        <v>15.2</v>
      </c>
      <c r="BB6" s="7">
        <v>16.2</v>
      </c>
      <c r="BC6" s="7">
        <v>16.600000000000001</v>
      </c>
      <c r="BD6" s="7">
        <v>16.608000000000001</v>
      </c>
      <c r="BE6" s="6">
        <f t="shared" ref="BE6:BF8" si="11">+BD6</f>
        <v>16.608000000000001</v>
      </c>
      <c r="BF6" s="6">
        <f t="shared" si="11"/>
        <v>16.608000000000001</v>
      </c>
      <c r="BO6" s="6">
        <f t="shared" ref="BO6:BO8" si="12">SUM(BC6:BF6)</f>
        <v>66.424000000000007</v>
      </c>
      <c r="BP6" s="6">
        <f>+BO6*1.1</f>
        <v>73.066400000000016</v>
      </c>
      <c r="BQ6" s="6">
        <f t="shared" ref="BQ6:BU6" si="13">+BP6*1.1</f>
        <v>80.373040000000017</v>
      </c>
      <c r="BR6" s="6">
        <f t="shared" si="13"/>
        <v>88.410344000000023</v>
      </c>
      <c r="BS6" s="6">
        <f t="shared" si="13"/>
        <v>97.251378400000036</v>
      </c>
      <c r="BT6" s="6">
        <f t="shared" si="13"/>
        <v>106.97651624000005</v>
      </c>
      <c r="BU6" s="6">
        <f t="shared" si="13"/>
        <v>117.67416786400007</v>
      </c>
      <c r="BV6" s="6">
        <f t="shared" ref="BV6:BZ6" si="14">+BU6*1.1</f>
        <v>129.44158465040007</v>
      </c>
      <c r="BW6" s="6">
        <f t="shared" si="14"/>
        <v>142.38574311544011</v>
      </c>
      <c r="BX6" s="6">
        <f t="shared" si="14"/>
        <v>156.62431742698413</v>
      </c>
      <c r="BY6" s="6">
        <f t="shared" si="14"/>
        <v>172.28674916968257</v>
      </c>
      <c r="BZ6" s="6">
        <f t="shared" si="14"/>
        <v>189.51542408665082</v>
      </c>
    </row>
    <row r="7" spans="1:230" s="6" customFormat="1" x14ac:dyDescent="0.2">
      <c r="B7" s="7" t="s">
        <v>56</v>
      </c>
      <c r="C7" s="7">
        <v>0.2</v>
      </c>
      <c r="D7" s="7">
        <v>0.1</v>
      </c>
      <c r="E7" s="7">
        <v>0.1</v>
      </c>
      <c r="F7" s="7">
        <v>0.2</v>
      </c>
      <c r="G7" s="7">
        <v>0.1</v>
      </c>
      <c r="H7" s="7">
        <v>0.2</v>
      </c>
      <c r="I7" s="7">
        <v>1.9</v>
      </c>
      <c r="J7" s="7">
        <v>1.3</v>
      </c>
      <c r="K7" s="7">
        <v>1.5</v>
      </c>
      <c r="L7" s="7">
        <v>3.5</v>
      </c>
      <c r="M7" s="7">
        <v>1.4</v>
      </c>
      <c r="N7" s="7">
        <v>3</v>
      </c>
      <c r="O7" s="7">
        <v>4.3</v>
      </c>
      <c r="P7" s="7">
        <v>1.8</v>
      </c>
      <c r="Q7" s="7">
        <v>1.5</v>
      </c>
      <c r="R7" s="7">
        <v>1.9</v>
      </c>
      <c r="S7" s="7">
        <v>1.4</v>
      </c>
      <c r="T7" s="7">
        <v>1.5</v>
      </c>
      <c r="U7" s="7">
        <v>2.1</v>
      </c>
      <c r="V7" s="7">
        <v>2</v>
      </c>
      <c r="W7" s="7">
        <v>2</v>
      </c>
      <c r="X7" s="7">
        <v>3.4</v>
      </c>
      <c r="Y7" s="7">
        <v>1.7</v>
      </c>
      <c r="Z7" s="7">
        <v>0.6</v>
      </c>
      <c r="AA7" s="7">
        <v>1.2</v>
      </c>
      <c r="AB7" s="7">
        <v>1.4</v>
      </c>
      <c r="AC7" s="7">
        <v>1.8</v>
      </c>
      <c r="AD7" s="7">
        <v>1.2</v>
      </c>
      <c r="AE7" s="7">
        <v>1</v>
      </c>
      <c r="AF7" s="7">
        <v>1</v>
      </c>
      <c r="AG7" s="7">
        <v>1</v>
      </c>
      <c r="AH7" s="7">
        <v>0.9</v>
      </c>
      <c r="AI7" s="7">
        <v>0.9</v>
      </c>
      <c r="AJ7" s="7">
        <v>0.5</v>
      </c>
      <c r="AK7" s="7">
        <v>0.5</v>
      </c>
      <c r="AL7" s="7">
        <v>0.5</v>
      </c>
      <c r="AM7" s="7">
        <v>1.5</v>
      </c>
      <c r="AN7" s="7">
        <v>1.7</v>
      </c>
      <c r="AO7" s="7">
        <v>1.7</v>
      </c>
      <c r="AP7" s="7">
        <v>1</v>
      </c>
      <c r="AQ7" s="7">
        <v>1</v>
      </c>
      <c r="AR7" s="7">
        <v>1.2</v>
      </c>
      <c r="AS7" s="7">
        <v>0.8</v>
      </c>
      <c r="AT7" s="7">
        <v>0.7</v>
      </c>
      <c r="AU7" s="7">
        <v>0.6</v>
      </c>
      <c r="AV7" s="7">
        <v>0.9</v>
      </c>
      <c r="AW7" s="7">
        <v>1</v>
      </c>
      <c r="AX7" s="7">
        <v>1.1000000000000001</v>
      </c>
      <c r="AY7" s="7">
        <v>0.9</v>
      </c>
      <c r="AZ7" s="7">
        <v>1.403</v>
      </c>
      <c r="BA7" s="7">
        <v>0.6</v>
      </c>
      <c r="BB7" s="7">
        <v>0.4</v>
      </c>
      <c r="BC7" s="7">
        <v>0.4</v>
      </c>
      <c r="BD7" s="7">
        <v>0.56000000000000005</v>
      </c>
      <c r="BE7" s="6">
        <f t="shared" si="11"/>
        <v>0.56000000000000005</v>
      </c>
      <c r="BF7" s="6">
        <f t="shared" si="11"/>
        <v>0.56000000000000005</v>
      </c>
      <c r="BO7" s="6">
        <f t="shared" si="12"/>
        <v>2.08</v>
      </c>
      <c r="BP7" s="6">
        <f t="shared" ref="BP7:BU7" si="15">+BO7*1.1</f>
        <v>2.2880000000000003</v>
      </c>
      <c r="BQ7" s="6">
        <f t="shared" si="15"/>
        <v>2.5168000000000004</v>
      </c>
      <c r="BR7" s="6">
        <f t="shared" si="15"/>
        <v>2.7684800000000007</v>
      </c>
      <c r="BS7" s="6">
        <f t="shared" si="15"/>
        <v>3.0453280000000009</v>
      </c>
      <c r="BT7" s="6">
        <f t="shared" si="15"/>
        <v>3.3498608000000014</v>
      </c>
      <c r="BU7" s="6">
        <f t="shared" si="15"/>
        <v>3.684846880000002</v>
      </c>
      <c r="BV7" s="6">
        <f t="shared" ref="BV7:BZ7" si="16">+BU7*1.1</f>
        <v>4.0533315680000026</v>
      </c>
      <c r="BW7" s="6">
        <f t="shared" si="16"/>
        <v>4.4586647248000029</v>
      </c>
      <c r="BX7" s="6">
        <f t="shared" si="16"/>
        <v>4.9045311972800034</v>
      </c>
      <c r="BY7" s="6">
        <f t="shared" si="16"/>
        <v>5.3949843170080038</v>
      </c>
      <c r="BZ7" s="6">
        <f t="shared" si="16"/>
        <v>5.9344827487088043</v>
      </c>
    </row>
    <row r="8" spans="1:230" s="6" customFormat="1" x14ac:dyDescent="0.2">
      <c r="B8" s="7" t="s">
        <v>69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>
        <v>1.333</v>
      </c>
      <c r="BA8" s="7"/>
      <c r="BB8" s="7"/>
      <c r="BC8" s="7"/>
      <c r="BD8" s="7">
        <v>0.94199999999999995</v>
      </c>
      <c r="BE8" s="6">
        <f t="shared" si="11"/>
        <v>0.94199999999999995</v>
      </c>
      <c r="BF8" s="6">
        <f t="shared" si="11"/>
        <v>0.94199999999999995</v>
      </c>
      <c r="BO8" s="6">
        <f t="shared" si="12"/>
        <v>2.8259999999999996</v>
      </c>
      <c r="BP8" s="6">
        <f t="shared" ref="BP8:BU8" si="17">+BO8*1.1</f>
        <v>3.1086</v>
      </c>
      <c r="BQ8" s="6">
        <f t="shared" si="17"/>
        <v>3.4194600000000004</v>
      </c>
      <c r="BR8" s="6">
        <f t="shared" si="17"/>
        <v>3.7614060000000009</v>
      </c>
      <c r="BS8" s="6">
        <f t="shared" si="17"/>
        <v>4.1375466000000012</v>
      </c>
      <c r="BT8" s="6">
        <f t="shared" si="17"/>
        <v>4.5513012600000016</v>
      </c>
      <c r="BU8" s="6">
        <f t="shared" si="17"/>
        <v>5.0064313860000018</v>
      </c>
      <c r="BV8" s="6">
        <f t="shared" ref="BV8:BZ8" si="18">+BU8*1.1</f>
        <v>5.5070745246000028</v>
      </c>
      <c r="BW8" s="6">
        <f t="shared" si="18"/>
        <v>6.0577819770600039</v>
      </c>
      <c r="BX8" s="6">
        <f t="shared" si="18"/>
        <v>6.6635601747660047</v>
      </c>
      <c r="BY8" s="6">
        <f t="shared" si="18"/>
        <v>7.3299161922426057</v>
      </c>
      <c r="BZ8" s="6">
        <f t="shared" si="18"/>
        <v>8.0629078114668662</v>
      </c>
    </row>
    <row r="9" spans="1:230" s="6" customFormat="1" x14ac:dyDescent="0.2">
      <c r="B9" s="7" t="s">
        <v>70</v>
      </c>
      <c r="C9" s="7">
        <f t="shared" ref="C9:BC9" si="19">+C8+C7+C6</f>
        <v>0.89999999999999991</v>
      </c>
      <c r="D9" s="7">
        <f t="shared" si="19"/>
        <v>0.79999999999999993</v>
      </c>
      <c r="E9" s="7">
        <f t="shared" si="19"/>
        <v>0.79999999999999993</v>
      </c>
      <c r="F9" s="7">
        <f t="shared" si="19"/>
        <v>0.7</v>
      </c>
      <c r="G9" s="7">
        <f t="shared" si="19"/>
        <v>1.2000000000000002</v>
      </c>
      <c r="H9" s="7">
        <f t="shared" si="19"/>
        <v>1.3</v>
      </c>
      <c r="I9" s="7">
        <f t="shared" si="19"/>
        <v>3.4</v>
      </c>
      <c r="J9" s="7">
        <f t="shared" si="19"/>
        <v>2.4000000000000004</v>
      </c>
      <c r="K9" s="7">
        <f t="shared" si="19"/>
        <v>3.4</v>
      </c>
      <c r="L9" s="7">
        <f t="shared" si="19"/>
        <v>5.0999999999999996</v>
      </c>
      <c r="M9" s="7">
        <f t="shared" si="19"/>
        <v>2.9</v>
      </c>
      <c r="N9" s="7">
        <f t="shared" si="19"/>
        <v>4.7</v>
      </c>
      <c r="O9" s="7">
        <f t="shared" si="19"/>
        <v>6.1999999999999993</v>
      </c>
      <c r="P9" s="7">
        <f t="shared" si="19"/>
        <v>4.2</v>
      </c>
      <c r="Q9" s="7">
        <f t="shared" si="19"/>
        <v>3.6</v>
      </c>
      <c r="R9" s="7">
        <f t="shared" si="19"/>
        <v>4.1999999999999993</v>
      </c>
      <c r="S9" s="7">
        <f t="shared" si="19"/>
        <v>3.8</v>
      </c>
      <c r="T9" s="7">
        <f t="shared" si="19"/>
        <v>4</v>
      </c>
      <c r="U9" s="7">
        <f t="shared" si="19"/>
        <v>5.4</v>
      </c>
      <c r="V9" s="7">
        <f t="shared" si="19"/>
        <v>5.0999999999999996</v>
      </c>
      <c r="W9" s="7">
        <f t="shared" si="19"/>
        <v>5</v>
      </c>
      <c r="X9" s="7">
        <f t="shared" si="19"/>
        <v>6.4</v>
      </c>
      <c r="Y9" s="7">
        <f t="shared" si="19"/>
        <v>5</v>
      </c>
      <c r="Z9" s="7">
        <f t="shared" si="19"/>
        <v>5.3</v>
      </c>
      <c r="AA9" s="7">
        <f t="shared" si="19"/>
        <v>7</v>
      </c>
      <c r="AB9" s="7">
        <f t="shared" si="19"/>
        <v>7.4</v>
      </c>
      <c r="AC9" s="7">
        <f t="shared" si="19"/>
        <v>7.6</v>
      </c>
      <c r="AD9" s="7">
        <f t="shared" si="19"/>
        <v>8.9</v>
      </c>
      <c r="AE9" s="7">
        <f t="shared" si="19"/>
        <v>8.1999999999999993</v>
      </c>
      <c r="AF9" s="7">
        <f t="shared" si="19"/>
        <v>8.1999999999999993</v>
      </c>
      <c r="AG9" s="7">
        <f t="shared" si="19"/>
        <v>8.6</v>
      </c>
      <c r="AH9" s="7">
        <f t="shared" si="19"/>
        <v>9.2000000000000011</v>
      </c>
      <c r="AI9" s="7">
        <f t="shared" si="19"/>
        <v>7.1000000000000005</v>
      </c>
      <c r="AJ9" s="7">
        <f t="shared" si="19"/>
        <v>7.2</v>
      </c>
      <c r="AK9" s="7">
        <f t="shared" si="19"/>
        <v>8.1999999999999993</v>
      </c>
      <c r="AL9" s="7">
        <f t="shared" si="19"/>
        <v>8</v>
      </c>
      <c r="AM9" s="7">
        <f t="shared" si="19"/>
        <v>9.9</v>
      </c>
      <c r="AN9" s="7">
        <f t="shared" si="19"/>
        <v>11.299999999999999</v>
      </c>
      <c r="AO9" s="7">
        <f t="shared" si="19"/>
        <v>12</v>
      </c>
      <c r="AP9" s="7">
        <f t="shared" si="19"/>
        <v>11.9</v>
      </c>
      <c r="AQ9" s="7">
        <f t="shared" si="19"/>
        <v>13.3</v>
      </c>
      <c r="AR9" s="7">
        <f t="shared" si="19"/>
        <v>14.399999999999999</v>
      </c>
      <c r="AS9" s="7">
        <f t="shared" si="19"/>
        <v>14.700000000000001</v>
      </c>
      <c r="AT9" s="7">
        <f t="shared" si="19"/>
        <v>16.5</v>
      </c>
      <c r="AU9" s="7">
        <f t="shared" si="19"/>
        <v>18.3</v>
      </c>
      <c r="AV9" s="7">
        <f t="shared" si="19"/>
        <v>16.8</v>
      </c>
      <c r="AW9" s="7">
        <f t="shared" si="19"/>
        <v>18.8</v>
      </c>
      <c r="AX9" s="7">
        <f t="shared" si="19"/>
        <v>20.100000000000001</v>
      </c>
      <c r="AY9" s="7">
        <f t="shared" si="19"/>
        <v>17.2</v>
      </c>
      <c r="AZ9" s="7">
        <f t="shared" si="19"/>
        <v>16.983999999999998</v>
      </c>
      <c r="BA9" s="7">
        <f t="shared" si="19"/>
        <v>15.799999999999999</v>
      </c>
      <c r="BB9" s="7">
        <f t="shared" si="19"/>
        <v>16.599999999999998</v>
      </c>
      <c r="BC9" s="7">
        <f t="shared" si="19"/>
        <v>17</v>
      </c>
      <c r="BD9" s="7">
        <f>+BD8+BD7+BD6</f>
        <v>18.11</v>
      </c>
      <c r="BE9" s="7">
        <f t="shared" ref="BE9:BF9" si="20">+BE8+BE7+BE6</f>
        <v>18.11</v>
      </c>
      <c r="BF9" s="7">
        <f t="shared" si="20"/>
        <v>18.11</v>
      </c>
      <c r="BO9" s="7">
        <f>+BO8+BO7+BO6</f>
        <v>71.330000000000013</v>
      </c>
      <c r="BP9" s="7">
        <f t="shared" ref="BP9:BU9" si="21">+BP8+BP7+BP6</f>
        <v>78.463000000000022</v>
      </c>
      <c r="BQ9" s="7">
        <f t="shared" si="21"/>
        <v>86.309300000000022</v>
      </c>
      <c r="BR9" s="7">
        <f t="shared" si="21"/>
        <v>94.940230000000028</v>
      </c>
      <c r="BS9" s="7">
        <f t="shared" si="21"/>
        <v>104.43425300000004</v>
      </c>
      <c r="BT9" s="7">
        <f t="shared" si="21"/>
        <v>114.87767830000006</v>
      </c>
      <c r="BU9" s="7">
        <f t="shared" si="21"/>
        <v>126.36544613000007</v>
      </c>
      <c r="BV9" s="7">
        <f t="shared" ref="BV9" si="22">+BV8+BV7+BV6</f>
        <v>139.00199074300008</v>
      </c>
      <c r="BW9" s="7">
        <f t="shared" ref="BW9" si="23">+BW8+BW7+BW6</f>
        <v>152.90218981730013</v>
      </c>
      <c r="BX9" s="7">
        <f t="shared" ref="BX9" si="24">+BX8+BX7+BX6</f>
        <v>168.19240879903015</v>
      </c>
      <c r="BY9" s="7">
        <f t="shared" ref="BY9" si="25">+BY8+BY7+BY6</f>
        <v>185.01164967893317</v>
      </c>
      <c r="BZ9" s="7">
        <f t="shared" ref="BZ9" si="26">+BZ8+BZ7+BZ6</f>
        <v>203.51281464682648</v>
      </c>
    </row>
    <row r="10" spans="1:230" s="6" customFormat="1" x14ac:dyDescent="0.2">
      <c r="B10" s="7" t="s">
        <v>71</v>
      </c>
      <c r="C10" s="7">
        <f t="shared" ref="C10:BC10" si="27">+C5-C9</f>
        <v>-0.89999999999999991</v>
      </c>
      <c r="D10" s="7">
        <f t="shared" si="27"/>
        <v>-0.79999999999999993</v>
      </c>
      <c r="E10" s="7">
        <f t="shared" si="27"/>
        <v>-0.79999999999999993</v>
      </c>
      <c r="F10" s="7">
        <f t="shared" si="27"/>
        <v>-9.9999999999999978E-2</v>
      </c>
      <c r="G10" s="7">
        <f t="shared" si="27"/>
        <v>-1.2000000000000002</v>
      </c>
      <c r="H10" s="7">
        <f t="shared" si="27"/>
        <v>-1.2</v>
      </c>
      <c r="I10" s="7">
        <f t="shared" si="27"/>
        <v>-3.1999999999999997</v>
      </c>
      <c r="J10" s="7">
        <f t="shared" si="27"/>
        <v>-2.3000000000000003</v>
      </c>
      <c r="K10" s="7">
        <f t="shared" si="27"/>
        <v>-3.1</v>
      </c>
      <c r="L10" s="7">
        <f t="shared" si="27"/>
        <v>-5.6</v>
      </c>
      <c r="M10" s="7">
        <f t="shared" si="27"/>
        <v>-3.5999999999999996</v>
      </c>
      <c r="N10" s="7">
        <f t="shared" si="27"/>
        <v>-2.8000000000000003</v>
      </c>
      <c r="O10" s="7">
        <f t="shared" si="27"/>
        <v>-7.1</v>
      </c>
      <c r="P10" s="7">
        <f t="shared" si="27"/>
        <v>-5.1000000000000005</v>
      </c>
      <c r="Q10" s="7">
        <f t="shared" si="27"/>
        <v>-5.8000000000000007</v>
      </c>
      <c r="R10" s="7">
        <f t="shared" si="27"/>
        <v>2.0000000000000009</v>
      </c>
      <c r="S10" s="7">
        <f t="shared" si="27"/>
        <v>-6.1999999999999993</v>
      </c>
      <c r="T10" s="7">
        <f t="shared" si="27"/>
        <v>-6.1</v>
      </c>
      <c r="U10" s="7">
        <f t="shared" si="27"/>
        <v>-8.3000000000000007</v>
      </c>
      <c r="V10" s="7">
        <f t="shared" si="27"/>
        <v>5.0999999999999996</v>
      </c>
      <c r="W10" s="7">
        <f t="shared" si="27"/>
        <v>-8.3000000000000007</v>
      </c>
      <c r="X10" s="7">
        <f t="shared" si="27"/>
        <v>-9.9</v>
      </c>
      <c r="Y10" s="7">
        <f t="shared" si="27"/>
        <v>-3.8</v>
      </c>
      <c r="Z10" s="7">
        <f t="shared" si="27"/>
        <v>4.7</v>
      </c>
      <c r="AA10" s="7">
        <f t="shared" si="27"/>
        <v>-6</v>
      </c>
      <c r="AB10" s="7">
        <f t="shared" si="27"/>
        <v>-8.3000000000000007</v>
      </c>
      <c r="AC10" s="7">
        <f t="shared" si="27"/>
        <v>-14.2</v>
      </c>
      <c r="AD10" s="7">
        <f t="shared" si="27"/>
        <v>-8.8000000000000007</v>
      </c>
      <c r="AE10" s="7">
        <f t="shared" si="27"/>
        <v>-16.399999999999999</v>
      </c>
      <c r="AF10" s="7">
        <f t="shared" si="27"/>
        <v>-13.2</v>
      </c>
      <c r="AG10" s="7">
        <f t="shared" si="27"/>
        <v>-13.5</v>
      </c>
      <c r="AH10" s="7">
        <f t="shared" si="27"/>
        <v>-16.3</v>
      </c>
      <c r="AI10" s="7">
        <f t="shared" si="27"/>
        <v>-13</v>
      </c>
      <c r="AJ10" s="7">
        <f t="shared" si="27"/>
        <v>-11.1</v>
      </c>
      <c r="AK10" s="7">
        <f t="shared" si="27"/>
        <v>-8.8999999999999986</v>
      </c>
      <c r="AL10" s="7">
        <f t="shared" si="27"/>
        <v>-7.7</v>
      </c>
      <c r="AM10" s="7">
        <f t="shared" si="27"/>
        <v>-16.5</v>
      </c>
      <c r="AN10" s="7">
        <f t="shared" si="27"/>
        <v>-3.4999999999999991</v>
      </c>
      <c r="AO10" s="7">
        <f t="shared" si="27"/>
        <v>-1.6999999999999993</v>
      </c>
      <c r="AP10" s="7">
        <f t="shared" si="27"/>
        <v>-42.4</v>
      </c>
      <c r="AQ10" s="7">
        <f t="shared" si="27"/>
        <v>-15</v>
      </c>
      <c r="AR10" s="7">
        <f t="shared" si="27"/>
        <v>-15.399999999999999</v>
      </c>
      <c r="AS10" s="7">
        <f t="shared" si="27"/>
        <v>-14.3</v>
      </c>
      <c r="AT10" s="7">
        <f t="shared" si="27"/>
        <v>-13</v>
      </c>
      <c r="AU10" s="7">
        <f t="shared" si="27"/>
        <v>-14.600000000000001</v>
      </c>
      <c r="AV10" s="7">
        <f t="shared" si="27"/>
        <v>-9</v>
      </c>
      <c r="AW10" s="7">
        <f t="shared" si="27"/>
        <v>-9.1000000000000014</v>
      </c>
      <c r="AX10" s="7">
        <f t="shared" si="27"/>
        <v>-5.9000000000000021</v>
      </c>
      <c r="AY10" s="7">
        <f t="shared" si="27"/>
        <v>-0.69999999999999929</v>
      </c>
      <c r="AZ10" s="7">
        <f t="shared" si="27"/>
        <v>-0.28399999999999537</v>
      </c>
      <c r="BA10" s="7">
        <f t="shared" si="27"/>
        <v>8.8999999999999968</v>
      </c>
      <c r="BB10" s="7">
        <f t="shared" si="27"/>
        <v>14.500000000000011</v>
      </c>
      <c r="BC10" s="7">
        <f t="shared" si="27"/>
        <v>22.100000000000009</v>
      </c>
      <c r="BD10" s="7">
        <f>+BD5-BD9</f>
        <v>39.39</v>
      </c>
      <c r="BE10" s="7">
        <f t="shared" ref="BE10:BF10" si="28">+BE5-BE9</f>
        <v>44.722000000000001</v>
      </c>
      <c r="BF10" s="7">
        <f t="shared" si="28"/>
        <v>49.866</v>
      </c>
      <c r="BO10" s="7">
        <f>+BO5-BO9</f>
        <v>156.078</v>
      </c>
      <c r="BP10" s="7">
        <f t="shared" ref="BP10:BU10" si="29">+BP5-BP9</f>
        <v>261.35899999999992</v>
      </c>
      <c r="BQ10" s="7">
        <f t="shared" si="29"/>
        <v>370.69269999999995</v>
      </c>
      <c r="BR10" s="7">
        <f t="shared" si="29"/>
        <v>471.7422499999999</v>
      </c>
      <c r="BS10" s="7">
        <f t="shared" si="29"/>
        <v>586.55277099999989</v>
      </c>
      <c r="BT10" s="7">
        <f t="shared" si="29"/>
        <v>692.37065449999989</v>
      </c>
      <c r="BU10" s="7">
        <f t="shared" si="29"/>
        <v>816.4753800699998</v>
      </c>
      <c r="BV10" s="7">
        <f t="shared" ref="BV10" si="30">+BV5-BV9</f>
        <v>945.26495938699964</v>
      </c>
      <c r="BW10" s="7">
        <f t="shared" ref="BW10" si="31">+BW5-BW9</f>
        <v>1039.7914553256999</v>
      </c>
      <c r="BX10" s="7">
        <f t="shared" ref="BX10" si="32">+BX5-BX9</f>
        <v>1143.7706008582697</v>
      </c>
      <c r="BY10" s="7">
        <f t="shared" ref="BY10" si="33">+BY5-BY9</f>
        <v>1192.5495104612319</v>
      </c>
      <c r="BZ10" s="7">
        <f t="shared" ref="BZ10" si="34">+BZ5-BZ9</f>
        <v>1242.9264035003469</v>
      </c>
    </row>
    <row r="11" spans="1:230" s="6" customFormat="1" x14ac:dyDescent="0.2">
      <c r="B11" s="7" t="s">
        <v>72</v>
      </c>
      <c r="C11" s="7">
        <v>-0.3</v>
      </c>
      <c r="D11" s="7">
        <v>-0.2</v>
      </c>
      <c r="E11" s="7">
        <v>-0.2</v>
      </c>
      <c r="F11" s="7">
        <v>-0.8</v>
      </c>
      <c r="G11" s="7">
        <v>0</v>
      </c>
      <c r="H11" s="7">
        <v>0</v>
      </c>
      <c r="I11" s="7">
        <v>0</v>
      </c>
      <c r="J11" s="7">
        <v>0</v>
      </c>
      <c r="K11" s="7">
        <v>-0.1</v>
      </c>
      <c r="L11" s="7">
        <v>-0.1</v>
      </c>
      <c r="M11" s="7">
        <v>-0.2</v>
      </c>
      <c r="N11" s="7">
        <v>-0.2</v>
      </c>
      <c r="O11" s="7">
        <v>-0.2</v>
      </c>
      <c r="P11" s="7">
        <v>-0.4</v>
      </c>
      <c r="Q11" s="7">
        <v>-0.3</v>
      </c>
      <c r="R11" s="7">
        <v>-0.4</v>
      </c>
      <c r="S11" s="7">
        <v>-0.4</v>
      </c>
      <c r="T11" s="7">
        <v>-1.2</v>
      </c>
      <c r="U11" s="7">
        <v>-0.4</v>
      </c>
      <c r="V11" s="7">
        <v>-0.5</v>
      </c>
      <c r="W11" s="7">
        <v>-0.5</v>
      </c>
      <c r="X11" s="7">
        <v>-0.5</v>
      </c>
      <c r="Y11" s="7">
        <v>-0.6</v>
      </c>
      <c r="Z11" s="7">
        <v>-0.6</v>
      </c>
      <c r="AA11" s="7">
        <v>-0.6</v>
      </c>
      <c r="AB11" s="7">
        <v>-0.6</v>
      </c>
      <c r="AC11" s="7">
        <v>-0.8</v>
      </c>
      <c r="AD11" s="7">
        <v>-2.4</v>
      </c>
      <c r="AE11" s="7">
        <v>-1.3</v>
      </c>
      <c r="AF11" s="7">
        <v>-1.3</v>
      </c>
      <c r="AG11" s="7">
        <v>-1.3</v>
      </c>
      <c r="AH11" s="7">
        <v>-1.5</v>
      </c>
      <c r="AI11" s="7">
        <v>0.1</v>
      </c>
      <c r="AJ11" s="7">
        <v>-1.9</v>
      </c>
      <c r="AK11" s="7">
        <v>-2.4</v>
      </c>
      <c r="AL11" s="7">
        <v>-2.7</v>
      </c>
      <c r="AM11" s="7">
        <v>-2.5</v>
      </c>
      <c r="AN11" s="7">
        <v>-3.1</v>
      </c>
      <c r="AO11" s="7">
        <v>-3.1</v>
      </c>
      <c r="AP11" s="7">
        <v>-2.2000000000000002</v>
      </c>
      <c r="AQ11" s="7">
        <v>-3.2</v>
      </c>
      <c r="AR11" s="7">
        <v>-3.3</v>
      </c>
      <c r="AS11" s="7">
        <v>-3.3</v>
      </c>
      <c r="AT11" s="7">
        <v>-3.5</v>
      </c>
      <c r="AU11" s="7">
        <v>-10.199999999999999</v>
      </c>
      <c r="AV11" s="7">
        <v>-4.5999999999999996</v>
      </c>
      <c r="AW11" s="7">
        <v>-5.6</v>
      </c>
      <c r="AX11" s="7">
        <v>-6.2</v>
      </c>
      <c r="AY11" s="7">
        <v>-6</v>
      </c>
      <c r="AZ11" s="7">
        <v>-5.9</v>
      </c>
      <c r="BA11" s="7">
        <v>-6.1</v>
      </c>
      <c r="BB11" s="7">
        <v>-31.9</v>
      </c>
      <c r="BC11" s="7">
        <v>-3.4</v>
      </c>
      <c r="BD11" s="7">
        <v>-3.4</v>
      </c>
      <c r="BP11" s="6">
        <f t="shared" ref="BP11:BZ11" si="35">+BO21*$BZ$23</f>
        <v>2.5878999999999994</v>
      </c>
      <c r="BQ11" s="6">
        <f t="shared" si="35"/>
        <v>12.485908749999997</v>
      </c>
      <c r="BR11" s="6">
        <f t="shared" si="35"/>
        <v>26.855106578124992</v>
      </c>
      <c r="BS11" s="6">
        <f t="shared" si="35"/>
        <v>45.552507449804679</v>
      </c>
      <c r="BT11" s="6">
        <f t="shared" si="35"/>
        <v>69.256455391672361</v>
      </c>
      <c r="BU11" s="6">
        <f t="shared" si="35"/>
        <v>97.817472012610068</v>
      </c>
      <c r="BV11" s="6">
        <f t="shared" si="35"/>
        <v>132.10345396570793</v>
      </c>
      <c r="BW11" s="6">
        <f t="shared" si="35"/>
        <v>172.50476946643448</v>
      </c>
      <c r="BX11" s="6">
        <f t="shared" si="35"/>
        <v>217.96587789613952</v>
      </c>
      <c r="BY11" s="6">
        <f t="shared" si="35"/>
        <v>269.03099584942987</v>
      </c>
      <c r="BZ11" s="6">
        <f t="shared" si="35"/>
        <v>323.84026483607971</v>
      </c>
    </row>
    <row r="12" spans="1:230" s="6" customFormat="1" x14ac:dyDescent="0.2">
      <c r="B12" s="7" t="s">
        <v>73</v>
      </c>
      <c r="C12" s="7">
        <v>-1.9</v>
      </c>
      <c r="D12" s="7">
        <v>-2.4</v>
      </c>
      <c r="E12" s="7">
        <v>-1</v>
      </c>
      <c r="F12" s="7">
        <v>-1</v>
      </c>
      <c r="G12" s="7">
        <v>-1.2</v>
      </c>
      <c r="H12" s="7">
        <v>-1.2</v>
      </c>
      <c r="I12" s="7">
        <v>-3.2</v>
      </c>
      <c r="J12" s="7">
        <v>-2.2999999999999998</v>
      </c>
      <c r="K12" s="7">
        <v>-3.2</v>
      </c>
      <c r="L12" s="7">
        <v>-5.6</v>
      </c>
      <c r="M12" s="7">
        <v>-3.8</v>
      </c>
      <c r="N12" s="7">
        <v>-2.9</v>
      </c>
      <c r="O12" s="7">
        <v>-7.4</v>
      </c>
      <c r="P12" s="7">
        <v>-5.4</v>
      </c>
      <c r="Q12" s="7">
        <v>-6.1</v>
      </c>
      <c r="R12" s="7">
        <v>1.6</v>
      </c>
      <c r="S12" s="7">
        <v>-6.6</v>
      </c>
      <c r="T12" s="7">
        <v>-7.3</v>
      </c>
      <c r="U12" s="7">
        <v>-8.6999999999999993</v>
      </c>
      <c r="V12" s="7">
        <v>4.5999999999999996</v>
      </c>
      <c r="W12" s="7">
        <v>-8.8000000000000007</v>
      </c>
      <c r="X12" s="7">
        <v>-10.5</v>
      </c>
      <c r="Y12" s="7">
        <v>-4.3</v>
      </c>
      <c r="Z12" s="7">
        <v>4.0999999999999996</v>
      </c>
      <c r="AA12" s="7">
        <v>-6.5</v>
      </c>
      <c r="AB12" s="7">
        <v>-9</v>
      </c>
      <c r="AC12" s="7">
        <v>-15.2</v>
      </c>
      <c r="AD12" s="7">
        <v>-13</v>
      </c>
      <c r="AE12" s="7">
        <v>-17.8</v>
      </c>
      <c r="AF12" s="7">
        <v>-14.7</v>
      </c>
      <c r="AG12" s="7">
        <v>-15.1</v>
      </c>
      <c r="AH12" s="7">
        <v>-18</v>
      </c>
      <c r="AI12" s="7">
        <v>-13.1</v>
      </c>
      <c r="AJ12" s="7">
        <v>-13.2</v>
      </c>
      <c r="AK12" s="7">
        <v>-11.4</v>
      </c>
      <c r="AL12" s="7">
        <v>-10.6</v>
      </c>
      <c r="AM12" s="7">
        <v>-19.2</v>
      </c>
      <c r="AN12" s="7">
        <v>-20.2</v>
      </c>
      <c r="AO12" s="7">
        <v>-41</v>
      </c>
      <c r="AP12" s="7">
        <v>4.7</v>
      </c>
      <c r="AQ12" s="7">
        <v>-18.399999999999999</v>
      </c>
      <c r="AR12" s="7">
        <v>-18.899999999999999</v>
      </c>
      <c r="AS12" s="7">
        <v>-17.7</v>
      </c>
      <c r="AT12" s="7">
        <v>-16.600000000000001</v>
      </c>
      <c r="AU12" s="7">
        <v>-25</v>
      </c>
      <c r="AV12" s="7">
        <v>-13.8</v>
      </c>
      <c r="AW12" s="7">
        <v>-14.9</v>
      </c>
      <c r="AX12" s="7">
        <v>-12.2</v>
      </c>
      <c r="AY12" s="7">
        <v>-6.8</v>
      </c>
      <c r="AZ12" s="7">
        <f t="shared" ref="AZ12:BC12" si="36">+AZ10+AZ11</f>
        <v>-6.1839999999999957</v>
      </c>
      <c r="BA12" s="7">
        <f t="shared" si="36"/>
        <v>2.7999999999999972</v>
      </c>
      <c r="BB12" s="7">
        <f t="shared" si="36"/>
        <v>-17.399999999999988</v>
      </c>
      <c r="BC12" s="7">
        <f t="shared" si="36"/>
        <v>18.70000000000001</v>
      </c>
      <c r="BD12" s="7">
        <f>+BD10+BD11</f>
        <v>35.99</v>
      </c>
      <c r="BE12" s="7">
        <f>+BE10+BE11</f>
        <v>44.722000000000001</v>
      </c>
      <c r="BF12" s="7">
        <f>+BF10+BF11</f>
        <v>49.866</v>
      </c>
      <c r="BO12" s="6">
        <f>+BO10+BO11</f>
        <v>156.078</v>
      </c>
      <c r="BP12" s="6">
        <f t="shared" ref="BP12:BU12" si="37">+BP10+BP11</f>
        <v>263.94689999999991</v>
      </c>
      <c r="BQ12" s="6">
        <f t="shared" si="37"/>
        <v>383.17860874999997</v>
      </c>
      <c r="BR12" s="6">
        <f t="shared" si="37"/>
        <v>498.5973565781249</v>
      </c>
      <c r="BS12" s="6">
        <f t="shared" si="37"/>
        <v>632.10527844980459</v>
      </c>
      <c r="BT12" s="6">
        <f t="shared" si="37"/>
        <v>761.62710989167226</v>
      </c>
      <c r="BU12" s="6">
        <f t="shared" si="37"/>
        <v>914.2928520826099</v>
      </c>
      <c r="BV12" s="6">
        <f t="shared" ref="BV12" si="38">+BV10+BV11</f>
        <v>1077.3684133527076</v>
      </c>
      <c r="BW12" s="6">
        <f t="shared" ref="BW12" si="39">+BW10+BW11</f>
        <v>1212.2962247921344</v>
      </c>
      <c r="BX12" s="6">
        <f t="shared" ref="BX12" si="40">+BX10+BX11</f>
        <v>1361.7364787544093</v>
      </c>
      <c r="BY12" s="6">
        <f t="shared" ref="BY12" si="41">+BY10+BY11</f>
        <v>1461.5805063106618</v>
      </c>
      <c r="BZ12" s="6">
        <f t="shared" ref="BZ12" si="42">+BZ10+BZ11</f>
        <v>1566.7666683364266</v>
      </c>
    </row>
    <row r="13" spans="1:230" s="6" customFormat="1" x14ac:dyDescent="0.2">
      <c r="B13" s="7" t="s">
        <v>74</v>
      </c>
      <c r="C13" s="7">
        <v>-0.3</v>
      </c>
      <c r="D13" s="7">
        <v>0</v>
      </c>
      <c r="E13" s="7">
        <v>0</v>
      </c>
      <c r="F13" s="7">
        <v>0</v>
      </c>
      <c r="G13" s="7">
        <v>-0.6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0.6</v>
      </c>
      <c r="BD13" s="7">
        <v>3.8</v>
      </c>
      <c r="BP13" s="6">
        <f>+BP12*0.25</f>
        <v>65.986724999999979</v>
      </c>
      <c r="BQ13" s="6">
        <f t="shared" ref="BQ13:BU13" si="43">+BQ12*0.25</f>
        <v>95.794652187499992</v>
      </c>
      <c r="BR13" s="6">
        <f t="shared" si="43"/>
        <v>124.64933914453123</v>
      </c>
      <c r="BS13" s="6">
        <f t="shared" si="43"/>
        <v>158.02631961245115</v>
      </c>
      <c r="BT13" s="6">
        <f t="shared" si="43"/>
        <v>190.40677747291807</v>
      </c>
      <c r="BU13" s="6">
        <f t="shared" si="43"/>
        <v>228.57321302065247</v>
      </c>
      <c r="BV13" s="6">
        <f t="shared" ref="BV13" si="44">+BV12*0.25</f>
        <v>269.34210333817691</v>
      </c>
      <c r="BW13" s="6">
        <f t="shared" ref="BW13" si="45">+BW12*0.25</f>
        <v>303.07405619803359</v>
      </c>
      <c r="BX13" s="6">
        <f t="shared" ref="BX13" si="46">+BX12*0.25</f>
        <v>340.43411968860232</v>
      </c>
      <c r="BY13" s="6">
        <f t="shared" ref="BY13" si="47">+BY12*0.25</f>
        <v>365.39512657766545</v>
      </c>
      <c r="BZ13" s="6">
        <f t="shared" ref="BZ13" si="48">+BZ12*0.25</f>
        <v>391.69166708410665</v>
      </c>
    </row>
    <row r="14" spans="1:230" s="6" customFormat="1" x14ac:dyDescent="0.2">
      <c r="B14" s="7" t="s">
        <v>57</v>
      </c>
      <c r="C14" s="7">
        <f t="shared" ref="C14:BC14" si="49">+C12-C13</f>
        <v>-1.5999999999999999</v>
      </c>
      <c r="D14" s="7">
        <f t="shared" si="49"/>
        <v>-2.4</v>
      </c>
      <c r="E14" s="7">
        <f t="shared" si="49"/>
        <v>-1</v>
      </c>
      <c r="F14" s="7">
        <f t="shared" si="49"/>
        <v>-1</v>
      </c>
      <c r="G14" s="7">
        <f t="shared" si="49"/>
        <v>-0.6</v>
      </c>
      <c r="H14" s="7">
        <f t="shared" si="49"/>
        <v>-1.2</v>
      </c>
      <c r="I14" s="7">
        <f t="shared" si="49"/>
        <v>-3.2</v>
      </c>
      <c r="J14" s="7">
        <f t="shared" si="49"/>
        <v>-2.2999999999999998</v>
      </c>
      <c r="K14" s="7">
        <f t="shared" si="49"/>
        <v>-3.2</v>
      </c>
      <c r="L14" s="7">
        <f t="shared" si="49"/>
        <v>-5.6</v>
      </c>
      <c r="M14" s="7">
        <f t="shared" si="49"/>
        <v>-3.8</v>
      </c>
      <c r="N14" s="7">
        <f t="shared" si="49"/>
        <v>-2.9</v>
      </c>
      <c r="O14" s="7">
        <f t="shared" si="49"/>
        <v>-7.4</v>
      </c>
      <c r="P14" s="7">
        <f t="shared" si="49"/>
        <v>-5.4</v>
      </c>
      <c r="Q14" s="7">
        <f t="shared" si="49"/>
        <v>-6.1</v>
      </c>
      <c r="R14" s="7">
        <f t="shared" si="49"/>
        <v>1.6</v>
      </c>
      <c r="S14" s="7">
        <f t="shared" si="49"/>
        <v>-6.6</v>
      </c>
      <c r="T14" s="7">
        <f t="shared" si="49"/>
        <v>-7.3</v>
      </c>
      <c r="U14" s="7">
        <f t="shared" si="49"/>
        <v>-8.6999999999999993</v>
      </c>
      <c r="V14" s="7">
        <f t="shared" si="49"/>
        <v>4.5999999999999996</v>
      </c>
      <c r="W14" s="7">
        <f t="shared" si="49"/>
        <v>-8.8000000000000007</v>
      </c>
      <c r="X14" s="7">
        <f t="shared" si="49"/>
        <v>-10.5</v>
      </c>
      <c r="Y14" s="7">
        <f t="shared" si="49"/>
        <v>-4.3</v>
      </c>
      <c r="Z14" s="7">
        <f t="shared" si="49"/>
        <v>4.0999999999999996</v>
      </c>
      <c r="AA14" s="7">
        <f t="shared" si="49"/>
        <v>-6.5</v>
      </c>
      <c r="AB14" s="7">
        <f t="shared" si="49"/>
        <v>-9</v>
      </c>
      <c r="AC14" s="7">
        <f t="shared" si="49"/>
        <v>-15.2</v>
      </c>
      <c r="AD14" s="7">
        <f t="shared" si="49"/>
        <v>-13</v>
      </c>
      <c r="AE14" s="7">
        <f t="shared" si="49"/>
        <v>-17.8</v>
      </c>
      <c r="AF14" s="7">
        <f t="shared" si="49"/>
        <v>-14.7</v>
      </c>
      <c r="AG14" s="7">
        <f t="shared" si="49"/>
        <v>-15.1</v>
      </c>
      <c r="AH14" s="7">
        <f t="shared" si="49"/>
        <v>-18</v>
      </c>
      <c r="AI14" s="7">
        <f t="shared" si="49"/>
        <v>-13.1</v>
      </c>
      <c r="AJ14" s="7">
        <f t="shared" si="49"/>
        <v>-13.2</v>
      </c>
      <c r="AK14" s="7">
        <f t="shared" si="49"/>
        <v>-11.4</v>
      </c>
      <c r="AL14" s="7">
        <f t="shared" si="49"/>
        <v>-10.6</v>
      </c>
      <c r="AM14" s="7">
        <f t="shared" si="49"/>
        <v>-19.2</v>
      </c>
      <c r="AN14" s="7">
        <f t="shared" si="49"/>
        <v>-20.2</v>
      </c>
      <c r="AO14" s="7">
        <f t="shared" si="49"/>
        <v>-41</v>
      </c>
      <c r="AP14" s="7">
        <f t="shared" si="49"/>
        <v>4.7</v>
      </c>
      <c r="AQ14" s="7">
        <f t="shared" si="49"/>
        <v>-18.399999999999999</v>
      </c>
      <c r="AR14" s="7">
        <f t="shared" si="49"/>
        <v>-18.899999999999999</v>
      </c>
      <c r="AS14" s="7">
        <f t="shared" si="49"/>
        <v>-17.7</v>
      </c>
      <c r="AT14" s="7">
        <f t="shared" si="49"/>
        <v>-16.600000000000001</v>
      </c>
      <c r="AU14" s="7">
        <f t="shared" si="49"/>
        <v>-25</v>
      </c>
      <c r="AV14" s="7">
        <f t="shared" si="49"/>
        <v>-13.8</v>
      </c>
      <c r="AW14" s="7">
        <f t="shared" ref="AW14" si="50">+AW12-AW13</f>
        <v>-14.9</v>
      </c>
      <c r="AX14" s="7">
        <f t="shared" ref="AX14" si="51">+AX12-AX13</f>
        <v>-12.2</v>
      </c>
      <c r="AY14" s="7">
        <f t="shared" ref="AY14" si="52">+AY12-AY13</f>
        <v>-6.8</v>
      </c>
      <c r="AZ14" s="7">
        <f t="shared" ref="AZ14" si="53">+AZ12-AZ13</f>
        <v>-6.1839999999999957</v>
      </c>
      <c r="BA14" s="7">
        <f>+BA12-BA13</f>
        <v>2.7999999999999972</v>
      </c>
      <c r="BB14" s="7">
        <f t="shared" ref="BB14" si="54">+BB12-BB13</f>
        <v>-17.399999999999988</v>
      </c>
      <c r="BC14" s="7">
        <f t="shared" si="49"/>
        <v>18.100000000000009</v>
      </c>
      <c r="BD14" s="7">
        <f>+BD12-BD13</f>
        <v>32.190000000000005</v>
      </c>
      <c r="BE14" s="7">
        <f>+BE12-BE13</f>
        <v>44.722000000000001</v>
      </c>
      <c r="BF14" s="7">
        <f>+BF12-BF13</f>
        <v>49.866</v>
      </c>
      <c r="BP14" s="6">
        <f>+BP12-BP13</f>
        <v>197.96017499999994</v>
      </c>
      <c r="BQ14" s="6">
        <f t="shared" ref="BQ14:BU14" si="55">+BQ12-BQ13</f>
        <v>287.38395656249998</v>
      </c>
      <c r="BR14" s="6">
        <f t="shared" si="55"/>
        <v>373.94801743359369</v>
      </c>
      <c r="BS14" s="6">
        <f t="shared" si="55"/>
        <v>474.07895883735341</v>
      </c>
      <c r="BT14" s="6">
        <f t="shared" si="55"/>
        <v>571.2203324187542</v>
      </c>
      <c r="BU14" s="6">
        <f t="shared" si="55"/>
        <v>685.71963906195742</v>
      </c>
      <c r="BV14" s="6">
        <f t="shared" ref="BV14" si="56">+BV12-BV13</f>
        <v>808.02631001453074</v>
      </c>
      <c r="BW14" s="6">
        <f t="shared" ref="BW14" si="57">+BW12-BW13</f>
        <v>909.22216859410082</v>
      </c>
      <c r="BX14" s="6">
        <f t="shared" ref="BX14" si="58">+BX12-BX13</f>
        <v>1021.302359065807</v>
      </c>
      <c r="BY14" s="6">
        <f t="shared" ref="BY14" si="59">+BY12-BY13</f>
        <v>1096.1853797329964</v>
      </c>
      <c r="BZ14" s="6">
        <f t="shared" ref="BZ14" si="60">+BZ12-BZ13</f>
        <v>1175.0750012523199</v>
      </c>
      <c r="CA14" s="6">
        <f t="shared" ref="CA14:DF14" si="61">+BZ14*(1+$BZ$25)</f>
        <v>1186.8257512648431</v>
      </c>
      <c r="CB14" s="6">
        <f t="shared" si="61"/>
        <v>1198.6940087774915</v>
      </c>
      <c r="CC14" s="6">
        <f t="shared" si="61"/>
        <v>1210.6809488652664</v>
      </c>
      <c r="CD14" s="6">
        <f t="shared" si="61"/>
        <v>1222.7877583539191</v>
      </c>
      <c r="CE14" s="6">
        <f t="shared" si="61"/>
        <v>1235.0156359374582</v>
      </c>
      <c r="CF14" s="6">
        <f t="shared" si="61"/>
        <v>1247.3657922968328</v>
      </c>
      <c r="CG14" s="6">
        <f t="shared" si="61"/>
        <v>1259.8394502198012</v>
      </c>
      <c r="CH14" s="6">
        <f t="shared" si="61"/>
        <v>1272.4378447219992</v>
      </c>
      <c r="CI14" s="6">
        <f t="shared" si="61"/>
        <v>1285.1622231692193</v>
      </c>
      <c r="CJ14" s="6">
        <f t="shared" si="61"/>
        <v>1298.0138454009116</v>
      </c>
      <c r="CK14" s="6">
        <f t="shared" si="61"/>
        <v>1310.9939838549208</v>
      </c>
      <c r="CL14" s="6">
        <f t="shared" si="61"/>
        <v>1324.1039236934701</v>
      </c>
      <c r="CM14" s="6">
        <f t="shared" si="61"/>
        <v>1337.3449629304048</v>
      </c>
      <c r="CN14" s="6">
        <f t="shared" si="61"/>
        <v>1350.7184125597089</v>
      </c>
      <c r="CO14" s="6">
        <f t="shared" si="61"/>
        <v>1364.2255966853061</v>
      </c>
      <c r="CP14" s="6">
        <f t="shared" si="61"/>
        <v>1377.8678526521592</v>
      </c>
      <c r="CQ14" s="6">
        <f t="shared" si="61"/>
        <v>1391.6465311786808</v>
      </c>
      <c r="CR14" s="6">
        <f t="shared" si="61"/>
        <v>1405.5629964904676</v>
      </c>
      <c r="CS14" s="6">
        <f t="shared" si="61"/>
        <v>1419.6186264553724</v>
      </c>
      <c r="CT14" s="6">
        <f t="shared" si="61"/>
        <v>1433.8148127199261</v>
      </c>
      <c r="CU14" s="6">
        <f t="shared" si="61"/>
        <v>1448.1529608471253</v>
      </c>
      <c r="CV14" s="6">
        <f t="shared" si="61"/>
        <v>1462.6344904555965</v>
      </c>
      <c r="CW14" s="6">
        <f t="shared" si="61"/>
        <v>1477.2608353601524</v>
      </c>
      <c r="CX14" s="6">
        <f t="shared" si="61"/>
        <v>1492.033443713754</v>
      </c>
      <c r="CY14" s="6">
        <f t="shared" si="61"/>
        <v>1506.9537781508916</v>
      </c>
      <c r="CZ14" s="6">
        <f t="shared" si="61"/>
        <v>1522.0233159324005</v>
      </c>
      <c r="DA14" s="6">
        <f t="shared" si="61"/>
        <v>1537.2435490917244</v>
      </c>
      <c r="DB14" s="6">
        <f t="shared" si="61"/>
        <v>1552.6159845826417</v>
      </c>
      <c r="DC14" s="6">
        <f t="shared" si="61"/>
        <v>1568.1421444284681</v>
      </c>
      <c r="DD14" s="6">
        <f t="shared" si="61"/>
        <v>1583.8235658727529</v>
      </c>
      <c r="DE14" s="6">
        <f t="shared" si="61"/>
        <v>1599.6618015314805</v>
      </c>
      <c r="DF14" s="6">
        <f t="shared" si="61"/>
        <v>1615.6584195467954</v>
      </c>
      <c r="DG14" s="6">
        <f t="shared" ref="DG14:EL14" si="62">+DF14*(1+$BZ$25)</f>
        <v>1631.8150037422633</v>
      </c>
      <c r="DH14" s="6">
        <f t="shared" si="62"/>
        <v>1648.1331537796859</v>
      </c>
      <c r="DI14" s="6">
        <f t="shared" si="62"/>
        <v>1664.6144853174828</v>
      </c>
      <c r="DJ14" s="6">
        <f t="shared" si="62"/>
        <v>1681.2606301706576</v>
      </c>
      <c r="DK14" s="6">
        <f t="shared" si="62"/>
        <v>1698.0732364723642</v>
      </c>
      <c r="DL14" s="6">
        <f t="shared" si="62"/>
        <v>1715.053968837088</v>
      </c>
      <c r="DM14" s="6">
        <f t="shared" si="62"/>
        <v>1732.2045085254588</v>
      </c>
      <c r="DN14" s="6">
        <f t="shared" si="62"/>
        <v>1749.5265536107133</v>
      </c>
      <c r="DO14" s="6">
        <f t="shared" si="62"/>
        <v>1767.0218191468205</v>
      </c>
      <c r="DP14" s="6">
        <f t="shared" si="62"/>
        <v>1784.6920373382886</v>
      </c>
      <c r="DQ14" s="6">
        <f t="shared" si="62"/>
        <v>1802.5389577116716</v>
      </c>
      <c r="DR14" s="6">
        <f t="shared" si="62"/>
        <v>1820.5643472887884</v>
      </c>
      <c r="DS14" s="6">
        <f t="shared" si="62"/>
        <v>1838.7699907616764</v>
      </c>
      <c r="DT14" s="6">
        <f t="shared" si="62"/>
        <v>1857.1576906692931</v>
      </c>
      <c r="DU14" s="6">
        <f t="shared" si="62"/>
        <v>1875.7292675759861</v>
      </c>
      <c r="DV14" s="6">
        <f t="shared" si="62"/>
        <v>1894.4865602517459</v>
      </c>
      <c r="DW14" s="6">
        <f t="shared" si="62"/>
        <v>1913.4314258542634</v>
      </c>
      <c r="DX14" s="6">
        <f t="shared" si="62"/>
        <v>1932.565740112806</v>
      </c>
      <c r="DY14" s="6">
        <f t="shared" si="62"/>
        <v>1951.8913975139342</v>
      </c>
      <c r="DZ14" s="6">
        <f t="shared" si="62"/>
        <v>1971.4103114890736</v>
      </c>
      <c r="EA14" s="6">
        <f t="shared" si="62"/>
        <v>1991.1244146039644</v>
      </c>
      <c r="EB14" s="6">
        <f t="shared" si="62"/>
        <v>2011.0356587500041</v>
      </c>
      <c r="EC14" s="6">
        <f t="shared" si="62"/>
        <v>2031.1460153375042</v>
      </c>
      <c r="ED14" s="6">
        <f t="shared" si="62"/>
        <v>2051.4574754908795</v>
      </c>
      <c r="EE14" s="6">
        <f t="shared" si="62"/>
        <v>2071.9720502457881</v>
      </c>
      <c r="EF14" s="6">
        <f t="shared" si="62"/>
        <v>2092.6917707482457</v>
      </c>
      <c r="EG14" s="6">
        <f t="shared" si="62"/>
        <v>2113.6186884557283</v>
      </c>
      <c r="EH14" s="6">
        <f t="shared" si="62"/>
        <v>2134.7548753402857</v>
      </c>
      <c r="EI14" s="6">
        <f t="shared" si="62"/>
        <v>2156.1024240936886</v>
      </c>
      <c r="EJ14" s="6">
        <f t="shared" si="62"/>
        <v>2177.6634483346256</v>
      </c>
      <c r="EK14" s="6">
        <f t="shared" si="62"/>
        <v>2199.4400828179719</v>
      </c>
      <c r="EL14" s="6">
        <f t="shared" si="62"/>
        <v>2221.4344836461514</v>
      </c>
      <c r="EM14" s="6">
        <f t="shared" ref="EM14:FR14" si="63">+EL14*(1+$BZ$25)</f>
        <v>2243.6488284826128</v>
      </c>
      <c r="EN14" s="6">
        <f t="shared" si="63"/>
        <v>2266.0853167674391</v>
      </c>
      <c r="EO14" s="6">
        <f t="shared" si="63"/>
        <v>2288.7461699351134</v>
      </c>
      <c r="EP14" s="6">
        <f t="shared" si="63"/>
        <v>2311.6336316344646</v>
      </c>
      <c r="EQ14" s="6">
        <f t="shared" si="63"/>
        <v>2334.7499679508092</v>
      </c>
      <c r="ER14" s="6">
        <f t="shared" si="63"/>
        <v>2358.0974676303172</v>
      </c>
      <c r="ES14" s="6">
        <f t="shared" si="63"/>
        <v>2381.6784423066206</v>
      </c>
      <c r="ET14" s="6">
        <f t="shared" si="63"/>
        <v>2405.4952267296867</v>
      </c>
      <c r="EU14" s="6">
        <f t="shared" si="63"/>
        <v>2429.5501789969835</v>
      </c>
      <c r="EV14" s="6">
        <f t="shared" si="63"/>
        <v>2453.8456807869534</v>
      </c>
      <c r="EW14" s="6">
        <f t="shared" si="63"/>
        <v>2478.3841375948227</v>
      </c>
      <c r="EX14" s="6">
        <f t="shared" si="63"/>
        <v>2503.1679789707709</v>
      </c>
      <c r="EY14" s="6">
        <f t="shared" si="63"/>
        <v>2528.1996587604785</v>
      </c>
      <c r="EZ14" s="6">
        <f t="shared" si="63"/>
        <v>2553.4816553480832</v>
      </c>
      <c r="FA14" s="6">
        <f t="shared" si="63"/>
        <v>2579.0164719015643</v>
      </c>
      <c r="FB14" s="6">
        <f t="shared" si="63"/>
        <v>2604.8066366205799</v>
      </c>
      <c r="FC14" s="6">
        <f t="shared" si="63"/>
        <v>2630.8547029867855</v>
      </c>
      <c r="FD14" s="6">
        <f t="shared" si="63"/>
        <v>2657.1632500166534</v>
      </c>
      <c r="FE14" s="6">
        <f t="shared" si="63"/>
        <v>2683.7348825168201</v>
      </c>
      <c r="FF14" s="6">
        <f t="shared" si="63"/>
        <v>2710.5722313419883</v>
      </c>
      <c r="FG14" s="6">
        <f t="shared" si="63"/>
        <v>2737.6779536554081</v>
      </c>
      <c r="FH14" s="6">
        <f t="shared" si="63"/>
        <v>2765.0547331919624</v>
      </c>
      <c r="FI14" s="6">
        <f t="shared" si="63"/>
        <v>2792.7052805238823</v>
      </c>
      <c r="FJ14" s="6">
        <f t="shared" si="63"/>
        <v>2820.6323333291211</v>
      </c>
      <c r="FK14" s="6">
        <f t="shared" si="63"/>
        <v>2848.8386566624122</v>
      </c>
      <c r="FL14" s="6">
        <f t="shared" si="63"/>
        <v>2877.3270432290365</v>
      </c>
      <c r="FM14" s="6">
        <f t="shared" si="63"/>
        <v>2906.1003136613267</v>
      </c>
      <c r="FN14" s="6">
        <f t="shared" si="63"/>
        <v>2935.1613167979399</v>
      </c>
      <c r="FO14" s="6">
        <f t="shared" si="63"/>
        <v>2964.5129299659193</v>
      </c>
      <c r="FP14" s="6">
        <f t="shared" si="63"/>
        <v>2994.1580592655787</v>
      </c>
      <c r="FQ14" s="6">
        <f t="shared" si="63"/>
        <v>3024.0996398582347</v>
      </c>
      <c r="FR14" s="6">
        <f t="shared" si="63"/>
        <v>3054.3406362568171</v>
      </c>
      <c r="FS14" s="6">
        <f t="shared" ref="FS14:GX14" si="64">+FR14*(1+$BZ$25)</f>
        <v>3084.8840426193851</v>
      </c>
      <c r="FT14" s="6">
        <f t="shared" si="64"/>
        <v>3115.732883045579</v>
      </c>
      <c r="FU14" s="6">
        <f t="shared" si="64"/>
        <v>3146.8902118760348</v>
      </c>
      <c r="FV14" s="6">
        <f t="shared" si="64"/>
        <v>3178.3591139947953</v>
      </c>
      <c r="FW14" s="6">
        <f t="shared" si="64"/>
        <v>3210.1427051347432</v>
      </c>
      <c r="FX14" s="6">
        <f t="shared" si="64"/>
        <v>3242.2441321860906</v>
      </c>
      <c r="FY14" s="6">
        <f t="shared" si="64"/>
        <v>3274.6665735079514</v>
      </c>
      <c r="FZ14" s="6">
        <f t="shared" si="64"/>
        <v>3307.4132392430311</v>
      </c>
      <c r="GA14" s="6">
        <f t="shared" si="64"/>
        <v>3340.4873716354614</v>
      </c>
      <c r="GB14" s="6">
        <f t="shared" si="64"/>
        <v>3373.8922453518162</v>
      </c>
      <c r="GC14" s="6">
        <f t="shared" si="64"/>
        <v>3407.6311678053344</v>
      </c>
      <c r="GD14" s="6">
        <f t="shared" si="64"/>
        <v>3441.7074794833879</v>
      </c>
      <c r="GE14" s="6">
        <f t="shared" si="64"/>
        <v>3476.1245542782217</v>
      </c>
      <c r="GF14" s="6">
        <f t="shared" si="64"/>
        <v>3510.8857998210037</v>
      </c>
      <c r="GG14" s="6">
        <f t="shared" si="64"/>
        <v>3545.9946578192139</v>
      </c>
      <c r="GH14" s="6">
        <f t="shared" si="64"/>
        <v>3581.454604397406</v>
      </c>
      <c r="GI14" s="6">
        <f t="shared" si="64"/>
        <v>3617.2691504413801</v>
      </c>
      <c r="GJ14" s="6">
        <f t="shared" si="64"/>
        <v>3653.4418419457938</v>
      </c>
      <c r="GK14" s="6">
        <f t="shared" si="64"/>
        <v>3689.9762603652516</v>
      </c>
      <c r="GL14" s="6">
        <f t="shared" si="64"/>
        <v>3726.8760229689042</v>
      </c>
      <c r="GM14" s="6">
        <f t="shared" si="64"/>
        <v>3764.1447831985934</v>
      </c>
      <c r="GN14" s="6">
        <f t="shared" si="64"/>
        <v>3801.7862310305795</v>
      </c>
      <c r="GO14" s="6">
        <f t="shared" si="64"/>
        <v>3839.8040933408852</v>
      </c>
      <c r="GP14" s="6">
        <f t="shared" si="64"/>
        <v>3878.2021342742942</v>
      </c>
      <c r="GQ14" s="6">
        <f t="shared" si="64"/>
        <v>3916.9841556170372</v>
      </c>
      <c r="GR14" s="6">
        <f t="shared" si="64"/>
        <v>3956.1539971732077</v>
      </c>
      <c r="GS14" s="6">
        <f t="shared" si="64"/>
        <v>3995.7155371449398</v>
      </c>
      <c r="GT14" s="6">
        <f t="shared" si="64"/>
        <v>4035.6726925163894</v>
      </c>
      <c r="GU14" s="6">
        <f t="shared" si="64"/>
        <v>4076.0294194415533</v>
      </c>
      <c r="GV14" s="6">
        <f t="shared" si="64"/>
        <v>4116.7897136359688</v>
      </c>
      <c r="GW14" s="6">
        <f t="shared" si="64"/>
        <v>4157.9576107723287</v>
      </c>
      <c r="GX14" s="6">
        <f t="shared" si="64"/>
        <v>4199.5371868800521</v>
      </c>
      <c r="GY14" s="6">
        <f t="shared" ref="GY14:HV14" si="65">+GX14*(1+$BZ$25)</f>
        <v>4241.5325587488524</v>
      </c>
      <c r="GZ14" s="6">
        <f t="shared" si="65"/>
        <v>4283.9478843363413</v>
      </c>
      <c r="HA14" s="6">
        <f t="shared" si="65"/>
        <v>4326.7873631797047</v>
      </c>
      <c r="HB14" s="6">
        <f t="shared" si="65"/>
        <v>4370.0552368115013</v>
      </c>
      <c r="HC14" s="6">
        <f t="shared" si="65"/>
        <v>4413.7557891796168</v>
      </c>
      <c r="HD14" s="6">
        <f t="shared" si="65"/>
        <v>4457.8933470714128</v>
      </c>
      <c r="HE14" s="6">
        <f t="shared" si="65"/>
        <v>4502.472280542127</v>
      </c>
      <c r="HF14" s="6">
        <f t="shared" si="65"/>
        <v>4547.4970033475483</v>
      </c>
      <c r="HG14" s="6">
        <f t="shared" si="65"/>
        <v>4592.9719733810234</v>
      </c>
      <c r="HH14" s="6">
        <f t="shared" si="65"/>
        <v>4638.9016931148335</v>
      </c>
      <c r="HI14" s="6">
        <f t="shared" si="65"/>
        <v>4685.2907100459815</v>
      </c>
      <c r="HJ14" s="6">
        <f t="shared" si="65"/>
        <v>4732.1436171464411</v>
      </c>
      <c r="HK14" s="6">
        <f t="shared" si="65"/>
        <v>4779.4650533179056</v>
      </c>
      <c r="HL14" s="6">
        <f t="shared" si="65"/>
        <v>4827.2597038510849</v>
      </c>
      <c r="HM14" s="6">
        <f t="shared" si="65"/>
        <v>4875.5323008895957</v>
      </c>
      <c r="HN14" s="6">
        <f t="shared" si="65"/>
        <v>4924.2876238984918</v>
      </c>
      <c r="HO14" s="6">
        <f t="shared" si="65"/>
        <v>4973.5305001374763</v>
      </c>
      <c r="HP14" s="6">
        <f t="shared" si="65"/>
        <v>5023.2658051388507</v>
      </c>
      <c r="HQ14" s="6">
        <f t="shared" si="65"/>
        <v>5073.4984631902389</v>
      </c>
      <c r="HR14" s="6">
        <f t="shared" si="65"/>
        <v>5124.233447822141</v>
      </c>
      <c r="HS14" s="6">
        <f t="shared" si="65"/>
        <v>5175.4757823003629</v>
      </c>
      <c r="HT14" s="6">
        <f t="shared" si="65"/>
        <v>5227.2305401233662</v>
      </c>
      <c r="HU14" s="6">
        <f t="shared" si="65"/>
        <v>5279.5028455246002</v>
      </c>
      <c r="HV14" s="6">
        <f t="shared" si="65"/>
        <v>5332.2978739798464</v>
      </c>
    </row>
    <row r="15" spans="1:230" s="6" customFormat="1" x14ac:dyDescent="0.2">
      <c r="B15" s="7" t="s">
        <v>77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10">
        <f>+AZ14/AZ16</f>
        <v>-2.7770369027922959E-2</v>
      </c>
      <c r="BA15" s="7"/>
      <c r="BB15" s="7"/>
      <c r="BC15" s="7"/>
      <c r="BD15" s="10">
        <f>+BD14/BD16</f>
        <v>0.13292476030762765</v>
      </c>
      <c r="BP15" s="21">
        <f>+BP14/BP16</f>
        <v>0.81745289879872662</v>
      </c>
      <c r="BQ15" s="21">
        <f t="shared" ref="BQ15:BU15" si="66">+BQ14/BQ16</f>
        <v>1.1867177242102509</v>
      </c>
      <c r="BR15" s="21">
        <f t="shared" si="66"/>
        <v>1.5441736745844361</v>
      </c>
      <c r="BS15" s="21">
        <f t="shared" si="66"/>
        <v>1.957652437724289</v>
      </c>
      <c r="BT15" s="21">
        <f t="shared" si="66"/>
        <v>2.3587861376081478</v>
      </c>
      <c r="BU15" s="21">
        <f t="shared" si="66"/>
        <v>2.8315973488829953</v>
      </c>
      <c r="BV15" s="21">
        <f t="shared" ref="BV15" si="67">+BV14/BV16</f>
        <v>3.3366481385814946</v>
      </c>
      <c r="BW15" s="21">
        <f t="shared" ref="BW15" si="68">+BW14/BW16</f>
        <v>3.754524350007836</v>
      </c>
      <c r="BX15" s="21">
        <f t="shared" ref="BX15" si="69">+BX14/BX16</f>
        <v>4.217346109985618</v>
      </c>
      <c r="BY15" s="21">
        <f t="shared" ref="BY15" si="70">+BY14/BY16</f>
        <v>4.5265665999917459</v>
      </c>
      <c r="BZ15" s="21">
        <f t="shared" ref="BZ15" si="71">+BZ14/BZ16</f>
        <v>4.8523318696784674</v>
      </c>
    </row>
    <row r="16" spans="1:230" s="6" customFormat="1" x14ac:dyDescent="0.2">
      <c r="B16" s="7" t="s">
        <v>1</v>
      </c>
      <c r="AZ16" s="6">
        <v>222.683393</v>
      </c>
      <c r="BD16" s="6">
        <v>242.16707199999999</v>
      </c>
      <c r="BP16" s="6">
        <f>BD16</f>
        <v>242.16707199999999</v>
      </c>
      <c r="BQ16" s="6">
        <f>+BP16</f>
        <v>242.16707199999999</v>
      </c>
      <c r="BR16" s="6">
        <f t="shared" ref="BR16:BU16" si="72">+BQ16</f>
        <v>242.16707199999999</v>
      </c>
      <c r="BS16" s="6">
        <f t="shared" si="72"/>
        <v>242.16707199999999</v>
      </c>
      <c r="BT16" s="6">
        <f t="shared" si="72"/>
        <v>242.16707199999999</v>
      </c>
      <c r="BU16" s="6">
        <f t="shared" si="72"/>
        <v>242.16707199999999</v>
      </c>
      <c r="BV16" s="6">
        <f t="shared" ref="BV16:BZ16" si="73">+BU16</f>
        <v>242.16707199999999</v>
      </c>
      <c r="BW16" s="6">
        <f t="shared" si="73"/>
        <v>242.16707199999999</v>
      </c>
      <c r="BX16" s="6">
        <f t="shared" si="73"/>
        <v>242.16707199999999</v>
      </c>
      <c r="BY16" s="6">
        <f t="shared" si="73"/>
        <v>242.16707199999999</v>
      </c>
      <c r="BZ16" s="6">
        <f t="shared" si="73"/>
        <v>242.16707199999999</v>
      </c>
    </row>
    <row r="18" spans="2:78" x14ac:dyDescent="0.2">
      <c r="B18" t="s">
        <v>68</v>
      </c>
      <c r="AR18" s="5">
        <f t="shared" ref="AR18" si="74">+AR3/AN3-1</f>
        <v>1.2820512820512824</v>
      </c>
      <c r="AS18" s="5">
        <f t="shared" ref="AS18" si="75">+AS3/AO3-1</f>
        <v>1.0097087378640777</v>
      </c>
      <c r="AT18" s="5">
        <f t="shared" ref="AT18" si="76">+AT3/AP3-1</f>
        <v>0.88571428571428568</v>
      </c>
      <c r="AU18" s="5">
        <f t="shared" ref="AU18" si="77">+AU3/AQ3-1</f>
        <v>0.81875000000000009</v>
      </c>
      <c r="AV18" s="5">
        <f t="shared" ref="AV18:AY18" si="78">+AV3/AR3-1</f>
        <v>0.90449438202247179</v>
      </c>
      <c r="AW18" s="5">
        <f t="shared" si="78"/>
        <v>0.98550724637681175</v>
      </c>
      <c r="AX18" s="5">
        <f t="shared" si="78"/>
        <v>0.89393939393939403</v>
      </c>
      <c r="AY18" s="5">
        <f t="shared" si="78"/>
        <v>0.95532646048109959</v>
      </c>
      <c r="AZ18" s="5">
        <f t="shared" ref="AZ18:BF18" si="79">+AZ3/AV3-1</f>
        <v>0.77286135693215341</v>
      </c>
      <c r="BA18" s="5">
        <f t="shared" si="79"/>
        <v>0.63746958637469575</v>
      </c>
      <c r="BB18" s="5">
        <f t="shared" si="79"/>
        <v>0.4780000000000002</v>
      </c>
      <c r="BC18" s="5">
        <f t="shared" si="79"/>
        <v>0.4393673110720564</v>
      </c>
      <c r="BD18" s="5">
        <f>+BD3/AZ3-1</f>
        <v>0.78369384359400995</v>
      </c>
      <c r="BE18" s="5">
        <f t="shared" si="79"/>
        <v>0.66716196136701345</v>
      </c>
      <c r="BF18" s="5">
        <f t="shared" si="79"/>
        <v>0.58592692828146142</v>
      </c>
      <c r="BP18" s="5">
        <f>+BP3/BO3-1</f>
        <v>0.39999999999999991</v>
      </c>
      <c r="BQ18" s="5">
        <f>+BQ3/BP3-1</f>
        <v>0.30000000000000004</v>
      </c>
      <c r="BR18" s="5">
        <f>+BR3/BQ3-1</f>
        <v>0.19999999999999996</v>
      </c>
      <c r="BS18" s="5">
        <f t="shared" ref="BS18:BU18" si="80">+BS3/BR3-1</f>
        <v>0.19999999999999996</v>
      </c>
      <c r="BT18" s="5">
        <f t="shared" si="80"/>
        <v>0.14999999999999991</v>
      </c>
      <c r="BU18" s="5">
        <f t="shared" si="80"/>
        <v>0.14999999999999991</v>
      </c>
      <c r="BV18" s="5">
        <f t="shared" ref="BV18:BZ18" si="81">+BV3/BU3-1</f>
        <v>0.14999999999999991</v>
      </c>
      <c r="BW18" s="5">
        <f t="shared" si="81"/>
        <v>0.10000000000000009</v>
      </c>
      <c r="BX18" s="5">
        <f t="shared" si="81"/>
        <v>0.10000000000000009</v>
      </c>
      <c r="BY18" s="5">
        <f t="shared" si="81"/>
        <v>5.0000000000000044E-2</v>
      </c>
      <c r="BZ18" s="5">
        <f t="shared" si="81"/>
        <v>5.0000000000000044E-2</v>
      </c>
    </row>
    <row r="19" spans="2:78" x14ac:dyDescent="0.2">
      <c r="B19" s="7" t="s">
        <v>102</v>
      </c>
      <c r="AR19" s="5">
        <f t="shared" ref="AR19:AU19" si="82">+AR5/AR3</f>
        <v>-5.6179775280898875E-2</v>
      </c>
      <c r="AS19" s="5">
        <f t="shared" si="82"/>
        <v>1.9323671497584544E-2</v>
      </c>
      <c r="AT19" s="5">
        <f t="shared" si="82"/>
        <v>0.13257575757575757</v>
      </c>
      <c r="AU19" s="5">
        <f t="shared" si="82"/>
        <v>0.12714776632302405</v>
      </c>
      <c r="AV19" s="5">
        <f t="shared" ref="AV19:AY19" si="83">+AV5/AV3</f>
        <v>0.23008849557522124</v>
      </c>
      <c r="AW19" s="5">
        <f t="shared" si="83"/>
        <v>0.23600973236009729</v>
      </c>
      <c r="AX19" s="5">
        <f t="shared" si="83"/>
        <v>0.28399999999999997</v>
      </c>
      <c r="AY19" s="5">
        <f t="shared" si="83"/>
        <v>0.28998242530755713</v>
      </c>
      <c r="AZ19" s="5">
        <f t="shared" ref="AZ19:BC19" si="84">+AZ5/AZ3</f>
        <v>0.27787021630615644</v>
      </c>
      <c r="BA19" s="5">
        <f t="shared" si="84"/>
        <v>0.36701337295690933</v>
      </c>
      <c r="BB19" s="5">
        <f t="shared" si="84"/>
        <v>0.42083897158322064</v>
      </c>
      <c r="BC19" s="5">
        <f t="shared" si="84"/>
        <v>0.47741147741147749</v>
      </c>
      <c r="BD19" s="5">
        <f>+BD5/BD3</f>
        <v>0.53638059701492535</v>
      </c>
      <c r="BE19" s="5">
        <f t="shared" ref="BE19:BF19" si="85">+BE5/BE3</f>
        <v>0.55999999999999994</v>
      </c>
      <c r="BF19" s="5">
        <f t="shared" si="85"/>
        <v>0.57999999999999996</v>
      </c>
      <c r="BO19" s="5">
        <f t="shared" ref="BO19:BR19" si="86">+BO5/BO3</f>
        <v>0.54338829151732382</v>
      </c>
      <c r="BP19" s="5">
        <f t="shared" si="86"/>
        <v>0.57999999999999996</v>
      </c>
      <c r="BQ19" s="5">
        <f t="shared" si="86"/>
        <v>0.6</v>
      </c>
      <c r="BR19" s="5">
        <f t="shared" si="86"/>
        <v>0.62</v>
      </c>
      <c r="BS19" s="5">
        <f t="shared" ref="BS19:BU19" si="87">+BS5/BS3</f>
        <v>0.63</v>
      </c>
      <c r="BT19" s="5">
        <f t="shared" si="87"/>
        <v>0.64</v>
      </c>
      <c r="BU19" s="5">
        <f t="shared" si="87"/>
        <v>0.65</v>
      </c>
      <c r="BV19" s="5">
        <f t="shared" ref="BV19:BZ19" si="88">+BV5/BV3</f>
        <v>0.65</v>
      </c>
      <c r="BW19" s="5">
        <f t="shared" si="88"/>
        <v>0.65</v>
      </c>
      <c r="BX19" s="5">
        <f t="shared" si="88"/>
        <v>0.65</v>
      </c>
      <c r="BY19" s="5">
        <f t="shared" si="88"/>
        <v>0.65</v>
      </c>
      <c r="BZ19" s="5">
        <f t="shared" si="88"/>
        <v>0.65</v>
      </c>
    </row>
    <row r="21" spans="2:78" x14ac:dyDescent="0.2">
      <c r="B21" t="s">
        <v>93</v>
      </c>
      <c r="BD21" s="6">
        <f>+BD22-BD36</f>
        <v>-42.830000000000013</v>
      </c>
      <c r="BE21" s="6">
        <f>+BD21+BE14</f>
        <v>1.8919999999999888</v>
      </c>
      <c r="BF21" s="6">
        <f>+BE21+BF14</f>
        <v>51.757999999999988</v>
      </c>
      <c r="BO21" s="6">
        <f>+BF21</f>
        <v>51.757999999999988</v>
      </c>
      <c r="BP21" s="6">
        <f>+BO21+BP14</f>
        <v>249.71817499999992</v>
      </c>
      <c r="BQ21" s="6">
        <f t="shared" ref="BQ21:BU21" si="89">+BP21+BQ14</f>
        <v>537.10213156249984</v>
      </c>
      <c r="BR21" s="6">
        <f t="shared" si="89"/>
        <v>911.05014899609353</v>
      </c>
      <c r="BS21" s="6">
        <f t="shared" si="89"/>
        <v>1385.1291078334471</v>
      </c>
      <c r="BT21" s="6">
        <f t="shared" si="89"/>
        <v>1956.3494402522012</v>
      </c>
      <c r="BU21" s="6">
        <f t="shared" si="89"/>
        <v>2642.0690793141584</v>
      </c>
      <c r="BV21" s="6">
        <f t="shared" ref="BV21:BZ21" si="90">+BU21+BV14</f>
        <v>3450.0953893286892</v>
      </c>
      <c r="BW21" s="6">
        <f t="shared" si="90"/>
        <v>4359.31755792279</v>
      </c>
      <c r="BX21" s="6">
        <f t="shared" si="90"/>
        <v>5380.6199169885967</v>
      </c>
      <c r="BY21" s="6">
        <f t="shared" si="90"/>
        <v>6476.8052967215935</v>
      </c>
      <c r="BZ21" s="6">
        <f t="shared" si="90"/>
        <v>7651.8802979739139</v>
      </c>
    </row>
    <row r="22" spans="2:78" s="6" customFormat="1" x14ac:dyDescent="0.2">
      <c r="B22" s="11" t="s">
        <v>3</v>
      </c>
      <c r="BD22" s="6">
        <v>88.244</v>
      </c>
    </row>
    <row r="23" spans="2:78" s="6" customFormat="1" x14ac:dyDescent="0.2">
      <c r="B23" s="11" t="s">
        <v>78</v>
      </c>
      <c r="BD23" s="6">
        <v>30.113</v>
      </c>
      <c r="BY23" s="2" t="s">
        <v>106</v>
      </c>
      <c r="BZ23" s="5">
        <v>0.05</v>
      </c>
    </row>
    <row r="24" spans="2:78" s="6" customFormat="1" x14ac:dyDescent="0.2">
      <c r="B24" s="11" t="s">
        <v>79</v>
      </c>
      <c r="BD24" s="6">
        <v>179.81</v>
      </c>
      <c r="BY24" s="2" t="s">
        <v>103</v>
      </c>
      <c r="BZ24" s="5">
        <v>0.1</v>
      </c>
    </row>
    <row r="25" spans="2:78" s="6" customFormat="1" x14ac:dyDescent="0.2">
      <c r="B25" s="11" t="s">
        <v>80</v>
      </c>
      <c r="BD25" s="11">
        <v>5.524</v>
      </c>
      <c r="BY25" s="2" t="s">
        <v>104</v>
      </c>
      <c r="BZ25" s="5">
        <v>0.01</v>
      </c>
    </row>
    <row r="26" spans="2:78" s="6" customFormat="1" x14ac:dyDescent="0.2">
      <c r="B26" s="11" t="s">
        <v>81</v>
      </c>
      <c r="BD26" s="11">
        <v>54.326000000000001</v>
      </c>
      <c r="BY26" s="2" t="s">
        <v>105</v>
      </c>
      <c r="BZ26" s="6">
        <f>NPV(BZ24,BP14:ID14)</f>
        <v>8492.3352684623715</v>
      </c>
    </row>
    <row r="27" spans="2:78" s="6" customFormat="1" x14ac:dyDescent="0.2">
      <c r="B27" s="11" t="s">
        <v>82</v>
      </c>
      <c r="BD27" s="6">
        <f>0.479+3.53</f>
        <v>4.0089999999999995</v>
      </c>
      <c r="BY27" s="6" t="s">
        <v>107</v>
      </c>
      <c r="BZ27" s="21">
        <f>+BZ26/Main!L3</f>
        <v>35.092294497778397</v>
      </c>
    </row>
    <row r="28" spans="2:78" s="6" customFormat="1" x14ac:dyDescent="0.2">
      <c r="B28" s="11" t="s">
        <v>83</v>
      </c>
      <c r="BD28" s="11">
        <v>9.1519999999999992</v>
      </c>
    </row>
    <row r="29" spans="2:78" s="6" customFormat="1" x14ac:dyDescent="0.2">
      <c r="B29" s="11" t="s">
        <v>84</v>
      </c>
      <c r="BD29" s="11">
        <v>5.2210000000000001</v>
      </c>
    </row>
    <row r="30" spans="2:78" s="6" customFormat="1" x14ac:dyDescent="0.2">
      <c r="B30" s="11" t="s">
        <v>85</v>
      </c>
      <c r="BD30" s="6">
        <f>SUM(BD22:BD29)</f>
        <v>376.39900000000006</v>
      </c>
    </row>
    <row r="31" spans="2:78" s="6" customFormat="1" x14ac:dyDescent="0.2"/>
    <row r="32" spans="2:78" s="6" customFormat="1" x14ac:dyDescent="0.2">
      <c r="B32" s="11" t="s">
        <v>86</v>
      </c>
      <c r="BD32" s="6">
        <v>14.179</v>
      </c>
    </row>
    <row r="33" spans="2:56" s="6" customFormat="1" x14ac:dyDescent="0.2">
      <c r="B33" s="11" t="s">
        <v>87</v>
      </c>
      <c r="BD33" s="11">
        <v>27.725999999999999</v>
      </c>
    </row>
    <row r="34" spans="2:56" s="6" customFormat="1" x14ac:dyDescent="0.2">
      <c r="B34" s="11" t="s">
        <v>88</v>
      </c>
      <c r="BD34" s="6">
        <f>1.13+1.619</f>
        <v>2.7489999999999997</v>
      </c>
    </row>
    <row r="35" spans="2:56" s="6" customFormat="1" x14ac:dyDescent="0.2">
      <c r="B35" s="11" t="s">
        <v>89</v>
      </c>
      <c r="BD35" s="6">
        <f>1.142+9.182</f>
        <v>10.324</v>
      </c>
    </row>
    <row r="36" spans="2:56" s="6" customFormat="1" x14ac:dyDescent="0.2">
      <c r="B36" s="11" t="s">
        <v>4</v>
      </c>
      <c r="BD36" s="6">
        <v>131.07400000000001</v>
      </c>
    </row>
    <row r="37" spans="2:56" s="6" customFormat="1" x14ac:dyDescent="0.2">
      <c r="B37" s="11" t="s">
        <v>90</v>
      </c>
      <c r="BD37" s="11">
        <v>1.6879999999999999</v>
      </c>
    </row>
    <row r="38" spans="2:56" s="6" customFormat="1" x14ac:dyDescent="0.2">
      <c r="B38" s="11" t="s">
        <v>92</v>
      </c>
      <c r="BD38" s="11">
        <v>0.39</v>
      </c>
    </row>
    <row r="39" spans="2:56" s="6" customFormat="1" x14ac:dyDescent="0.2">
      <c r="B39" s="11" t="s">
        <v>91</v>
      </c>
      <c r="BD39" s="11">
        <v>188.26900000000001</v>
      </c>
    </row>
    <row r="40" spans="2:56" s="6" customFormat="1" x14ac:dyDescent="0.2">
      <c r="B40" s="11" t="s">
        <v>85</v>
      </c>
      <c r="BD40" s="6">
        <f>SUM(BD32:BD39)</f>
        <v>376.399</v>
      </c>
    </row>
  </sheetData>
  <hyperlinks>
    <hyperlink ref="A1" location="Main!A1" display="Main" xr:uid="{B150C4FD-8C1A-4F74-93EF-A498FE77B20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2024-10-01T20:45:09Z</dcterms:created>
  <dcterms:modified xsi:type="dcterms:W3CDTF">2024-10-10T15:10:16Z</dcterms:modified>
</cp:coreProperties>
</file>