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D78B31C-CAEF-4A8A-B560-382CA715EE88}" xr6:coauthVersionLast="47" xr6:coauthVersionMax="47" xr10:uidLastSave="{00000000-0000-0000-0000-000000000000}"/>
  <bookViews>
    <workbookView xWindow="4950" yWindow="3670" windowWidth="18690" windowHeight="15380" activeTab="1" xr2:uid="{70329CC5-8756-4BA4-A5C1-E709DAADAB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4" i="2" s="1"/>
  <c r="K21" i="2"/>
  <c r="K8" i="2"/>
  <c r="K7" i="2"/>
  <c r="K6" i="2"/>
  <c r="K5" i="2"/>
  <c r="J41" i="2"/>
  <c r="J35" i="2"/>
  <c r="J37" i="2"/>
  <c r="J45" i="2"/>
  <c r="J54" i="2"/>
  <c r="J53" i="2"/>
  <c r="J52" i="2"/>
  <c r="J51" i="2"/>
  <c r="J50" i="2"/>
  <c r="J49" i="2"/>
  <c r="J48" i="2"/>
  <c r="J16" i="2"/>
  <c r="K16" i="2" s="1"/>
  <c r="J10" i="2"/>
  <c r="J9" i="2"/>
  <c r="J11" i="2" s="1"/>
  <c r="J26" i="2" s="1"/>
  <c r="J14" i="2"/>
  <c r="N3" i="2"/>
  <c r="M3" i="2"/>
  <c r="L3" i="2"/>
  <c r="K3" i="2"/>
  <c r="O3" i="2" s="1"/>
  <c r="U16" i="2"/>
  <c r="U18" i="2"/>
  <c r="T18" i="2"/>
  <c r="T16" i="2"/>
  <c r="T14" i="2"/>
  <c r="T9" i="2"/>
  <c r="T11" i="2" s="1"/>
  <c r="T26" i="2" s="1"/>
  <c r="W10" i="2"/>
  <c r="W11" i="2" s="1"/>
  <c r="V21" i="2"/>
  <c r="V18" i="2"/>
  <c r="U14" i="2"/>
  <c r="V13" i="2"/>
  <c r="V12" i="2"/>
  <c r="W12" i="2" s="1"/>
  <c r="V10" i="2"/>
  <c r="U9" i="2"/>
  <c r="V9" i="2"/>
  <c r="G25" i="2"/>
  <c r="C16" i="2"/>
  <c r="C14" i="2"/>
  <c r="C11" i="2"/>
  <c r="C26" i="2" s="1"/>
  <c r="F16" i="2"/>
  <c r="F14" i="2"/>
  <c r="F11" i="2"/>
  <c r="F26" i="2" s="1"/>
  <c r="H55" i="2"/>
  <c r="H56" i="2" s="1"/>
  <c r="H41" i="2"/>
  <c r="H35" i="2"/>
  <c r="H37" i="2" s="1"/>
  <c r="H45" i="2"/>
  <c r="D16" i="2"/>
  <c r="H25" i="2"/>
  <c r="D14" i="2"/>
  <c r="D11" i="2"/>
  <c r="D26" i="2" s="1"/>
  <c r="G16" i="2"/>
  <c r="G14" i="2"/>
  <c r="G11" i="2"/>
  <c r="G26" i="2" s="1"/>
  <c r="I55" i="2"/>
  <c r="I56" i="2" s="1"/>
  <c r="I41" i="2"/>
  <c r="I45" i="2" s="1"/>
  <c r="I35" i="2"/>
  <c r="I37" i="2" s="1"/>
  <c r="I25" i="2"/>
  <c r="E16" i="2"/>
  <c r="E14" i="2"/>
  <c r="E11" i="2"/>
  <c r="E26" i="2" s="1"/>
  <c r="H16" i="2"/>
  <c r="H14" i="2"/>
  <c r="H11" i="2"/>
  <c r="H26" i="2" s="1"/>
  <c r="I21" i="2"/>
  <c r="W21" i="2" s="1"/>
  <c r="I16" i="2"/>
  <c r="I14" i="2"/>
  <c r="I11" i="2"/>
  <c r="I15" i="2" s="1"/>
  <c r="I27" i="2" s="1"/>
  <c r="J4" i="1"/>
  <c r="J7" i="1" s="1"/>
  <c r="K9" i="2" l="1"/>
  <c r="V11" i="2"/>
  <c r="J25" i="2"/>
  <c r="J55" i="2"/>
  <c r="J56" i="2" s="1"/>
  <c r="U25" i="2"/>
  <c r="J15" i="2"/>
  <c r="V16" i="2"/>
  <c r="W16" i="2" s="1"/>
  <c r="U11" i="2"/>
  <c r="U26" i="2" s="1"/>
  <c r="V14" i="2"/>
  <c r="V26" i="2"/>
  <c r="V15" i="2"/>
  <c r="W13" i="2"/>
  <c r="W25" i="2"/>
  <c r="V25" i="2"/>
  <c r="T15" i="2"/>
  <c r="W14" i="2"/>
  <c r="W15" i="2" s="1"/>
  <c r="W26" i="2"/>
  <c r="U15" i="2"/>
  <c r="C15" i="2"/>
  <c r="I26" i="2"/>
  <c r="F15" i="2"/>
  <c r="D15" i="2"/>
  <c r="G15" i="2"/>
  <c r="I17" i="2"/>
  <c r="I19" i="2" s="1"/>
  <c r="E15" i="2"/>
  <c r="H15" i="2"/>
  <c r="K25" i="2" l="1"/>
  <c r="K11" i="2"/>
  <c r="J17" i="2"/>
  <c r="J19" i="2" s="1"/>
  <c r="J27" i="2"/>
  <c r="U27" i="2"/>
  <c r="U17" i="2"/>
  <c r="U19" i="2" s="1"/>
  <c r="U20" i="2" s="1"/>
  <c r="T17" i="2"/>
  <c r="T19" i="2" s="1"/>
  <c r="T20" i="2" s="1"/>
  <c r="T27" i="2"/>
  <c r="V27" i="2"/>
  <c r="V17" i="2"/>
  <c r="V19" i="2" s="1"/>
  <c r="V20" i="2" s="1"/>
  <c r="W17" i="2"/>
  <c r="W27" i="2"/>
  <c r="E17" i="2"/>
  <c r="E19" i="2" s="1"/>
  <c r="E20" i="2" s="1"/>
  <c r="E27" i="2"/>
  <c r="G17" i="2"/>
  <c r="G19" i="2" s="1"/>
  <c r="G20" i="2" s="1"/>
  <c r="G27" i="2"/>
  <c r="D17" i="2"/>
  <c r="D19" i="2" s="1"/>
  <c r="D20" i="2" s="1"/>
  <c r="D27" i="2"/>
  <c r="F17" i="2"/>
  <c r="F19" i="2" s="1"/>
  <c r="F20" i="2" s="1"/>
  <c r="F27" i="2"/>
  <c r="C17" i="2"/>
  <c r="C19" i="2" s="1"/>
  <c r="C20" i="2" s="1"/>
  <c r="C27" i="2"/>
  <c r="H17" i="2"/>
  <c r="H19" i="2" s="1"/>
  <c r="H27" i="2"/>
  <c r="I47" i="2"/>
  <c r="I20" i="2"/>
  <c r="K26" i="2" l="1"/>
  <c r="K15" i="2"/>
  <c r="K10" i="2"/>
  <c r="J20" i="2"/>
  <c r="J47" i="2"/>
  <c r="W18" i="2"/>
  <c r="W19" i="2" s="1"/>
  <c r="W20" i="2" s="1"/>
  <c r="H20" i="2"/>
  <c r="H47" i="2"/>
  <c r="K17" i="2" l="1"/>
  <c r="K27" i="2"/>
  <c r="K18" i="2" l="1"/>
  <c r="K19" i="2" s="1"/>
  <c r="K20" i="2" s="1"/>
</calcChain>
</file>

<file path=xl/sharedStrings.xml><?xml version="1.0" encoding="utf-8"?>
<sst xmlns="http://schemas.openxmlformats.org/spreadsheetml/2006/main" count="93" uniqueCount="88">
  <si>
    <t>Price</t>
  </si>
  <si>
    <t>Shares</t>
  </si>
  <si>
    <t>MC</t>
  </si>
  <si>
    <t>Cash</t>
  </si>
  <si>
    <t>Debt</t>
  </si>
  <si>
    <t>EV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</si>
  <si>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</si>
  <si>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</si>
  <si>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</si>
  <si>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</si>
  <si>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</si>
  <si>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</si>
  <si>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</si>
  <si>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</si>
  <si>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</si>
  <si>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</si>
  <si>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</si>
  <si>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</si>
  <si>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</si>
  <si>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</si>
  <si>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</si>
  <si>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</si>
  <si>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</si>
  <si>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</si>
  <si>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</si>
  <si>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</si>
  <si>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</si>
  <si>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</si>
  <si>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</si>
  <si>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</si>
  <si>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</si>
  <si>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</si>
  <si>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</si>
  <si>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</si>
  <si>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</si>
  <si>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</si>
  <si>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</si>
  <si>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</si>
  <si>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</si>
  <si>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</si>
  <si>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</si>
  <si>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</si>
  <si>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</si>
  <si>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</si>
  <si>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</si>
  <si>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</si>
  <si>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</si>
  <si>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</si>
  <si>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</si>
  <si>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</si>
  <si>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</si>
  <si>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</si>
  <si>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T</t>
  </si>
  <si>
    <t>HPQ</t>
  </si>
  <si>
    <t>LSI</t>
  </si>
  <si>
    <t>BRCM</t>
  </si>
  <si>
    <t>BRCD</t>
  </si>
  <si>
    <t>SYMC</t>
  </si>
  <si>
    <t>VMW</t>
  </si>
  <si>
    <t>CMOS</t>
  </si>
  <si>
    <t>networking, broadband, set top boxes</t>
  </si>
  <si>
    <t>FC SAN (fibre channel)</t>
  </si>
  <si>
    <t>hybrid cloud</t>
  </si>
  <si>
    <t>11/22/23: VMware deal closes: $86.3B.</t>
  </si>
  <si>
    <t>analog III-V - faster switching transistors, better performance for RF and optoelectronics - 3rd to 5th element groups: gallium, indium</t>
  </si>
  <si>
    <t>Headcount</t>
  </si>
  <si>
    <t>2014: LSI acquisition</t>
  </si>
  <si>
    <t>TSM made 90% of wafers used by AVGO CM's in FY2023.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</si>
  <si>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</si>
  <si>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</si>
  <si>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</si>
  <si>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</si>
  <si>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</si>
  <si>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</si>
  <si>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</si>
  <si>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</si>
  <si>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WT Microelectronics - 21% of revenue FY2023</t>
  </si>
  <si>
    <t>Q224</t>
  </si>
  <si>
    <t>FQ324</t>
  </si>
  <si>
    <t>FQ424</t>
  </si>
  <si>
    <t>FQ125</t>
  </si>
  <si>
    <t>FQ225</t>
  </si>
  <si>
    <t>FQ325</t>
  </si>
  <si>
    <t>FQ425</t>
  </si>
  <si>
    <t>Semiconductors</t>
  </si>
  <si>
    <t>Infrastructure</t>
  </si>
  <si>
    <t>FY2020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</si>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</sst>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32525</xdr:colOff>
      <xdr:row>0</xdr:row>
      <xdr:rowOff>13260</xdr:rowOff>
    </xdr:from>
    <xdr:to>
      <xdr:col>10</xdr:col>
      <xdr:colOff>32525</xdr:colOff>
      <xdr:row>68</xdr:row>
      <xdr:rowOff>138712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6287275" y="13260"/>
          <a:ext cx="0" cy="106347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32523</xdr:colOff>
      <xdr:row>0</xdr:row>
      <xdr:rowOff>0</xdr:rowOff>
    </xdr:from>
    <xdr:to>
      <xdr:col>22</xdr:col>
      <xdr:colOff>32523</xdr:colOff>
      <xdr:row>68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0449621" y="0"/>
          <a:ext cx="0" cy="10858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K17"/>
  <sheetViews>
    <sheetView zoomScale="175" zoomScaleNormal="175" workbookViewId="0">
      <selection activeCell="K3" sqref="K3"/>
    </sheetView>
  </sheetViews>
  <sheetFormatPr defaultRowHeight="12.5" x14ac:dyDescent="0.25"/>
  <sheetData>
    <row r="2" spans="2:11" x14ac:dyDescent="0.25">
      <c r="I2" t="s">
        <v>0</v>
      </c>
      <c r="J2" s="1">
        <v>176.75</v>
      </c>
    </row>
    <row r="3" spans="2:11" x14ac:dyDescent="0.25">
      <c r="B3" t="s">
        <v>52</v>
      </c>
      <c r="I3" t="s">
        <v>1</v>
      </c>
      <c r="J3" s="2">
        <v>4670.5760829999999</v>
      </c>
      <c r="K3" s="3" t="s">
        <v>77</v>
      </c>
    </row>
    <row r="4" spans="2:11" ht="13" x14ac:dyDescent="0.3">
      <c r="B4" t="s">
        <v>53</v>
      </c>
      <c r="I4" s="4" t="s">
        <v>2</v>
      </c>
      <c r="J4" s="5">
        <f>+J2*J3</f>
        <v>825524.32267024997</v>
      </c>
    </row>
    <row r="5" spans="2:11" x14ac:dyDescent="0.25">
      <c r="B5" t="s">
        <v>54</v>
      </c>
      <c r="I5" t="s">
        <v>3</v>
      </c>
      <c r="J5" s="2">
        <v>11864</v>
      </c>
      <c r="K5" s="3" t="s">
        <v>77</v>
      </c>
    </row>
    <row r="6" spans="2:11" x14ac:dyDescent="0.25">
      <c r="B6" t="s">
        <v>55</v>
      </c>
      <c r="I6" t="s">
        <v>4</v>
      </c>
      <c r="J6" s="2">
        <v>73468</v>
      </c>
      <c r="K6" s="3" t="s">
        <v>77</v>
      </c>
    </row>
    <row r="7" spans="2:11" x14ac:dyDescent="0.25">
      <c r="B7" t="s">
        <v>56</v>
      </c>
      <c r="I7" t="s">
        <v>5</v>
      </c>
      <c r="J7" s="2">
        <f>+J4-J5+J6</f>
        <v>887128.32267024997</v>
      </c>
    </row>
    <row r="8" spans="2:11" x14ac:dyDescent="0.25">
      <c r="B8" t="s">
        <v>57</v>
      </c>
    </row>
    <row r="9" spans="2:11" x14ac:dyDescent="0.25">
      <c r="B9" t="s">
        <v>58</v>
      </c>
      <c r="C9" t="s">
        <v>62</v>
      </c>
    </row>
    <row r="11" spans="2:11" x14ac:dyDescent="0.25">
      <c r="B11" t="s">
        <v>59</v>
      </c>
    </row>
    <row r="12" spans="2:11" x14ac:dyDescent="0.25">
      <c r="B12" t="s">
        <v>64</v>
      </c>
    </row>
    <row r="13" spans="2:11" x14ac:dyDescent="0.25">
      <c r="B13" t="s">
        <v>60</v>
      </c>
    </row>
    <row r="14" spans="2:11" x14ac:dyDescent="0.25">
      <c r="B14" t="s">
        <v>61</v>
      </c>
      <c r="I14" t="s">
        <v>66</v>
      </c>
    </row>
    <row r="15" spans="2:11" x14ac:dyDescent="0.25">
      <c r="I15" t="s">
        <v>63</v>
      </c>
    </row>
    <row r="16" spans="2:11" x14ac:dyDescent="0.25">
      <c r="B16" t="s">
        <v>67</v>
      </c>
    </row>
    <row r="17" spans="2:2" x14ac:dyDescent="0.25">
      <c r="B1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X70"/>
  <sheetViews>
    <sheetView tabSelected="1" zoomScale="160" zoomScaleNormal="16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S2" sqref="S2"/>
    </sheetView>
  </sheetViews>
  <sheetFormatPr defaultRowHeight="12.5" x14ac:dyDescent="0.25"/>
  <cols>
    <col min="1" max="1" width="5" bestFit="1" customWidth="1"/>
    <col min="2" max="2" width="18.1796875" bestFit="1" customWidth="1"/>
    <col min="3" max="15" width="8.26953125" style="3" customWidth="1"/>
    <col min="16" max="16" width="9.1796875" style="3"/>
    <col min="17" max="19" width="8.7265625" style="3"/>
    <col min="20" max="20" width="9.1796875" style="3"/>
    <col min="21" max="22" width="10.26953125" style="3" bestFit="1" customWidth="1"/>
    <col min="23" max="24" width="9.1796875" style="3"/>
  </cols>
  <sheetData>
    <row r="1" spans="1:24" x14ac:dyDescent="0.25">
      <c r="A1" s="6" t="s">
        <v>6</v>
      </c>
    </row>
    <row r="2" spans="1:24" x14ac:dyDescent="0.25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78</v>
      </c>
      <c r="K2" s="3" t="s">
        <v>79</v>
      </c>
      <c r="L2" s="3" t="s">
        <v>80</v>
      </c>
      <c r="M2" s="3" t="s">
        <v>81</v>
      </c>
      <c r="N2" s="3" t="s">
        <v>82</v>
      </c>
      <c r="O2" s="3" t="s">
        <v>83</v>
      </c>
      <c r="R2" s="3" t="s">
        <v>87</v>
      </c>
      <c r="S2" s="3" t="s">
        <v>86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</row>
    <row r="3" spans="1:24" s="13" customFormat="1" x14ac:dyDescent="0.25">
      <c r="B3" s="13" t="s">
        <v>19</v>
      </c>
      <c r="C3" s="14">
        <v>44864</v>
      </c>
      <c r="D3" s="14">
        <v>44955</v>
      </c>
      <c r="E3" s="14">
        <v>45046</v>
      </c>
      <c r="F3" s="14">
        <v>45137</v>
      </c>
      <c r="G3" s="14">
        <v>45228</v>
      </c>
      <c r="H3" s="14">
        <v>45326</v>
      </c>
      <c r="I3" s="14">
        <v>45417</v>
      </c>
      <c r="J3" s="14">
        <v>45508</v>
      </c>
      <c r="K3" s="14">
        <f>+G3+365</f>
        <v>45593</v>
      </c>
      <c r="L3" s="14">
        <f>+H3+365</f>
        <v>45691</v>
      </c>
      <c r="M3" s="14">
        <f>+I3+365</f>
        <v>45782</v>
      </c>
      <c r="N3" s="14">
        <f>+J3+365</f>
        <v>45873</v>
      </c>
      <c r="O3" s="14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4" x14ac:dyDescent="0.25">
      <c r="C4" s="7"/>
      <c r="D4" s="7"/>
      <c r="E4" s="7"/>
      <c r="F4" s="7"/>
      <c r="G4" s="7"/>
      <c r="H4" s="7"/>
      <c r="I4" s="7"/>
      <c r="U4" s="7"/>
      <c r="V4" s="7"/>
    </row>
    <row r="5" spans="1:24" x14ac:dyDescent="0.25">
      <c r="B5" t="s">
        <v>84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4" x14ac:dyDescent="0.25">
      <c r="B6" t="s">
        <v>85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4" x14ac:dyDescent="0.25">
      <c r="B7" t="s">
        <v>73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4" x14ac:dyDescent="0.25">
      <c r="B8" t="s">
        <v>74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</row>
    <row r="9" spans="1:24" s="4" customFormat="1" ht="13" x14ac:dyDescent="0.3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f>+K7+K8</f>
        <v>14072</v>
      </c>
      <c r="L9" s="12"/>
      <c r="M9" s="12"/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v>45000</v>
      </c>
      <c r="X9" s="12"/>
    </row>
    <row r="10" spans="1:24" x14ac:dyDescent="0.25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f>+K9-K11</f>
        <v>3377.2800000000007</v>
      </c>
      <c r="T10" s="8">
        <v>6555</v>
      </c>
      <c r="U10" s="8">
        <v>7629</v>
      </c>
      <c r="V10" s="8">
        <f>SUM(D10:G10)</f>
        <v>9272</v>
      </c>
      <c r="W10" s="8">
        <f>+W9*0.25</f>
        <v>11250</v>
      </c>
    </row>
    <row r="11" spans="1:24" s="2" customFormat="1" x14ac:dyDescent="0.25">
      <c r="B11" s="2" t="s">
        <v>14</v>
      </c>
      <c r="C11" s="8">
        <f t="shared" ref="C11:J11" si="0">+C9-C10</f>
        <v>6632</v>
      </c>
      <c r="D11" s="8">
        <f t="shared" si="0"/>
        <v>6541</v>
      </c>
      <c r="E11" s="8">
        <f t="shared" si="0"/>
        <v>6556</v>
      </c>
      <c r="F11" s="8">
        <f t="shared" si="0"/>
        <v>6604</v>
      </c>
      <c r="G11" s="8">
        <f t="shared" si="0"/>
        <v>6846</v>
      </c>
      <c r="H11" s="8">
        <f t="shared" si="0"/>
        <v>8847</v>
      </c>
      <c r="I11" s="8">
        <f t="shared" si="0"/>
        <v>9345</v>
      </c>
      <c r="J11" s="8">
        <f t="shared" si="0"/>
        <v>9939</v>
      </c>
      <c r="K11" s="8">
        <f>+K9*0.76</f>
        <v>10694.72</v>
      </c>
      <c r="L11" s="8"/>
      <c r="M11" s="8"/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33750</v>
      </c>
      <c r="X11" s="8"/>
    </row>
    <row r="12" spans="1:24" x14ac:dyDescent="0.25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f>+H12</f>
        <v>2308</v>
      </c>
      <c r="T12" s="8">
        <v>4854</v>
      </c>
      <c r="U12" s="8">
        <v>4919</v>
      </c>
      <c r="V12" s="8">
        <f>SUM(D12:G12)</f>
        <v>5253</v>
      </c>
      <c r="W12" s="8">
        <f>+V12*1.1</f>
        <v>5778.3</v>
      </c>
    </row>
    <row r="13" spans="1:24" x14ac:dyDescent="0.25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f>+H13</f>
        <v>1572</v>
      </c>
      <c r="T13" s="8">
        <v>1347</v>
      </c>
      <c r="U13" s="8">
        <v>1382</v>
      </c>
      <c r="V13" s="8">
        <f>SUM(D13:G13)</f>
        <v>1592</v>
      </c>
      <c r="W13" s="8">
        <f>+V13*1.1</f>
        <v>1751.2</v>
      </c>
    </row>
    <row r="14" spans="1:24" x14ac:dyDescent="0.25">
      <c r="B14" t="s">
        <v>18</v>
      </c>
      <c r="C14" s="8">
        <f t="shared" ref="C14:K14" si="1">+C12+C13</f>
        <v>1567</v>
      </c>
      <c r="D14" s="8">
        <f t="shared" si="1"/>
        <v>1543</v>
      </c>
      <c r="E14" s="8">
        <f t="shared" si="1"/>
        <v>1750</v>
      </c>
      <c r="F14" s="8">
        <f t="shared" si="1"/>
        <v>1746</v>
      </c>
      <c r="G14" s="8">
        <f t="shared" si="1"/>
        <v>1806</v>
      </c>
      <c r="H14" s="8">
        <f t="shared" si="1"/>
        <v>3880</v>
      </c>
      <c r="I14" s="8">
        <f t="shared" si="1"/>
        <v>3692</v>
      </c>
      <c r="J14" s="8">
        <f t="shared" si="1"/>
        <v>3453</v>
      </c>
      <c r="K14" s="8">
        <f t="shared" si="1"/>
        <v>3880</v>
      </c>
      <c r="T14" s="8">
        <f t="shared" ref="T14:U14" si="2">+T13+T12</f>
        <v>6201</v>
      </c>
      <c r="U14" s="8">
        <f t="shared" si="2"/>
        <v>6301</v>
      </c>
      <c r="V14" s="8">
        <f>+V13+V12</f>
        <v>6845</v>
      </c>
      <c r="W14" s="8">
        <f>+W13+W12</f>
        <v>7529.5</v>
      </c>
    </row>
    <row r="15" spans="1:24" x14ac:dyDescent="0.25">
      <c r="B15" t="s">
        <v>20</v>
      </c>
      <c r="C15" s="8">
        <f t="shared" ref="C15:K15" si="3">+C11-C14</f>
        <v>5065</v>
      </c>
      <c r="D15" s="8">
        <f t="shared" si="3"/>
        <v>4998</v>
      </c>
      <c r="E15" s="8">
        <f t="shared" si="3"/>
        <v>4806</v>
      </c>
      <c r="F15" s="8">
        <f t="shared" si="3"/>
        <v>4858</v>
      </c>
      <c r="G15" s="8">
        <f t="shared" si="3"/>
        <v>5040</v>
      </c>
      <c r="H15" s="8">
        <f t="shared" si="3"/>
        <v>4967</v>
      </c>
      <c r="I15" s="8">
        <f t="shared" si="3"/>
        <v>5653</v>
      </c>
      <c r="J15" s="8">
        <f t="shared" si="3"/>
        <v>6486</v>
      </c>
      <c r="K15" s="8">
        <f t="shared" si="3"/>
        <v>6814.7199999999993</v>
      </c>
      <c r="T15" s="8">
        <f t="shared" ref="T15:U15" si="4">+T11-T14</f>
        <v>14694</v>
      </c>
      <c r="U15" s="8">
        <f t="shared" si="4"/>
        <v>19273</v>
      </c>
      <c r="V15" s="8">
        <f>+V11-V14</f>
        <v>19702</v>
      </c>
      <c r="W15" s="8">
        <f>+W11-W14</f>
        <v>26220.5</v>
      </c>
    </row>
    <row r="16" spans="1:24" x14ac:dyDescent="0.25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+J16</f>
        <v>-982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+V16</f>
        <v>-1396</v>
      </c>
    </row>
    <row r="17" spans="2:24" x14ac:dyDescent="0.25">
      <c r="B17" t="s">
        <v>23</v>
      </c>
      <c r="C17" s="8">
        <f t="shared" ref="C17:K17" si="5">+C15+C16</f>
        <v>4699</v>
      </c>
      <c r="D17" s="8">
        <f t="shared" si="5"/>
        <v>4449</v>
      </c>
      <c r="E17" s="8">
        <f t="shared" si="5"/>
        <v>4514</v>
      </c>
      <c r="F17" s="8">
        <f t="shared" si="5"/>
        <v>4576</v>
      </c>
      <c r="G17" s="8">
        <f t="shared" si="5"/>
        <v>4767</v>
      </c>
      <c r="H17" s="8">
        <f t="shared" si="5"/>
        <v>4226</v>
      </c>
      <c r="I17" s="8">
        <f t="shared" si="5"/>
        <v>4693</v>
      </c>
      <c r="J17" s="8">
        <f t="shared" si="5"/>
        <v>5504</v>
      </c>
      <c r="K17" s="8">
        <f t="shared" si="5"/>
        <v>5832.7199999999993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24824.5</v>
      </c>
    </row>
    <row r="18" spans="2:24" s="2" customFormat="1" x14ac:dyDescent="0.25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v>68</v>
      </c>
      <c r="I18" s="8">
        <v>-116</v>
      </c>
      <c r="J18" s="8">
        <v>4238</v>
      </c>
      <c r="K18" s="8">
        <f>+K17*0.1</f>
        <v>583.27199999999993</v>
      </c>
      <c r="L18" s="8"/>
      <c r="M18" s="8"/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f>+W17*0.1</f>
        <v>2482.4500000000003</v>
      </c>
      <c r="X18" s="8"/>
    </row>
    <row r="19" spans="2:24" ht="13" x14ac:dyDescent="0.3">
      <c r="B19" t="s">
        <v>25</v>
      </c>
      <c r="C19" s="8">
        <f t="shared" ref="C19:K19" si="6">+C17-C18</f>
        <v>4438</v>
      </c>
      <c r="D19" s="8">
        <f t="shared" si="6"/>
        <v>4383</v>
      </c>
      <c r="E19" s="8">
        <f t="shared" si="6"/>
        <v>4279</v>
      </c>
      <c r="F19" s="8">
        <f t="shared" si="6"/>
        <v>4305</v>
      </c>
      <c r="G19" s="8">
        <f t="shared" si="6"/>
        <v>4324</v>
      </c>
      <c r="H19" s="8">
        <f t="shared" si="6"/>
        <v>4158</v>
      </c>
      <c r="I19" s="8">
        <f t="shared" si="6"/>
        <v>4809</v>
      </c>
      <c r="J19" s="8">
        <f t="shared" si="6"/>
        <v>1266</v>
      </c>
      <c r="K19" s="8">
        <f t="shared" si="6"/>
        <v>5249.4479999999994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22342.05</v>
      </c>
    </row>
    <row r="20" spans="2:24" x14ac:dyDescent="0.25">
      <c r="B20" t="s">
        <v>75</v>
      </c>
      <c r="C20" s="11">
        <f t="shared" ref="C20:K20" si="7">+C19/C21</f>
        <v>1.0344988344988344</v>
      </c>
      <c r="D20" s="11">
        <f t="shared" si="7"/>
        <v>1.0216783216783216</v>
      </c>
      <c r="E20" s="11">
        <f t="shared" si="7"/>
        <v>1.0021077283372366</v>
      </c>
      <c r="F20" s="11">
        <f t="shared" si="7"/>
        <v>1.0081967213114753</v>
      </c>
      <c r="G20" s="11">
        <f t="shared" si="7"/>
        <v>1.0126463700234192</v>
      </c>
      <c r="H20" s="11">
        <f t="shared" si="7"/>
        <v>0.89036402569593143</v>
      </c>
      <c r="I20" s="11">
        <f t="shared" si="7"/>
        <v>1.0018750000000001</v>
      </c>
      <c r="J20" s="11">
        <f t="shared" si="7"/>
        <v>0.27149903495603689</v>
      </c>
      <c r="K20" s="11">
        <f t="shared" si="7"/>
        <v>1.1257662449067123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4.6545937500000001</v>
      </c>
    </row>
    <row r="21" spans="2:24" x14ac:dyDescent="0.25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f>+J21</f>
        <v>4663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</row>
    <row r="25" spans="2:24" x14ac:dyDescent="0.25">
      <c r="B25" t="s">
        <v>12</v>
      </c>
      <c r="G25" s="9">
        <f>+G9/C9-1</f>
        <v>4.0873460246360516E-2</v>
      </c>
      <c r="H25" s="9">
        <f>+H9/D9-1</f>
        <v>0.34167134043746494</v>
      </c>
      <c r="I25" s="9">
        <f>+I9/E9-1</f>
        <v>0.42986373525707089</v>
      </c>
      <c r="J25" s="9">
        <f>+J9/F9-1</f>
        <v>0.47273546642631814</v>
      </c>
      <c r="K25" s="9">
        <f>+K9/G9-1</f>
        <v>0.51393222162452923</v>
      </c>
      <c r="L25" s="9"/>
      <c r="M25" s="9"/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0.25631648008040431</v>
      </c>
    </row>
    <row r="26" spans="2:24" x14ac:dyDescent="0.25">
      <c r="B26" t="s">
        <v>15</v>
      </c>
      <c r="C26" s="9">
        <f t="shared" ref="C26:G26" si="8">+C11/C9</f>
        <v>0.7426651735722285</v>
      </c>
      <c r="D26" s="9">
        <f t="shared" si="8"/>
        <v>0.7337072349971957</v>
      </c>
      <c r="E26" s="9">
        <f t="shared" si="8"/>
        <v>0.75071567617084622</v>
      </c>
      <c r="F26" s="9">
        <f t="shared" si="8"/>
        <v>0.74402884182063989</v>
      </c>
      <c r="G26" s="9">
        <f t="shared" si="8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0.76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</v>
      </c>
    </row>
    <row r="27" spans="2:24" x14ac:dyDescent="0.25">
      <c r="B27" t="s">
        <v>21</v>
      </c>
      <c r="C27" s="9">
        <f t="shared" ref="C27:G27" si="9">+C15/C9</f>
        <v>0.56718924972004481</v>
      </c>
      <c r="D27" s="9">
        <f t="shared" si="9"/>
        <v>0.56062815479528882</v>
      </c>
      <c r="E27" s="9">
        <f t="shared" si="9"/>
        <v>0.55032634833390592</v>
      </c>
      <c r="F27" s="9">
        <f t="shared" si="9"/>
        <v>0.54731861198738174</v>
      </c>
      <c r="G27" s="9">
        <f t="shared" si="9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0.48427515633882884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0.58267777777777774</v>
      </c>
    </row>
    <row r="30" spans="2:24" s="2" customFormat="1" x14ac:dyDescent="0.25">
      <c r="B30" s="2" t="s">
        <v>3</v>
      </c>
      <c r="C30" s="8"/>
      <c r="D30" s="8"/>
      <c r="E30" s="8"/>
      <c r="F30" s="8"/>
      <c r="G30" s="8"/>
      <c r="H30" s="8">
        <v>11864</v>
      </c>
      <c r="I30" s="8">
        <v>9809</v>
      </c>
      <c r="J30" s="8">
        <v>9952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s="2" customFormat="1" x14ac:dyDescent="0.25">
      <c r="B31" s="2" t="s">
        <v>26</v>
      </c>
      <c r="C31" s="8"/>
      <c r="D31" s="8"/>
      <c r="E31" s="8"/>
      <c r="F31" s="8"/>
      <c r="G31" s="8"/>
      <c r="H31" s="8">
        <v>4969</v>
      </c>
      <c r="I31" s="8">
        <v>5500</v>
      </c>
      <c r="J31" s="8">
        <v>4665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s="2" customFormat="1" x14ac:dyDescent="0.25">
      <c r="B32" s="2" t="s">
        <v>27</v>
      </c>
      <c r="C32" s="8"/>
      <c r="D32" s="8"/>
      <c r="E32" s="8"/>
      <c r="F32" s="8"/>
      <c r="G32" s="8"/>
      <c r="H32" s="8">
        <v>1920</v>
      </c>
      <c r="I32" s="8">
        <v>1842</v>
      </c>
      <c r="J32" s="8">
        <v>1894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25">
      <c r="B33" s="2" t="s">
        <v>28</v>
      </c>
      <c r="C33" s="8"/>
      <c r="D33" s="8"/>
      <c r="E33" s="8"/>
      <c r="F33" s="8"/>
      <c r="G33" s="8"/>
      <c r="H33" s="8">
        <v>8439</v>
      </c>
      <c r="I33" s="8">
        <v>8151</v>
      </c>
      <c r="J33" s="8">
        <v>3436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25">
      <c r="B34" s="2" t="s">
        <v>29</v>
      </c>
      <c r="C34" s="8"/>
      <c r="D34" s="8"/>
      <c r="E34" s="8"/>
      <c r="F34" s="8"/>
      <c r="G34" s="8"/>
      <c r="H34" s="8">
        <v>2662</v>
      </c>
      <c r="I34" s="8">
        <v>2668</v>
      </c>
      <c r="J34" s="8">
        <v>2602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25">
      <c r="B35" s="2" t="s">
        <v>31</v>
      </c>
      <c r="C35" s="8"/>
      <c r="D35" s="8"/>
      <c r="E35" s="8"/>
      <c r="F35" s="8"/>
      <c r="G35" s="8"/>
      <c r="H35" s="8">
        <f>97586+47185</f>
        <v>144771</v>
      </c>
      <c r="I35" s="8">
        <f>97873+45407</f>
        <v>143280</v>
      </c>
      <c r="J35" s="8">
        <f>97873+43034</f>
        <v>140907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25">
      <c r="B36" s="2" t="s">
        <v>30</v>
      </c>
      <c r="C36" s="8"/>
      <c r="D36" s="8"/>
      <c r="E36" s="8"/>
      <c r="F36" s="8"/>
      <c r="G36" s="8"/>
      <c r="H36" s="8">
        <v>3245</v>
      </c>
      <c r="I36" s="8">
        <v>3961</v>
      </c>
      <c r="J36" s="8">
        <v>4510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25">
      <c r="B37" s="2" t="s">
        <v>32</v>
      </c>
      <c r="C37" s="8"/>
      <c r="D37" s="8"/>
      <c r="E37" s="8"/>
      <c r="F37" s="8"/>
      <c r="G37" s="8"/>
      <c r="H37" s="8">
        <f>SUM(H30:H36)</f>
        <v>177870</v>
      </c>
      <c r="I37" s="8">
        <f>SUM(I30:I36)</f>
        <v>175211</v>
      </c>
      <c r="J37" s="8">
        <f>SUM(J30:J36)</f>
        <v>167966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25">
      <c r="B39" s="2" t="s">
        <v>33</v>
      </c>
      <c r="C39" s="8"/>
      <c r="D39" s="8"/>
      <c r="E39" s="8"/>
      <c r="F39" s="8"/>
      <c r="G39" s="8"/>
      <c r="H39" s="8">
        <v>1496</v>
      </c>
      <c r="I39" s="8">
        <v>1441</v>
      </c>
      <c r="J39" s="8">
        <v>1757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25">
      <c r="B40" s="2" t="s">
        <v>34</v>
      </c>
      <c r="C40" s="8"/>
      <c r="D40" s="8"/>
      <c r="E40" s="8"/>
      <c r="F40" s="8"/>
      <c r="G40" s="8"/>
      <c r="H40" s="8">
        <v>1128</v>
      </c>
      <c r="I40" s="8">
        <v>1385</v>
      </c>
      <c r="J40" s="8">
        <v>1725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25">
      <c r="B41" s="2" t="s">
        <v>4</v>
      </c>
      <c r="C41" s="8"/>
      <c r="D41" s="8"/>
      <c r="E41" s="8"/>
      <c r="F41" s="8"/>
      <c r="G41" s="8"/>
      <c r="H41" s="8">
        <f>2433+73468</f>
        <v>75901</v>
      </c>
      <c r="I41" s="8">
        <f>2426+71590</f>
        <v>74016</v>
      </c>
      <c r="J41" s="8">
        <f>12578+66798</f>
        <v>79376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25">
      <c r="B42" s="2" t="s">
        <v>35</v>
      </c>
      <c r="C42" s="8"/>
      <c r="D42" s="8"/>
      <c r="E42" s="8"/>
      <c r="F42" s="8"/>
      <c r="G42" s="8"/>
      <c r="H42" s="8">
        <v>15312</v>
      </c>
      <c r="I42" s="8">
        <v>14919</v>
      </c>
      <c r="J42" s="8">
        <v>3161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25">
      <c r="B43" s="2" t="s">
        <v>36</v>
      </c>
      <c r="C43" s="8"/>
      <c r="D43" s="8"/>
      <c r="E43" s="8"/>
      <c r="F43" s="8"/>
      <c r="G43" s="8"/>
      <c r="H43" s="8">
        <v>13749</v>
      </c>
      <c r="I43" s="8">
        <v>13489</v>
      </c>
      <c r="J43" s="8">
        <v>16296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25">
      <c r="B44" s="2" t="s">
        <v>37</v>
      </c>
      <c r="C44" s="8"/>
      <c r="D44" s="8"/>
      <c r="E44" s="8"/>
      <c r="F44" s="8"/>
      <c r="G44" s="8"/>
      <c r="H44" s="8">
        <v>70284</v>
      </c>
      <c r="I44" s="8">
        <v>69961</v>
      </c>
      <c r="J44" s="8">
        <v>65651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25">
      <c r="B45" s="2" t="s">
        <v>38</v>
      </c>
      <c r="C45" s="8"/>
      <c r="D45" s="8"/>
      <c r="E45" s="8"/>
      <c r="F45" s="8"/>
      <c r="G45" s="8"/>
      <c r="H45" s="8">
        <f>SUM(H39:H44)</f>
        <v>177870</v>
      </c>
      <c r="I45" s="8">
        <f>SUM(I39:I44)</f>
        <v>175211</v>
      </c>
      <c r="J45" s="8">
        <f>SUM(J39:J44)</f>
        <v>167966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7" spans="2:24" x14ac:dyDescent="0.25">
      <c r="B47" t="s">
        <v>39</v>
      </c>
      <c r="H47" s="8">
        <f>+H19</f>
        <v>4158</v>
      </c>
      <c r="I47" s="8">
        <f>+I19</f>
        <v>4809</v>
      </c>
      <c r="J47" s="8">
        <f>+J19</f>
        <v>1266</v>
      </c>
    </row>
    <row r="48" spans="2:24" x14ac:dyDescent="0.25">
      <c r="B48" t="s">
        <v>40</v>
      </c>
      <c r="H48" s="15">
        <v>1325</v>
      </c>
      <c r="I48" s="15">
        <v>2121</v>
      </c>
      <c r="J48" s="8">
        <f>1571-I48-H48</f>
        <v>-1875</v>
      </c>
    </row>
    <row r="49" spans="2:22" x14ac:dyDescent="0.25">
      <c r="B49" t="s">
        <v>41</v>
      </c>
      <c r="H49" s="8">
        <v>2206</v>
      </c>
      <c r="I49" s="8">
        <v>2381</v>
      </c>
      <c r="J49" s="8">
        <f>6962-I49-H49</f>
        <v>2375</v>
      </c>
    </row>
    <row r="50" spans="2:22" x14ac:dyDescent="0.25">
      <c r="B50" t="s">
        <v>43</v>
      </c>
      <c r="H50" s="8">
        <v>139</v>
      </c>
      <c r="I50" s="8">
        <v>149</v>
      </c>
      <c r="J50" s="8">
        <f>437-I50-H50</f>
        <v>149</v>
      </c>
    </row>
    <row r="51" spans="2:22" x14ac:dyDescent="0.25">
      <c r="B51" t="s">
        <v>42</v>
      </c>
      <c r="H51" s="8">
        <v>1582</v>
      </c>
      <c r="I51" s="8">
        <v>1457</v>
      </c>
      <c r="J51" s="8">
        <f>4427-I51-H51</f>
        <v>1388</v>
      </c>
    </row>
    <row r="52" spans="2:22" x14ac:dyDescent="0.25">
      <c r="B52" t="s">
        <v>46</v>
      </c>
      <c r="H52" s="8">
        <v>-294</v>
      </c>
      <c r="I52" s="8">
        <v>-511</v>
      </c>
      <c r="J52" s="8">
        <f>2833-I52-H52</f>
        <v>3638</v>
      </c>
    </row>
    <row r="53" spans="2:22" x14ac:dyDescent="0.25">
      <c r="B53" t="s">
        <v>47</v>
      </c>
      <c r="H53" s="8">
        <v>102</v>
      </c>
      <c r="I53" s="8">
        <v>119</v>
      </c>
      <c r="J53" s="8">
        <f>336-I53-H53</f>
        <v>115</v>
      </c>
    </row>
    <row r="54" spans="2:22" x14ac:dyDescent="0.25">
      <c r="B54" t="s">
        <v>48</v>
      </c>
      <c r="H54" s="8">
        <v>38</v>
      </c>
      <c r="I54" s="8">
        <v>92</v>
      </c>
      <c r="J54" s="8">
        <f>266+105-I54-H54</f>
        <v>241</v>
      </c>
    </row>
    <row r="55" spans="2:22" x14ac:dyDescent="0.25">
      <c r="B55" t="s">
        <v>45</v>
      </c>
      <c r="H55" s="8">
        <f>1756-14-74-660-2182+891</f>
        <v>-283</v>
      </c>
      <c r="I55" s="8">
        <f>-513+82-93+251-386-569</f>
        <v>-1228</v>
      </c>
      <c r="J55" s="8">
        <f>2078+16+206-118-3913-848-I55-H55</f>
        <v>-1068</v>
      </c>
    </row>
    <row r="56" spans="2:22" ht="13" x14ac:dyDescent="0.3">
      <c r="B56" t="s">
        <v>44</v>
      </c>
      <c r="H56" s="10">
        <f>SUM(H48:H55)</f>
        <v>4815</v>
      </c>
      <c r="I56" s="10">
        <f>SUM(I48:I55)</f>
        <v>4580</v>
      </c>
      <c r="J56" s="10">
        <f>SUM(J48:J55)</f>
        <v>4963</v>
      </c>
      <c r="T56" s="10">
        <v>13764</v>
      </c>
      <c r="U56" s="10">
        <v>16736</v>
      </c>
      <c r="V56" s="10">
        <v>18085</v>
      </c>
    </row>
    <row r="70" spans="2:7" x14ac:dyDescent="0.25">
      <c r="B70" t="s">
        <v>65</v>
      </c>
      <c r="G70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2024-07-31T16:37:40Z</dcterms:created>
  <dcterms:modified xsi:type="dcterms:W3CDTF">2024-10-16T23:09:10Z</dcterms:modified>
</cp:coreProperties>
</file>