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67EC90-09EB-4808-B1E3-A97CEB464F29}" xr6:coauthVersionLast="47" xr6:coauthVersionMax="47" xr10:uidLastSave="{00000000-0000-0000-0000-000000000000}"/>
  <bookViews>
    <workbookView xWindow="-51690" yWindow="795" windowWidth="23760" windowHeight="19950" activeTab="1" xr2:uid="{7CBEE6B4-8223-452C-B8C6-1EC2B28F2C97}"/>
  </bookViews>
  <sheets>
    <sheet name="Main" sheetId="1" r:id="rId1"/>
    <sheet name="Model" sheetId="2" r:id="rId2"/>
    <sheet name="Leqemb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8" i="2" l="1"/>
  <c r="AD38" i="2"/>
  <c r="AE46" i="2"/>
  <c r="AE39" i="2"/>
  <c r="AE40" i="2" s="1"/>
  <c r="AE37" i="2"/>
  <c r="AE34" i="2"/>
  <c r="AE35" i="2" s="1"/>
  <c r="AD34" i="2"/>
  <c r="AE31" i="2"/>
  <c r="AC29" i="2"/>
  <c r="AB29" i="2"/>
  <c r="AH46" i="2"/>
  <c r="AI44" i="2"/>
  <c r="AH36" i="2"/>
  <c r="AG36" i="2"/>
  <c r="AF36" i="2"/>
  <c r="AF38" i="2"/>
  <c r="AF34" i="2"/>
  <c r="AG38" i="2"/>
  <c r="AG34" i="2"/>
  <c r="AH38" i="2"/>
  <c r="AH37" i="2"/>
  <c r="AH34" i="2"/>
  <c r="AH35" i="2" s="1"/>
  <c r="AH31" i="2"/>
  <c r="AH24" i="2"/>
  <c r="AH29" i="2" s="1"/>
  <c r="AG24" i="2"/>
  <c r="AG29" i="2" s="1"/>
  <c r="AH44" i="2" s="1"/>
  <c r="AF24" i="2"/>
  <c r="AF29" i="2" s="1"/>
  <c r="AE24" i="2"/>
  <c r="AE29" i="2" s="1"/>
  <c r="AD24" i="2"/>
  <c r="AD29" i="2" s="1"/>
  <c r="AE44" i="2" s="1"/>
  <c r="AN23" i="2"/>
  <c r="AN21" i="2"/>
  <c r="AM26" i="2"/>
  <c r="AM25" i="2"/>
  <c r="AM23" i="2"/>
  <c r="AM22" i="2"/>
  <c r="AM21" i="2"/>
  <c r="AM20" i="2"/>
  <c r="AM19" i="2"/>
  <c r="AM18" i="2"/>
  <c r="AM17" i="2"/>
  <c r="AM13" i="2"/>
  <c r="AM12" i="2"/>
  <c r="AM11" i="2"/>
  <c r="AM10" i="2"/>
  <c r="AM9" i="2"/>
  <c r="AM8" i="2"/>
  <c r="AM7" i="2"/>
  <c r="AM6" i="2"/>
  <c r="AM5" i="2"/>
  <c r="AM4" i="2"/>
  <c r="AM3" i="2"/>
  <c r="V33" i="2"/>
  <c r="V34" i="2" s="1"/>
  <c r="U33" i="2"/>
  <c r="V32" i="2"/>
  <c r="U32" i="2"/>
  <c r="U36" i="2"/>
  <c r="V36" i="2" s="1"/>
  <c r="U41" i="2"/>
  <c r="V41" i="2" s="1"/>
  <c r="U34" i="2"/>
  <c r="V28" i="2"/>
  <c r="U28" i="2"/>
  <c r="V27" i="2"/>
  <c r="U27" i="2"/>
  <c r="V26" i="2"/>
  <c r="U26" i="2"/>
  <c r="AN26" i="2" s="1"/>
  <c r="V25" i="2"/>
  <c r="U25" i="2"/>
  <c r="AN25" i="2" s="1"/>
  <c r="U22" i="2"/>
  <c r="V22" i="2" s="1"/>
  <c r="U20" i="2"/>
  <c r="V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U19" i="2"/>
  <c r="V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U18" i="2"/>
  <c r="V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V17" i="2"/>
  <c r="U17" i="2"/>
  <c r="AN17" i="2" s="1"/>
  <c r="V13" i="2"/>
  <c r="U13" i="2"/>
  <c r="AN13" i="2" s="1"/>
  <c r="V12" i="2"/>
  <c r="U12" i="2"/>
  <c r="U11" i="2"/>
  <c r="U10" i="2"/>
  <c r="V9" i="2"/>
  <c r="U9" i="2"/>
  <c r="V8" i="2"/>
  <c r="U8" i="2"/>
  <c r="AN8" i="2" s="1"/>
  <c r="V7" i="2"/>
  <c r="U7" i="2"/>
  <c r="AN7" i="2" s="1"/>
  <c r="V6" i="2"/>
  <c r="U6" i="2"/>
  <c r="V5" i="2"/>
  <c r="U5" i="2"/>
  <c r="U4" i="2"/>
  <c r="U3" i="2"/>
  <c r="G9" i="3"/>
  <c r="H9" i="3" s="1"/>
  <c r="P28" i="2"/>
  <c r="Q28" i="2"/>
  <c r="Q24" i="2"/>
  <c r="R28" i="2"/>
  <c r="S34" i="2"/>
  <c r="S28" i="2"/>
  <c r="T68" i="2"/>
  <c r="S68" i="2"/>
  <c r="R68" i="2"/>
  <c r="Q68" i="2"/>
  <c r="P68" i="2"/>
  <c r="S58" i="2"/>
  <c r="R58" i="2"/>
  <c r="Q58" i="2"/>
  <c r="P58" i="2"/>
  <c r="T56" i="2"/>
  <c r="T49" i="2"/>
  <c r="T58" i="2" s="1"/>
  <c r="T34" i="2"/>
  <c r="T28" i="2"/>
  <c r="S24" i="2"/>
  <c r="T24" i="2"/>
  <c r="T29" i="2" s="1"/>
  <c r="T31" i="2" s="1"/>
  <c r="L63" i="2"/>
  <c r="L68" i="2" s="1"/>
  <c r="L56" i="2"/>
  <c r="L49" i="2"/>
  <c r="M27" i="2"/>
  <c r="N68" i="2"/>
  <c r="N49" i="2"/>
  <c r="N48" i="2" s="1"/>
  <c r="N56" i="2"/>
  <c r="N27" i="2"/>
  <c r="O68" i="2"/>
  <c r="O56" i="2"/>
  <c r="O49" i="2"/>
  <c r="R34" i="2"/>
  <c r="Q34" i="2"/>
  <c r="P34" i="2"/>
  <c r="O34" i="2"/>
  <c r="O27" i="2"/>
  <c r="AM27" i="2" s="1"/>
  <c r="O24" i="2"/>
  <c r="O29" i="2" s="1"/>
  <c r="O31" i="2" s="1"/>
  <c r="AI38" i="2"/>
  <c r="AJ38" i="2"/>
  <c r="AJ36" i="2"/>
  <c r="AI36" i="2"/>
  <c r="AJ34" i="2"/>
  <c r="AI34" i="2"/>
  <c r="AJ6" i="2"/>
  <c r="AI6" i="2"/>
  <c r="AJ5" i="2"/>
  <c r="AI5" i="2"/>
  <c r="AI3" i="2"/>
  <c r="AJ3" i="2"/>
  <c r="M60" i="2"/>
  <c r="M68" i="2" s="1"/>
  <c r="M49" i="2"/>
  <c r="M56" i="2"/>
  <c r="M36" i="2"/>
  <c r="AL25" i="2"/>
  <c r="AQ22" i="2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AK41" i="2"/>
  <c r="AK33" i="2"/>
  <c r="AL32" i="2"/>
  <c r="AK32" i="2"/>
  <c r="AK30" i="2"/>
  <c r="AK28" i="2"/>
  <c r="AK27" i="2"/>
  <c r="AK26" i="2"/>
  <c r="AK25" i="2"/>
  <c r="AK23" i="2"/>
  <c r="AK21" i="2"/>
  <c r="AK17" i="2"/>
  <c r="AK13" i="2"/>
  <c r="AK12" i="2"/>
  <c r="AK9" i="2"/>
  <c r="AK8" i="2"/>
  <c r="AK7" i="2"/>
  <c r="AK6" i="2"/>
  <c r="AK5" i="2"/>
  <c r="AK4" i="2"/>
  <c r="AK3" i="2"/>
  <c r="AL26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M34" i="2"/>
  <c r="AL28" i="2"/>
  <c r="AL23" i="2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AL21" i="2"/>
  <c r="AL18" i="2"/>
  <c r="AL12" i="2"/>
  <c r="AL9" i="2"/>
  <c r="AL7" i="2"/>
  <c r="AL5" i="2"/>
  <c r="E38" i="2"/>
  <c r="E36" i="2"/>
  <c r="E34" i="2"/>
  <c r="I38" i="2"/>
  <c r="I36" i="2"/>
  <c r="I34" i="2"/>
  <c r="E24" i="2"/>
  <c r="E29" i="2" s="1"/>
  <c r="E31" i="2" s="1"/>
  <c r="E46" i="2" s="1"/>
  <c r="F38" i="2"/>
  <c r="F36" i="2"/>
  <c r="F34" i="2"/>
  <c r="J38" i="2"/>
  <c r="J36" i="2"/>
  <c r="J34" i="2"/>
  <c r="F24" i="2"/>
  <c r="F29" i="2" s="1"/>
  <c r="F31" i="2" s="1"/>
  <c r="G38" i="2"/>
  <c r="G36" i="2"/>
  <c r="G34" i="2"/>
  <c r="K38" i="2"/>
  <c r="K36" i="2"/>
  <c r="K34" i="2"/>
  <c r="G24" i="2"/>
  <c r="H38" i="2"/>
  <c r="L38" i="2"/>
  <c r="H34" i="2"/>
  <c r="L34" i="2"/>
  <c r="L24" i="2"/>
  <c r="L29" i="2" s="1"/>
  <c r="L31" i="2" s="1"/>
  <c r="K24" i="2"/>
  <c r="J24" i="2"/>
  <c r="J29" i="2" s="1"/>
  <c r="I24" i="2"/>
  <c r="I29" i="2" s="1"/>
  <c r="H24" i="2"/>
  <c r="H29" i="2" s="1"/>
  <c r="H31" i="2" s="1"/>
  <c r="H46" i="2" s="1"/>
  <c r="J4" i="1"/>
  <c r="AD31" i="2" l="1"/>
  <c r="AD46" i="2" s="1"/>
  <c r="AD44" i="2"/>
  <c r="AD35" i="2"/>
  <c r="AD37" i="2" s="1"/>
  <c r="AD39" i="2" s="1"/>
  <c r="AD40" i="2" s="1"/>
  <c r="AG44" i="2"/>
  <c r="AG31" i="2"/>
  <c r="AG46" i="2" s="1"/>
  <c r="AF31" i="2"/>
  <c r="AF46" i="2" s="1"/>
  <c r="AF44" i="2"/>
  <c r="AG35" i="2"/>
  <c r="AG37" i="2" s="1"/>
  <c r="AG39" i="2" s="1"/>
  <c r="AG40" i="2" s="1"/>
  <c r="AH39" i="2"/>
  <c r="AH40" i="2" s="1"/>
  <c r="AN27" i="2"/>
  <c r="AN12" i="2"/>
  <c r="AN6" i="2"/>
  <c r="AN28" i="2"/>
  <c r="T35" i="2"/>
  <c r="T37" i="2" s="1"/>
  <c r="T39" i="2" s="1"/>
  <c r="T40" i="2" s="1"/>
  <c r="AN5" i="2"/>
  <c r="AM28" i="2"/>
  <c r="AN9" i="2"/>
  <c r="V3" i="2"/>
  <c r="AN3" i="2" s="1"/>
  <c r="AN22" i="2"/>
  <c r="V4" i="2"/>
  <c r="AN4" i="2" s="1"/>
  <c r="AO4" i="2" s="1"/>
  <c r="V10" i="2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T46" i="2"/>
  <c r="V11" i="2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S29" i="2"/>
  <c r="AO26" i="2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AO28" i="2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AO21" i="2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AO25" i="2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AO9" i="2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AO12" i="2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AO5" i="2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AO7" i="2"/>
  <c r="AP7" i="2" s="1"/>
  <c r="AQ7" i="2" s="1"/>
  <c r="AR7" i="2" s="1"/>
  <c r="V24" i="2"/>
  <c r="U24" i="2"/>
  <c r="S45" i="2"/>
  <c r="O58" i="2"/>
  <c r="O45" i="2"/>
  <c r="N58" i="2"/>
  <c r="L58" i="2"/>
  <c r="O48" i="2"/>
  <c r="L48" i="2"/>
  <c r="R24" i="2"/>
  <c r="P24" i="2"/>
  <c r="L45" i="2"/>
  <c r="O35" i="2"/>
  <c r="O37" i="2" s="1"/>
  <c r="AI24" i="2"/>
  <c r="AI29" i="2" s="1"/>
  <c r="AI31" i="2" s="1"/>
  <c r="AI46" i="2" s="1"/>
  <c r="K45" i="2"/>
  <c r="J45" i="2"/>
  <c r="M58" i="2"/>
  <c r="M48" i="2"/>
  <c r="AJ24" i="2"/>
  <c r="AJ29" i="2" s="1"/>
  <c r="O46" i="2"/>
  <c r="AL36" i="2"/>
  <c r="J7" i="1"/>
  <c r="L35" i="2"/>
  <c r="L37" i="2" s="1"/>
  <c r="AK36" i="2"/>
  <c r="AK24" i="2"/>
  <c r="AK29" i="2" s="1"/>
  <c r="AK34" i="2"/>
  <c r="AL13" i="2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AL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AK38" i="2"/>
  <c r="F35" i="2"/>
  <c r="F37" i="2" s="1"/>
  <c r="F39" i="2" s="1"/>
  <c r="F40" i="2" s="1"/>
  <c r="F46" i="2"/>
  <c r="I44" i="2"/>
  <c r="J44" i="2"/>
  <c r="J31" i="2"/>
  <c r="N34" i="2"/>
  <c r="AL33" i="2"/>
  <c r="AM33" i="2" s="1"/>
  <c r="M24" i="2"/>
  <c r="M29" i="2" s="1"/>
  <c r="AL3" i="2"/>
  <c r="G29" i="2"/>
  <c r="G31" i="2" s="1"/>
  <c r="AL8" i="2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K29" i="2"/>
  <c r="O44" i="2" s="1"/>
  <c r="AL6" i="2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AL41" i="2"/>
  <c r="AM41" i="2" s="1"/>
  <c r="AN41" i="2" s="1"/>
  <c r="AO41" i="2" s="1"/>
  <c r="I31" i="2"/>
  <c r="I46" i="2" s="1"/>
  <c r="AL27" i="2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E35" i="2"/>
  <c r="E37" i="2" s="1"/>
  <c r="E39" i="2" s="1"/>
  <c r="E40" i="2" s="1"/>
  <c r="I35" i="2"/>
  <c r="I37" i="2" s="1"/>
  <c r="I39" i="2" s="1"/>
  <c r="I40" i="2" s="1"/>
  <c r="L44" i="2"/>
  <c r="L46" i="2"/>
  <c r="H35" i="2"/>
  <c r="H37" i="2" s="1"/>
  <c r="H39" i="2" s="1"/>
  <c r="H40" i="2" s="1"/>
  <c r="AF35" i="2" l="1"/>
  <c r="AF37" i="2" s="1"/>
  <c r="AF39" i="2" s="1"/>
  <c r="AF40" i="2" s="1"/>
  <c r="V29" i="2"/>
  <c r="V45" i="2"/>
  <c r="U29" i="2"/>
  <c r="U45" i="2"/>
  <c r="S44" i="2"/>
  <c r="S31" i="2"/>
  <c r="P29" i="2"/>
  <c r="P44" i="2" s="1"/>
  <c r="T45" i="2"/>
  <c r="R29" i="2"/>
  <c r="Q29" i="2"/>
  <c r="AI35" i="2"/>
  <c r="AI37" i="2" s="1"/>
  <c r="AI39" i="2" s="1"/>
  <c r="AI40" i="2" s="1"/>
  <c r="AJ44" i="2"/>
  <c r="AJ31" i="2"/>
  <c r="Q45" i="2"/>
  <c r="P45" i="2"/>
  <c r="M45" i="2"/>
  <c r="L39" i="2"/>
  <c r="L40" i="2" s="1"/>
  <c r="AK31" i="2"/>
  <c r="AK44" i="2"/>
  <c r="M31" i="2"/>
  <c r="M44" i="2"/>
  <c r="AL34" i="2"/>
  <c r="AN33" i="2"/>
  <c r="AM34" i="2"/>
  <c r="N24" i="2"/>
  <c r="AP41" i="2"/>
  <c r="AS7" i="2"/>
  <c r="G35" i="2"/>
  <c r="G37" i="2" s="1"/>
  <c r="G39" i="2" s="1"/>
  <c r="G40" i="2" s="1"/>
  <c r="G46" i="2"/>
  <c r="AL4" i="2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J35" i="2"/>
  <c r="J37" i="2" s="1"/>
  <c r="J39" i="2" s="1"/>
  <c r="J40" i="2" s="1"/>
  <c r="J46" i="2"/>
  <c r="K44" i="2"/>
  <c r="K31" i="2"/>
  <c r="S35" i="2" l="1"/>
  <c r="S37" i="2" s="1"/>
  <c r="S39" i="2" s="1"/>
  <c r="S40" i="2" s="1"/>
  <c r="S46" i="2"/>
  <c r="U31" i="2"/>
  <c r="U30" i="2"/>
  <c r="U44" i="2"/>
  <c r="V31" i="2"/>
  <c r="V44" i="2"/>
  <c r="P31" i="2"/>
  <c r="T44" i="2"/>
  <c r="R31" i="2"/>
  <c r="R46" i="2" s="1"/>
  <c r="Q31" i="2"/>
  <c r="Q44" i="2"/>
  <c r="N29" i="2"/>
  <c r="R45" i="2"/>
  <c r="AJ46" i="2"/>
  <c r="AJ35" i="2"/>
  <c r="AJ37" i="2" s="1"/>
  <c r="AJ39" i="2" s="1"/>
  <c r="AJ40" i="2" s="1"/>
  <c r="N45" i="2"/>
  <c r="O39" i="2"/>
  <c r="O40" i="2" s="1"/>
  <c r="AK35" i="2"/>
  <c r="AK37" i="2" s="1"/>
  <c r="AK39" i="2" s="1"/>
  <c r="AK40" i="2" s="1"/>
  <c r="AK46" i="2"/>
  <c r="AL24" i="2"/>
  <c r="AL29" i="2" s="1"/>
  <c r="AL44" i="2" s="1"/>
  <c r="AM24" i="2"/>
  <c r="AM29" i="2" s="1"/>
  <c r="AO33" i="2"/>
  <c r="AN34" i="2"/>
  <c r="AQ41" i="2"/>
  <c r="AT7" i="2"/>
  <c r="M46" i="2"/>
  <c r="M35" i="2"/>
  <c r="M37" i="2" s="1"/>
  <c r="M39" i="2" s="1"/>
  <c r="M40" i="2" s="1"/>
  <c r="K35" i="2"/>
  <c r="K37" i="2" s="1"/>
  <c r="K39" i="2" s="1"/>
  <c r="K40" i="2" s="1"/>
  <c r="K46" i="2"/>
  <c r="R35" i="2" l="1"/>
  <c r="R37" i="2" s="1"/>
  <c r="V46" i="2"/>
  <c r="V35" i="2"/>
  <c r="V37" i="2" s="1"/>
  <c r="V38" i="2" s="1"/>
  <c r="V39" i="2" s="1"/>
  <c r="V40" i="2" s="1"/>
  <c r="V30" i="2"/>
  <c r="U46" i="2"/>
  <c r="U35" i="2"/>
  <c r="U37" i="2" s="1"/>
  <c r="U38" i="2" s="1"/>
  <c r="U39" i="2" s="1"/>
  <c r="U40" i="2" s="1"/>
  <c r="P46" i="2"/>
  <c r="P35" i="2"/>
  <c r="P37" i="2" s="1"/>
  <c r="P39" i="2" s="1"/>
  <c r="P40" i="2" s="1"/>
  <c r="Q46" i="2"/>
  <c r="Q35" i="2"/>
  <c r="Q37" i="2" s="1"/>
  <c r="N31" i="2"/>
  <c r="N46" i="2" s="1"/>
  <c r="R44" i="2"/>
  <c r="N44" i="2"/>
  <c r="AM31" i="2"/>
  <c r="AM46" i="2" s="1"/>
  <c r="AM44" i="2"/>
  <c r="AP33" i="2"/>
  <c r="AO34" i="2"/>
  <c r="AO3" i="2"/>
  <c r="AN24" i="2"/>
  <c r="AN29" i="2" s="1"/>
  <c r="AR41" i="2"/>
  <c r="AU7" i="2"/>
  <c r="AL30" i="2"/>
  <c r="AL31" i="2" s="1"/>
  <c r="N35" i="2" l="1"/>
  <c r="N37" i="2" s="1"/>
  <c r="AL38" i="2" s="1"/>
  <c r="AM35" i="2"/>
  <c r="AM37" i="2" s="1"/>
  <c r="AM38" i="2" s="1"/>
  <c r="AM39" i="2" s="1"/>
  <c r="AM40" i="2" s="1"/>
  <c r="AM30" i="2"/>
  <c r="R39" i="2"/>
  <c r="R40" i="2" s="1"/>
  <c r="Q39" i="2"/>
  <c r="Q40" i="2" s="1"/>
  <c r="AL35" i="2"/>
  <c r="AL37" i="2" s="1"/>
  <c r="AL46" i="2"/>
  <c r="AN31" i="2"/>
  <c r="AN46" i="2" s="1"/>
  <c r="AN44" i="2"/>
  <c r="AP3" i="2"/>
  <c r="AO24" i="2"/>
  <c r="AO29" i="2" s="1"/>
  <c r="AQ33" i="2"/>
  <c r="AP34" i="2"/>
  <c r="AS41" i="2"/>
  <c r="AV7" i="2"/>
  <c r="AN30" i="2" l="1"/>
  <c r="AN35" i="2"/>
  <c r="AN37" i="2" s="1"/>
  <c r="AN38" i="2" s="1"/>
  <c r="AN39" i="2" s="1"/>
  <c r="AN40" i="2" s="1"/>
  <c r="AL39" i="2"/>
  <c r="AL40" i="2" s="1"/>
  <c r="N39" i="2"/>
  <c r="N40" i="2" s="1"/>
  <c r="AO31" i="2"/>
  <c r="AO35" i="2" s="1"/>
  <c r="AO37" i="2" s="1"/>
  <c r="AO38" i="2" s="1"/>
  <c r="AO39" i="2" s="1"/>
  <c r="AO44" i="2"/>
  <c r="AR33" i="2"/>
  <c r="AQ34" i="2"/>
  <c r="AQ3" i="2"/>
  <c r="AP24" i="2"/>
  <c r="AP29" i="2" s="1"/>
  <c r="AT41" i="2"/>
  <c r="AW7" i="2"/>
  <c r="AO40" i="2" l="1"/>
  <c r="AP31" i="2"/>
  <c r="AP35" i="2" s="1"/>
  <c r="AP37" i="2" s="1"/>
  <c r="AP44" i="2"/>
  <c r="AO30" i="2"/>
  <c r="AO46" i="2"/>
  <c r="AR3" i="2"/>
  <c r="AQ24" i="2"/>
  <c r="AQ29" i="2" s="1"/>
  <c r="AS33" i="2"/>
  <c r="AR34" i="2"/>
  <c r="AU41" i="2"/>
  <c r="AX7" i="2"/>
  <c r="AQ31" i="2" l="1"/>
  <c r="AQ35" i="2" s="1"/>
  <c r="AQ37" i="2" s="1"/>
  <c r="AQ38" i="2" s="1"/>
  <c r="AQ39" i="2" s="1"/>
  <c r="AQ40" i="2" s="1"/>
  <c r="AQ44" i="2"/>
  <c r="AP30" i="2"/>
  <c r="AP46" i="2"/>
  <c r="AP38" i="2"/>
  <c r="AP39" i="2" s="1"/>
  <c r="AS34" i="2"/>
  <c r="AT33" i="2"/>
  <c r="AS3" i="2"/>
  <c r="AR24" i="2"/>
  <c r="AR29" i="2" s="1"/>
  <c r="AV41" i="2"/>
  <c r="AY7" i="2"/>
  <c r="AP40" i="2" l="1"/>
  <c r="AR31" i="2"/>
  <c r="AR35" i="2" s="1"/>
  <c r="AR37" i="2" s="1"/>
  <c r="AR38" i="2" s="1"/>
  <c r="AR39" i="2" s="1"/>
  <c r="AR40" i="2" s="1"/>
  <c r="AR44" i="2"/>
  <c r="AQ30" i="2"/>
  <c r="AQ46" i="2"/>
  <c r="AU33" i="2"/>
  <c r="AT34" i="2"/>
  <c r="AT3" i="2"/>
  <c r="AS24" i="2"/>
  <c r="AS29" i="2" s="1"/>
  <c r="AW41" i="2"/>
  <c r="AZ7" i="2"/>
  <c r="AS31" i="2" l="1"/>
  <c r="AS35" i="2" s="1"/>
  <c r="AS37" i="2" s="1"/>
  <c r="AS38" i="2" s="1"/>
  <c r="AS39" i="2" s="1"/>
  <c r="AS40" i="2" s="1"/>
  <c r="AS44" i="2"/>
  <c r="AR30" i="2"/>
  <c r="AR46" i="2"/>
  <c r="AU3" i="2"/>
  <c r="AT24" i="2"/>
  <c r="AT29" i="2" s="1"/>
  <c r="AV33" i="2"/>
  <c r="AU34" i="2"/>
  <c r="AX41" i="2"/>
  <c r="BA7" i="2"/>
  <c r="AT31" i="2" l="1"/>
  <c r="AT35" i="2" s="1"/>
  <c r="AT37" i="2" s="1"/>
  <c r="AT38" i="2" s="1"/>
  <c r="AT39" i="2" s="1"/>
  <c r="AT40" i="2" s="1"/>
  <c r="AT44" i="2"/>
  <c r="AS30" i="2"/>
  <c r="AS46" i="2"/>
  <c r="AW33" i="2"/>
  <c r="AV34" i="2"/>
  <c r="AV3" i="2"/>
  <c r="AU24" i="2"/>
  <c r="AU29" i="2" s="1"/>
  <c r="AY41" i="2"/>
  <c r="BB7" i="2"/>
  <c r="AU31" i="2" l="1"/>
  <c r="AU35" i="2" s="1"/>
  <c r="AU37" i="2" s="1"/>
  <c r="AU38" i="2" s="1"/>
  <c r="AU39" i="2" s="1"/>
  <c r="AU44" i="2"/>
  <c r="AT30" i="2"/>
  <c r="AT46" i="2"/>
  <c r="AW3" i="2"/>
  <c r="AV24" i="2"/>
  <c r="AV29" i="2" s="1"/>
  <c r="AX33" i="2"/>
  <c r="AW34" i="2"/>
  <c r="AZ41" i="2"/>
  <c r="BC7" i="2"/>
  <c r="AU40" i="2" l="1"/>
  <c r="AV31" i="2"/>
  <c r="AV35" i="2" s="1"/>
  <c r="AV37" i="2" s="1"/>
  <c r="AV38" i="2" s="1"/>
  <c r="AV44" i="2"/>
  <c r="AU30" i="2"/>
  <c r="AU46" i="2"/>
  <c r="AY33" i="2"/>
  <c r="AX34" i="2"/>
  <c r="AX3" i="2"/>
  <c r="AW24" i="2"/>
  <c r="AW29" i="2" s="1"/>
  <c r="BA41" i="2"/>
  <c r="BD7" i="2"/>
  <c r="AW31" i="2" l="1"/>
  <c r="AW44" i="2"/>
  <c r="AV30" i="2"/>
  <c r="AV46" i="2"/>
  <c r="AV39" i="2"/>
  <c r="AV40" i="2" s="1"/>
  <c r="AY3" i="2"/>
  <c r="AX24" i="2"/>
  <c r="AX29" i="2" s="1"/>
  <c r="AY34" i="2"/>
  <c r="AZ33" i="2"/>
  <c r="AW35" i="2"/>
  <c r="AW37" i="2" s="1"/>
  <c r="BB41" i="2"/>
  <c r="AX31" i="2" l="1"/>
  <c r="AX35" i="2" s="1"/>
  <c r="AX37" i="2" s="1"/>
  <c r="AX38" i="2" s="1"/>
  <c r="AX39" i="2" s="1"/>
  <c r="AX40" i="2" s="1"/>
  <c r="AX44" i="2"/>
  <c r="AW30" i="2"/>
  <c r="AW46" i="2"/>
  <c r="AW38" i="2"/>
  <c r="AW39" i="2" s="1"/>
  <c r="AW40" i="2" s="1"/>
  <c r="BA33" i="2"/>
  <c r="AZ34" i="2"/>
  <c r="AZ3" i="2"/>
  <c r="AY24" i="2"/>
  <c r="AY29" i="2" s="1"/>
  <c r="BC41" i="2"/>
  <c r="AY31" i="2" l="1"/>
  <c r="AY44" i="2"/>
  <c r="AX30" i="2"/>
  <c r="AX46" i="2"/>
  <c r="BB33" i="2"/>
  <c r="BA34" i="2"/>
  <c r="BA3" i="2"/>
  <c r="AZ24" i="2"/>
  <c r="AZ29" i="2" s="1"/>
  <c r="AY35" i="2"/>
  <c r="AY37" i="2" s="1"/>
  <c r="AY38" i="2" s="1"/>
  <c r="AY39" i="2" s="1"/>
  <c r="AY40" i="2" s="1"/>
  <c r="BD41" i="2"/>
  <c r="AZ31" i="2" l="1"/>
  <c r="AZ35" i="2" s="1"/>
  <c r="AZ37" i="2" s="1"/>
  <c r="AZ38" i="2" s="1"/>
  <c r="AZ39" i="2" s="1"/>
  <c r="AZ40" i="2" s="1"/>
  <c r="AZ44" i="2"/>
  <c r="AY30" i="2"/>
  <c r="AY46" i="2"/>
  <c r="BB3" i="2"/>
  <c r="BA24" i="2"/>
  <c r="BA29" i="2" s="1"/>
  <c r="BA44" i="2" s="1"/>
  <c r="BC33" i="2"/>
  <c r="BB34" i="2"/>
  <c r="AZ30" i="2" l="1"/>
  <c r="AZ46" i="2"/>
  <c r="BD33" i="2"/>
  <c r="BD34" i="2" s="1"/>
  <c r="BC34" i="2"/>
  <c r="BA31" i="2"/>
  <c r="BC3" i="2"/>
  <c r="BB24" i="2"/>
  <c r="BB29" i="2" s="1"/>
  <c r="BB31" i="2" l="1"/>
  <c r="BB35" i="2" s="1"/>
  <c r="BB37" i="2" s="1"/>
  <c r="BB44" i="2"/>
  <c r="BA35" i="2"/>
  <c r="BA37" i="2" s="1"/>
  <c r="BA38" i="2" s="1"/>
  <c r="BA39" i="2" s="1"/>
  <c r="BA40" i="2" s="1"/>
  <c r="BA46" i="2"/>
  <c r="BA30" i="2"/>
  <c r="BD3" i="2"/>
  <c r="BD24" i="2" s="1"/>
  <c r="BD29" i="2" s="1"/>
  <c r="BC24" i="2"/>
  <c r="BC29" i="2" s="1"/>
  <c r="BC44" i="2" s="1"/>
  <c r="BD31" i="2" l="1"/>
  <c r="BD35" i="2" s="1"/>
  <c r="BD37" i="2" s="1"/>
  <c r="BD38" i="2" s="1"/>
  <c r="BD39" i="2" s="1"/>
  <c r="BD44" i="2"/>
  <c r="BB30" i="2"/>
  <c r="BB46" i="2"/>
  <c r="BB38" i="2"/>
  <c r="BB39" i="2" s="1"/>
  <c r="BB40" i="2" s="1"/>
  <c r="BC31" i="2"/>
  <c r="BC35" i="2" l="1"/>
  <c r="BC37" i="2" s="1"/>
  <c r="BC38" i="2" s="1"/>
  <c r="BC39" i="2" s="1"/>
  <c r="BG44" i="2" s="1"/>
  <c r="BG45" i="2" s="1"/>
  <c r="BC46" i="2"/>
  <c r="BD30" i="2"/>
  <c r="BD46" i="2"/>
  <c r="BC30" i="2"/>
  <c r="BD40" i="2"/>
  <c r="BC40" i="2" l="1"/>
</calcChain>
</file>

<file path=xl/sharedStrings.xml><?xml version="1.0" encoding="utf-8"?>
<sst xmlns="http://schemas.openxmlformats.org/spreadsheetml/2006/main" count="202" uniqueCount="175">
  <si>
    <t>Price</t>
  </si>
  <si>
    <t>Shares</t>
  </si>
  <si>
    <t>MC</t>
  </si>
  <si>
    <t>Cash</t>
  </si>
  <si>
    <t>Debt</t>
  </si>
  <si>
    <t>EV</t>
  </si>
  <si>
    <t>Brand</t>
  </si>
  <si>
    <t>Q222</t>
  </si>
  <si>
    <t>Avonex</t>
  </si>
  <si>
    <t>Tecfidera</t>
  </si>
  <si>
    <t>Indication</t>
  </si>
  <si>
    <t>MOA</t>
  </si>
  <si>
    <t>Approval</t>
  </si>
  <si>
    <t>Economics</t>
  </si>
  <si>
    <t>IP</t>
  </si>
  <si>
    <t>Alzheimer's</t>
  </si>
  <si>
    <t>Multiple Sclerosis</t>
  </si>
  <si>
    <t>litifilimab</t>
  </si>
  <si>
    <t>CLE</t>
  </si>
  <si>
    <t>BIIB122</t>
  </si>
  <si>
    <t>Parkinson's</t>
  </si>
  <si>
    <t>DNLI</t>
  </si>
  <si>
    <t>BIIB800 (tocilizumab)</t>
  </si>
  <si>
    <t>SAGE</t>
  </si>
  <si>
    <t>ALS</t>
  </si>
  <si>
    <t>Spinraza (nusinersen)</t>
  </si>
  <si>
    <t>SMA</t>
  </si>
  <si>
    <t>IONS</t>
  </si>
  <si>
    <t>AL01811</t>
  </si>
  <si>
    <t>GBA2 inhibitor</t>
  </si>
  <si>
    <t>Aduhelm (aducanumab)</t>
  </si>
  <si>
    <t>Vumerity (diroximel fumarate)</t>
  </si>
  <si>
    <t>Tysabri (natalizumab)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</si>
  <si>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</si>
  <si>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</si>
  <si>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</si>
  <si>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</si>
  <si>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</si>
  <si>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</si>
  <si>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</si>
  <si>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</si>
  <si>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</si>
  <si>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</si>
  <si>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</si>
  <si>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</si>
  <si>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</si>
  <si>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Vumerity</t>
  </si>
  <si>
    <t>Plegridy</t>
  </si>
  <si>
    <t>Tysabri</t>
  </si>
  <si>
    <t>Fampyra</t>
  </si>
  <si>
    <t>Spinraza</t>
  </si>
  <si>
    <t>Benepali</t>
  </si>
  <si>
    <t>Imraldi</t>
  </si>
  <si>
    <t>Flixabi</t>
  </si>
  <si>
    <t>Byooviz</t>
  </si>
  <si>
    <t>Fumaderm</t>
  </si>
  <si>
    <t>Aduhelm</t>
  </si>
  <si>
    <t>Product</t>
  </si>
  <si>
    <t>CD20</t>
  </si>
  <si>
    <t>Other</t>
  </si>
  <si>
    <t>COGS</t>
  </si>
  <si>
    <t>Gross Profit</t>
  </si>
  <si>
    <t>R&amp;D</t>
  </si>
  <si>
    <t>SG&amp;A</t>
  </si>
  <si>
    <t>OpEx</t>
  </si>
  <si>
    <t>OpInc</t>
  </si>
  <si>
    <t>Interest Income</t>
  </si>
  <si>
    <t>Pretax Income</t>
  </si>
  <si>
    <t>Taxes</t>
  </si>
  <si>
    <t>Net Income</t>
  </si>
  <si>
    <t>EPS</t>
  </si>
  <si>
    <t>Lunsumio (mosunetuzumab)</t>
  </si>
  <si>
    <t>FL</t>
  </si>
  <si>
    <t>CD20xCD3</t>
  </si>
  <si>
    <t>Ocrevus</t>
  </si>
  <si>
    <t>Rituxan/Gazyva</t>
  </si>
  <si>
    <t>Revenue y/y</t>
  </si>
  <si>
    <t>Gross Margin</t>
  </si>
  <si>
    <t>Terminal</t>
  </si>
  <si>
    <t>Discount</t>
  </si>
  <si>
    <t>NPV</t>
  </si>
  <si>
    <t>Share</t>
  </si>
  <si>
    <t>Q123</t>
  </si>
  <si>
    <t>Q223</t>
  </si>
  <si>
    <t>Q323</t>
  </si>
  <si>
    <t>Q423</t>
  </si>
  <si>
    <t>glofitamab</t>
  </si>
  <si>
    <t>Filed</t>
  </si>
  <si>
    <t>Phase</t>
  </si>
  <si>
    <t>LRRK2</t>
  </si>
  <si>
    <t>Byooviz (ranibizumab)</t>
  </si>
  <si>
    <t>AMD</t>
  </si>
  <si>
    <t>VEGF</t>
  </si>
  <si>
    <t>amyloid-beta mab</t>
  </si>
  <si>
    <t>IFN</t>
  </si>
  <si>
    <t>VLA4</t>
  </si>
  <si>
    <t>III</t>
  </si>
  <si>
    <t>II/III</t>
  </si>
  <si>
    <t>Cambridge, MA</t>
  </si>
  <si>
    <t>L+SE</t>
  </si>
  <si>
    <t>SE</t>
  </si>
  <si>
    <t>AR</t>
  </si>
  <si>
    <t>Inventory</t>
  </si>
  <si>
    <t>OCA</t>
  </si>
  <si>
    <t>PP&amp;E</t>
  </si>
  <si>
    <t>Lease</t>
  </si>
  <si>
    <t>Goodwill</t>
  </si>
  <si>
    <t>DT</t>
  </si>
  <si>
    <t>Assets</t>
  </si>
  <si>
    <t>AP</t>
  </si>
  <si>
    <t>AE</t>
  </si>
  <si>
    <t>Net Debt</t>
  </si>
  <si>
    <t>Leqembi (lecanemab)</t>
  </si>
  <si>
    <t>BIIB080</t>
  </si>
  <si>
    <t>MAPT ASO</t>
  </si>
  <si>
    <t xml:space="preserve">CEO: Chris Viehbacher replaced </t>
  </si>
  <si>
    <t>MDD</t>
  </si>
  <si>
    <t>Leqembi</t>
  </si>
  <si>
    <t>Product y/y</t>
  </si>
  <si>
    <t>OLTL</t>
  </si>
  <si>
    <t>Qalsody (tofersen)</t>
  </si>
  <si>
    <t>Qalsody</t>
  </si>
  <si>
    <t>Rheumatoid Arthritis</t>
  </si>
  <si>
    <t>IL-6</t>
  </si>
  <si>
    <t>7/6/23 full approval PDUFA</t>
  </si>
  <si>
    <t>8/5/23 PDUFA</t>
  </si>
  <si>
    <t>BIIB093 discontinued</t>
  </si>
  <si>
    <t>BIIB132 discontinued</t>
  </si>
  <si>
    <t>Q124</t>
  </si>
  <si>
    <t>Q224</t>
  </si>
  <si>
    <t>Q324</t>
  </si>
  <si>
    <t>Q424</t>
  </si>
  <si>
    <t>Founded: 1978</t>
  </si>
  <si>
    <t>Skyclarys</t>
  </si>
  <si>
    <t>Skyclarys (omaveloxolone)</t>
  </si>
  <si>
    <t>Friedreich's Ataxia</t>
  </si>
  <si>
    <t>Tofidence</t>
  </si>
  <si>
    <t>Zurzuvae</t>
  </si>
  <si>
    <t>Zurzuvae (zuranolone)</t>
  </si>
  <si>
    <t>40</t>
  </si>
  <si>
    <t>19</t>
  </si>
  <si>
    <t>2</t>
  </si>
  <si>
    <t>Leqembi, BAN2401</t>
  </si>
  <si>
    <t>Generic</t>
  </si>
  <si>
    <t>lecanemab</t>
  </si>
  <si>
    <t>anti-AB protofibril antibody. Protofibrils are 28-500mers which are still soluble.</t>
  </si>
  <si>
    <t>Clinical Trials</t>
  </si>
  <si>
    <t>Phase III "CLARITY" n=1906 early Alzheimer's - NCT03887455, full results at CTAD 11/29/22</t>
  </si>
  <si>
    <t>PE: CDR-SB at 18 months</t>
  </si>
  <si>
    <t>10mg/kg q2w, 720mg subcutaneous qw</t>
  </si>
  <si>
    <t>at 18 weeks - but what was baseline? 3.5 (donanemab) or 6.7 (donepezil)</t>
  </si>
  <si>
    <t>File for approval by 3/31/23.</t>
  </si>
  <si>
    <t>1.42/year in Aricept</t>
  </si>
  <si>
    <t>Phase III "AHEAD 3-45" n=1400 - NCT04468659</t>
  </si>
  <si>
    <t>PACC5 PE at 4 years(!!)</t>
  </si>
  <si>
    <t>Eisai JV</t>
  </si>
  <si>
    <t>-0.45 p=0.00005 at 18 months (CDR-SB, compared with placebo at 18 months by 27%, which represents a treatment difference in the score change of -0.45 (p=0.00005) in the analysis of Intent-to-treat (ITT) population.")</t>
  </si>
  <si>
    <t>n=859 lecanemab, baseline ADAS-cog14 24.45+-7.08</t>
  </si>
  <si>
    <t>n=875 placebo, baseline ADAS-cog14 24.37+-7.56</t>
  </si>
  <si>
    <t>Lecanemab in patients with early Alzheimer's disease: detailed results on biomarker, cognitive, and clinical effects from the randomized and open-label extension of the phase 2 proof-of-concept study</t>
  </si>
  <si>
    <t>Phase II "Study 201" n=856</t>
  </si>
  <si>
    <t>ADAS-cog14 baseline</t>
  </si>
  <si>
    <t>n=52 2.5mg/kg q2w 22.7+-8.1</t>
  </si>
  <si>
    <t>n=48 5.0mg/kg qm 22.9+-7.7</t>
  </si>
  <si>
    <t>n=89 5.0mg/kg q2w 22.8+-6.7</t>
  </si>
  <si>
    <t>A randomized, double-blind, phase 2b proof-of-concept clinical trial in early Alzheimer's disease with lecanemab, an anti-Aβ protofibril antibody</t>
  </si>
  <si>
    <t>n=246 10mg/kg q2w 22.1+-7.7, +2.5 at 18 months</t>
  </si>
  <si>
    <t>n=238 placebo 22.6+-7.7, +5.0 at 18 months</t>
  </si>
  <si>
    <t>n=246 10mg/kg qm 21.9+-7.3, +4.8 at 18 months</t>
  </si>
  <si>
    <t>Phase II 4 month trial</t>
  </si>
  <si>
    <t>Safety and tolerability of BAN2401--a clinical study in Alzheimer's disease with a protofibril selective Aβ antibody</t>
  </si>
  <si>
    <t>still recruiting as of 10/6/2024</t>
  </si>
  <si>
    <t>Zinbryta</t>
  </si>
  <si>
    <t>Eloctate</t>
  </si>
  <si>
    <t>Alprolix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</si>
</sst>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3" fillId="0" borderId="0" xfId="0" applyFont="1"/>
    <xf numFmtId="3" fontId="0" fillId="0" borderId="0" xfId="0" quotePrefix="1" applyNumberFormat="1" applyAlignment="1">
      <alignment horizontal="right"/>
    </xf>
    <xf numFmtId="0" fontId="4" fillId="0" borderId="0" xfId="0" applyFont="1"/>
    <xf numFmtId="0" fontId="0" fillId="0" borderId="0" xfId="0" quotePrefix="1"/>
    <xf numFmtId="3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031B99-DC9B-4149-BFC4-2899F1BF33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38967</xdr:colOff>
      <xdr:row>0</xdr:row>
      <xdr:rowOff>0</xdr:rowOff>
    </xdr:from>
    <xdr:to>
      <xdr:col>39</xdr:col>
      <xdr:colOff>38967</xdr:colOff>
      <xdr:row>82</xdr:row>
      <xdr:rowOff>130968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7A0164-871D-34D0-FCC8-B9AAC596230D}"/>
            </a:ext>
          </a:extLst>
        </xdr:cNvPr>
        <xdr:cNvCxnSpPr/>
      </xdr:nvCxnSpPr>
      <xdr:spPr>
        <a:xfrm>
          <a:off x="23803842" y="0"/>
          <a:ext cx="0" cy="13311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25982</xdr:colOff>
      <xdr:row>0</xdr:row>
      <xdr:rowOff>0</xdr:rowOff>
    </xdr:from>
    <xdr:to>
      <xdr:col>20</xdr:col>
      <xdr:colOff>25982</xdr:colOff>
      <xdr:row>79</xdr:row>
      <xdr:rowOff>130343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5D9F34-9F98-4633-80FD-32FC96B7901E}"/>
            </a:ext>
          </a:extLst>
        </xdr:cNvPr>
        <xdr:cNvCxnSpPr/>
      </xdr:nvCxnSpPr>
      <xdr:spPr>
        <a:xfrm>
          <a:off x="12333285" y="0"/>
          <a:ext cx="0" cy="123223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281559</xdr:colOff>
      <xdr:row>11</xdr:row>
      <xdr:rowOff>52691</xdr:rowOff>
    </xdr:from>
    <xdr:to>
      <xdr:col>13</xdr:col>
      <xdr:colOff>141862</xdr:colOff>
      <xdr:row>28</xdr:row>
      <xdr:rowOff>12767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E170A-3133-9BA9-9F85-E81A351B4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559" y="1836095"/>
          <a:ext cx="3508175" cy="2716246"/>
        </a:xfrm>
        <a:prstGeom prst="rect">
          <a:avLst/>
        </a:prstGeom>
      </xdr:spPr>
    </xdr:pic>
    <xdr:clientData/>
  </xdr:twoCellAnchor>
  <xdr:twoCellAnchor editAs="oneCell">
    <xdr:from>
      <xdr:col>13</xdr:col>
      <xdr:colOff>180201</xdr:colOff>
      <xdr:row>31</xdr:row>
      <xdr:rowOff>41415</xdr:rowOff>
    </xdr:from>
    <xdr:to>
      <xdr:col>18</xdr:col>
      <xdr:colOff>573890</xdr:colOff>
      <xdr:row>39</xdr:row>
      <xdr:rowOff>132523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E1EED-8854-3E85-821B-3BC152F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3527" y="5176632"/>
          <a:ext cx="3458254" cy="1416326"/>
        </a:xfrm>
        <a:prstGeom prst="rect">
          <a:avLst/>
        </a:prstGeom>
      </xdr:spPr>
    </xdr:pic>
    <xdr:clientData/>
  </xdr:twoCellAnchor>
  <xdr:twoCellAnchor editAs="oneCell">
    <xdr:from>
      <xdr:col>7</xdr:col>
      <xdr:colOff>275452</xdr:colOff>
      <xdr:row>28</xdr:row>
      <xdr:rowOff>115957</xdr:rowOff>
    </xdr:from>
    <xdr:to>
      <xdr:col>13</xdr:col>
      <xdr:colOff>198783</xdr:colOff>
      <xdr:row>45</xdr:row>
      <xdr:rowOff>6685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294A57-0E29-D0D1-1D88-9E260BCCE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1300" y="4754218"/>
          <a:ext cx="3600809" cy="270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6BA9-19F6-4D66-A355-F53C1BBA84BC}">
  <dimension ref="B2:K28"/>
  <sheetViews>
    <sheetView zoomScale="175" zoomScaleNormal="175" workbookViewId="0"/>
  </sheetViews>
  <sheetFormatPr defaultRowHeight="12.75" x14ac:dyDescent="0.2"/>
  <cols>
    <col min="1" max="1" width="3.140625" customWidth="1"/>
    <col min="2" max="2" width="26.42578125" customWidth="1"/>
    <col min="3" max="3" width="17.5703125" customWidth="1"/>
    <col min="4" max="4" width="16.140625" customWidth="1"/>
    <col min="6" max="6" width="11.42578125" customWidth="1"/>
  </cols>
  <sheetData>
    <row r="2" spans="2:11" x14ac:dyDescent="0.2">
      <c r="B2" s="8" t="s">
        <v>6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I2" t="s">
        <v>0</v>
      </c>
      <c r="J2" s="17">
        <v>186</v>
      </c>
    </row>
    <row r="3" spans="2:11" x14ac:dyDescent="0.2">
      <c r="B3" s="3" t="s">
        <v>32</v>
      </c>
      <c r="C3" t="s">
        <v>16</v>
      </c>
      <c r="D3" t="s">
        <v>95</v>
      </c>
      <c r="G3" s="4"/>
      <c r="I3" t="s">
        <v>1</v>
      </c>
      <c r="J3" s="1">
        <v>145</v>
      </c>
      <c r="K3" s="2" t="s">
        <v>129</v>
      </c>
    </row>
    <row r="4" spans="2:11" x14ac:dyDescent="0.2">
      <c r="B4" s="3" t="s">
        <v>8</v>
      </c>
      <c r="C4" t="s">
        <v>16</v>
      </c>
      <c r="D4" t="s">
        <v>94</v>
      </c>
      <c r="G4" s="4"/>
      <c r="I4" t="s">
        <v>2</v>
      </c>
      <c r="J4" s="1">
        <f>+J2*J3</f>
        <v>26970</v>
      </c>
    </row>
    <row r="5" spans="2:11" x14ac:dyDescent="0.2">
      <c r="B5" s="3" t="s">
        <v>30</v>
      </c>
      <c r="C5" t="s">
        <v>15</v>
      </c>
      <c r="D5" t="s">
        <v>93</v>
      </c>
      <c r="G5" s="4"/>
      <c r="I5" t="s">
        <v>3</v>
      </c>
      <c r="J5" s="1">
        <v>7400</v>
      </c>
      <c r="K5" s="2" t="s">
        <v>129</v>
      </c>
    </row>
    <row r="6" spans="2:11" x14ac:dyDescent="0.2">
      <c r="B6" s="3" t="s">
        <v>9</v>
      </c>
      <c r="C6" t="s">
        <v>16</v>
      </c>
      <c r="G6" s="4"/>
      <c r="I6" t="s">
        <v>4</v>
      </c>
      <c r="J6" s="1">
        <v>6283</v>
      </c>
      <c r="K6" s="2" t="s">
        <v>129</v>
      </c>
    </row>
    <row r="7" spans="2:11" x14ac:dyDescent="0.2">
      <c r="B7" s="3" t="s">
        <v>25</v>
      </c>
      <c r="C7" t="s">
        <v>26</v>
      </c>
      <c r="F7" t="s">
        <v>27</v>
      </c>
      <c r="G7" s="4"/>
      <c r="I7" t="s">
        <v>5</v>
      </c>
      <c r="J7" s="1">
        <f>+J4-J5+J6</f>
        <v>25853</v>
      </c>
    </row>
    <row r="8" spans="2:11" x14ac:dyDescent="0.2">
      <c r="B8" s="3" t="s">
        <v>31</v>
      </c>
      <c r="C8" t="s">
        <v>16</v>
      </c>
      <c r="G8" s="4"/>
      <c r="J8" s="1"/>
    </row>
    <row r="9" spans="2:11" x14ac:dyDescent="0.2">
      <c r="B9" s="3" t="s">
        <v>51</v>
      </c>
      <c r="G9" s="4"/>
      <c r="I9" t="s">
        <v>132</v>
      </c>
      <c r="J9" s="1"/>
    </row>
    <row r="10" spans="2:11" x14ac:dyDescent="0.2">
      <c r="B10" s="3" t="s">
        <v>52</v>
      </c>
      <c r="G10" s="4"/>
      <c r="J10" s="1"/>
    </row>
    <row r="11" spans="2:11" x14ac:dyDescent="0.2">
      <c r="B11" s="3" t="s">
        <v>112</v>
      </c>
      <c r="C11" t="s">
        <v>15</v>
      </c>
      <c r="D11" t="s">
        <v>93</v>
      </c>
      <c r="E11" t="s">
        <v>124</v>
      </c>
      <c r="G11" s="4"/>
      <c r="J11" s="1"/>
    </row>
    <row r="12" spans="2:11" x14ac:dyDescent="0.2">
      <c r="B12" s="3" t="s">
        <v>71</v>
      </c>
      <c r="C12" t="s">
        <v>72</v>
      </c>
      <c r="D12" t="s">
        <v>73</v>
      </c>
      <c r="G12" s="4"/>
    </row>
    <row r="13" spans="2:11" x14ac:dyDescent="0.2">
      <c r="B13" s="3" t="s">
        <v>53</v>
      </c>
      <c r="G13" s="4"/>
      <c r="J13" s="1"/>
    </row>
    <row r="14" spans="2:11" x14ac:dyDescent="0.2">
      <c r="B14" s="3" t="s">
        <v>120</v>
      </c>
      <c r="C14" t="s">
        <v>24</v>
      </c>
      <c r="E14" s="19">
        <v>45041</v>
      </c>
      <c r="F14" t="s">
        <v>27</v>
      </c>
      <c r="G14" s="4"/>
    </row>
    <row r="15" spans="2:11" x14ac:dyDescent="0.2">
      <c r="B15" s="3" t="s">
        <v>138</v>
      </c>
      <c r="C15" t="s">
        <v>116</v>
      </c>
      <c r="D15" s="20">
        <v>45143</v>
      </c>
      <c r="E15" t="s">
        <v>125</v>
      </c>
      <c r="F15" t="s">
        <v>23</v>
      </c>
      <c r="G15" s="4"/>
    </row>
    <row r="16" spans="2:11" x14ac:dyDescent="0.2">
      <c r="B16" s="3" t="s">
        <v>134</v>
      </c>
      <c r="C16" t="s">
        <v>135</v>
      </c>
      <c r="E16" s="19"/>
      <c r="G16" s="4"/>
    </row>
    <row r="17" spans="2:9" x14ac:dyDescent="0.2">
      <c r="B17" s="3" t="s">
        <v>90</v>
      </c>
      <c r="C17" t="s">
        <v>91</v>
      </c>
      <c r="D17" t="s">
        <v>92</v>
      </c>
      <c r="G17" s="4"/>
      <c r="I17" t="s">
        <v>98</v>
      </c>
    </row>
    <row r="18" spans="2:9" x14ac:dyDescent="0.2">
      <c r="B18" s="8"/>
      <c r="C18" s="9"/>
      <c r="D18" s="9"/>
      <c r="E18" s="9" t="s">
        <v>88</v>
      </c>
      <c r="F18" s="9"/>
      <c r="G18" s="10"/>
      <c r="I18" t="s">
        <v>115</v>
      </c>
    </row>
    <row r="19" spans="2:9" x14ac:dyDescent="0.2">
      <c r="B19" s="3" t="s">
        <v>17</v>
      </c>
      <c r="C19" t="s">
        <v>18</v>
      </c>
      <c r="E19" t="s">
        <v>97</v>
      </c>
      <c r="G19" s="4"/>
    </row>
    <row r="20" spans="2:9" x14ac:dyDescent="0.2">
      <c r="B20" s="3" t="s">
        <v>19</v>
      </c>
      <c r="C20" t="s">
        <v>20</v>
      </c>
      <c r="D20" t="s">
        <v>89</v>
      </c>
      <c r="E20" t="s">
        <v>96</v>
      </c>
      <c r="F20" t="s">
        <v>21</v>
      </c>
      <c r="G20" s="4"/>
    </row>
    <row r="21" spans="2:9" x14ac:dyDescent="0.2">
      <c r="B21" s="3" t="s">
        <v>22</v>
      </c>
      <c r="C21" t="s">
        <v>122</v>
      </c>
      <c r="D21" t="s">
        <v>123</v>
      </c>
      <c r="E21" t="s">
        <v>87</v>
      </c>
      <c r="G21" s="4"/>
    </row>
    <row r="22" spans="2:9" x14ac:dyDescent="0.2">
      <c r="B22" s="3" t="s">
        <v>28</v>
      </c>
      <c r="C22" t="s">
        <v>20</v>
      </c>
      <c r="D22" t="s">
        <v>29</v>
      </c>
      <c r="G22" s="4"/>
    </row>
    <row r="23" spans="2:9" x14ac:dyDescent="0.2">
      <c r="B23" s="3" t="s">
        <v>86</v>
      </c>
      <c r="G23" s="4"/>
    </row>
    <row r="24" spans="2:9" x14ac:dyDescent="0.2">
      <c r="B24" s="5" t="s">
        <v>113</v>
      </c>
      <c r="C24" s="6" t="s">
        <v>15</v>
      </c>
      <c r="D24" s="6" t="s">
        <v>114</v>
      </c>
      <c r="E24" s="6"/>
      <c r="F24" s="6"/>
      <c r="G24" s="7"/>
    </row>
    <row r="27" spans="2:9" x14ac:dyDescent="0.2">
      <c r="B27" s="25" t="s">
        <v>126</v>
      </c>
    </row>
    <row r="28" spans="2:9" x14ac:dyDescent="0.2">
      <c r="B28" s="25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EB2B-BE50-4D86-B93D-DDDB8C03F4F9}">
  <dimension ref="A1:CE68"/>
  <sheetViews>
    <sheetView tabSelected="1" zoomScale="160" zoomScaleNormal="16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Z6" sqref="Z6"/>
    </sheetView>
  </sheetViews>
  <sheetFormatPr defaultRowHeight="12.75" x14ac:dyDescent="0.2"/>
  <cols>
    <col min="1" max="1" width="5" bestFit="1" customWidth="1"/>
    <col min="2" max="2" width="14.42578125" customWidth="1"/>
    <col min="3" max="17" width="9.140625" style="2"/>
    <col min="59" max="59" width="9" customWidth="1"/>
  </cols>
  <sheetData>
    <row r="1" spans="1:83" x14ac:dyDescent="0.2">
      <c r="A1" s="11" t="s">
        <v>33</v>
      </c>
    </row>
    <row r="2" spans="1:83" x14ac:dyDescent="0.2"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40</v>
      </c>
      <c r="I2" s="2" t="s">
        <v>41</v>
      </c>
      <c r="J2" s="2" t="s">
        <v>42</v>
      </c>
      <c r="K2" s="2" t="s">
        <v>43</v>
      </c>
      <c r="L2" s="2" t="s">
        <v>7</v>
      </c>
      <c r="M2" s="2" t="s">
        <v>44</v>
      </c>
      <c r="N2" s="2" t="s">
        <v>45</v>
      </c>
      <c r="O2" s="2" t="s">
        <v>82</v>
      </c>
      <c r="P2" s="2" t="s">
        <v>83</v>
      </c>
      <c r="Q2" s="2" t="s">
        <v>84</v>
      </c>
      <c r="R2" s="2" t="s">
        <v>85</v>
      </c>
      <c r="S2" s="2" t="s">
        <v>128</v>
      </c>
      <c r="T2" s="2" t="s">
        <v>129</v>
      </c>
      <c r="U2" s="2" t="s">
        <v>130</v>
      </c>
      <c r="V2" s="2" t="s">
        <v>131</v>
      </c>
      <c r="W2" s="2"/>
      <c r="X2" s="2"/>
      <c r="Z2">
        <v>2010</v>
      </c>
      <c r="AA2">
        <f>+Z2+1</f>
        <v>2011</v>
      </c>
      <c r="AB2">
        <f t="shared" ref="AB2:CE2" si="0">+AA2+1</f>
        <v>2012</v>
      </c>
      <c r="AC2">
        <f t="shared" si="0"/>
        <v>2013</v>
      </c>
      <c r="AD2">
        <f t="shared" si="0"/>
        <v>2014</v>
      </c>
      <c r="AE2">
        <f t="shared" si="0"/>
        <v>2015</v>
      </c>
      <c r="AF2">
        <f t="shared" si="0"/>
        <v>2016</v>
      </c>
      <c r="AG2">
        <f t="shared" si="0"/>
        <v>2017</v>
      </c>
      <c r="AH2">
        <f t="shared" si="0"/>
        <v>2018</v>
      </c>
      <c r="AI2">
        <f t="shared" si="0"/>
        <v>2019</v>
      </c>
      <c r="AJ2">
        <f t="shared" si="0"/>
        <v>2020</v>
      </c>
      <c r="AK2">
        <f t="shared" si="0"/>
        <v>2021</v>
      </c>
      <c r="AL2">
        <f t="shared" si="0"/>
        <v>2022</v>
      </c>
      <c r="AM2">
        <f t="shared" si="0"/>
        <v>2023</v>
      </c>
      <c r="AN2">
        <f t="shared" si="0"/>
        <v>2024</v>
      </c>
      <c r="AO2">
        <f t="shared" si="0"/>
        <v>2025</v>
      </c>
      <c r="AP2">
        <f t="shared" si="0"/>
        <v>2026</v>
      </c>
      <c r="AQ2">
        <f t="shared" si="0"/>
        <v>2027</v>
      </c>
      <c r="AR2">
        <f t="shared" si="0"/>
        <v>2028</v>
      </c>
      <c r="AS2">
        <f t="shared" si="0"/>
        <v>2029</v>
      </c>
      <c r="AT2">
        <f t="shared" si="0"/>
        <v>2030</v>
      </c>
      <c r="AU2">
        <f t="shared" si="0"/>
        <v>2031</v>
      </c>
      <c r="AV2">
        <f t="shared" si="0"/>
        <v>2032</v>
      </c>
      <c r="AW2">
        <f t="shared" si="0"/>
        <v>2033</v>
      </c>
      <c r="AX2">
        <f t="shared" si="0"/>
        <v>2034</v>
      </c>
      <c r="AY2">
        <f t="shared" si="0"/>
        <v>2035</v>
      </c>
      <c r="AZ2">
        <f t="shared" si="0"/>
        <v>2036</v>
      </c>
      <c r="BA2">
        <f t="shared" si="0"/>
        <v>2037</v>
      </c>
      <c r="BB2">
        <f t="shared" si="0"/>
        <v>2038</v>
      </c>
      <c r="BC2">
        <f t="shared" si="0"/>
        <v>2039</v>
      </c>
      <c r="BD2">
        <f t="shared" si="0"/>
        <v>2040</v>
      </c>
      <c r="BE2">
        <f t="shared" si="0"/>
        <v>2041</v>
      </c>
      <c r="BF2">
        <f t="shared" si="0"/>
        <v>2042</v>
      </c>
      <c r="BG2">
        <f t="shared" si="0"/>
        <v>2043</v>
      </c>
      <c r="BH2">
        <f t="shared" si="0"/>
        <v>2044</v>
      </c>
      <c r="BI2">
        <f t="shared" si="0"/>
        <v>2045</v>
      </c>
      <c r="BJ2">
        <f t="shared" si="0"/>
        <v>2046</v>
      </c>
      <c r="BK2">
        <f t="shared" si="0"/>
        <v>2047</v>
      </c>
      <c r="BL2">
        <f t="shared" si="0"/>
        <v>2048</v>
      </c>
      <c r="BM2">
        <f t="shared" si="0"/>
        <v>2049</v>
      </c>
      <c r="BN2">
        <f t="shared" si="0"/>
        <v>2050</v>
      </c>
      <c r="BO2">
        <f t="shared" si="0"/>
        <v>2051</v>
      </c>
      <c r="BP2">
        <f t="shared" si="0"/>
        <v>2052</v>
      </c>
      <c r="BQ2">
        <f t="shared" si="0"/>
        <v>2053</v>
      </c>
      <c r="BR2">
        <f t="shared" si="0"/>
        <v>2054</v>
      </c>
      <c r="BS2">
        <f t="shared" si="0"/>
        <v>2055</v>
      </c>
      <c r="BT2">
        <f t="shared" si="0"/>
        <v>2056</v>
      </c>
      <c r="BU2">
        <f t="shared" si="0"/>
        <v>2057</v>
      </c>
      <c r="BV2">
        <f t="shared" si="0"/>
        <v>2058</v>
      </c>
      <c r="BW2">
        <f t="shared" si="0"/>
        <v>2059</v>
      </c>
      <c r="BX2">
        <f t="shared" si="0"/>
        <v>2060</v>
      </c>
      <c r="BY2">
        <f t="shared" si="0"/>
        <v>2061</v>
      </c>
      <c r="BZ2">
        <f t="shared" si="0"/>
        <v>2062</v>
      </c>
      <c r="CA2">
        <f t="shared" si="0"/>
        <v>2063</v>
      </c>
      <c r="CB2">
        <f t="shared" si="0"/>
        <v>2064</v>
      </c>
      <c r="CC2">
        <f t="shared" si="0"/>
        <v>2065</v>
      </c>
      <c r="CD2">
        <f t="shared" si="0"/>
        <v>2066</v>
      </c>
      <c r="CE2">
        <f t="shared" si="0"/>
        <v>2067</v>
      </c>
    </row>
    <row r="3" spans="1:83" s="1" customFormat="1" x14ac:dyDescent="0.2">
      <c r="B3" s="1" t="s">
        <v>9</v>
      </c>
      <c r="C3" s="12"/>
      <c r="D3" s="12"/>
      <c r="E3" s="12">
        <v>953.1</v>
      </c>
      <c r="F3" s="12">
        <v>607.9</v>
      </c>
      <c r="G3" s="12">
        <v>479.3</v>
      </c>
      <c r="H3" s="12">
        <v>487.6</v>
      </c>
      <c r="I3" s="12">
        <v>498.6</v>
      </c>
      <c r="J3" s="12">
        <v>486.5</v>
      </c>
      <c r="K3" s="12">
        <v>409.9</v>
      </c>
      <c r="L3" s="12">
        <v>397.9</v>
      </c>
      <c r="M3" s="12">
        <v>339</v>
      </c>
      <c r="N3" s="12">
        <v>297.10000000000002</v>
      </c>
      <c r="O3" s="12">
        <v>274.5</v>
      </c>
      <c r="P3" s="12">
        <v>254.2</v>
      </c>
      <c r="Q3" s="12">
        <v>239.5</v>
      </c>
      <c r="R3" s="12">
        <v>244.3</v>
      </c>
      <c r="S3" s="12">
        <v>254.3</v>
      </c>
      <c r="T3" s="12">
        <v>252.2</v>
      </c>
      <c r="U3" s="12">
        <f>+T3-10</f>
        <v>242.2</v>
      </c>
      <c r="V3" s="12">
        <f>+U3-10</f>
        <v>232.2</v>
      </c>
      <c r="W3" s="12"/>
      <c r="X3" s="12"/>
      <c r="AD3" s="1">
        <v>2909.2</v>
      </c>
      <c r="AE3" s="1">
        <v>3638.4</v>
      </c>
      <c r="AF3" s="1">
        <v>3968.1</v>
      </c>
      <c r="AG3" s="1">
        <v>4214</v>
      </c>
      <c r="AH3" s="1">
        <v>4274.1000000000004</v>
      </c>
      <c r="AI3" s="1">
        <f>3306.5+1126.2</f>
        <v>4432.7</v>
      </c>
      <c r="AJ3" s="1">
        <f>2677.7+1163.4</f>
        <v>3841.1</v>
      </c>
      <c r="AK3" s="1">
        <f>SUM(G3:J3)</f>
        <v>1952</v>
      </c>
      <c r="AL3" s="1">
        <f>SUM(K3:N3)</f>
        <v>1443.9</v>
      </c>
      <c r="AM3" s="1">
        <f>SUM(O3:R3)</f>
        <v>1012.5</v>
      </c>
      <c r="AN3" s="1">
        <f>SUM(S3:V3)</f>
        <v>980.90000000000009</v>
      </c>
      <c r="AO3" s="1">
        <f t="shared" ref="AO3:AU4" si="1">+AN3*0.8</f>
        <v>784.72000000000014</v>
      </c>
      <c r="AP3" s="1">
        <f t="shared" si="1"/>
        <v>627.77600000000018</v>
      </c>
      <c r="AQ3" s="1">
        <f t="shared" si="1"/>
        <v>502.22080000000017</v>
      </c>
      <c r="AR3" s="1">
        <f t="shared" si="1"/>
        <v>401.77664000000016</v>
      </c>
      <c r="AS3" s="1">
        <f t="shared" si="1"/>
        <v>321.42131200000017</v>
      </c>
      <c r="AT3" s="1">
        <f t="shared" si="1"/>
        <v>257.13704960000013</v>
      </c>
      <c r="AU3" s="1">
        <f t="shared" si="1"/>
        <v>205.70963968000012</v>
      </c>
      <c r="AV3" s="1">
        <f t="shared" ref="AV3" si="2">+AU3*0.8</f>
        <v>164.56771174400012</v>
      </c>
      <c r="AW3" s="1">
        <f t="shared" ref="AW3:BD3" si="3">+AV3*0.8</f>
        <v>131.65416939520011</v>
      </c>
      <c r="AX3" s="1">
        <f t="shared" si="3"/>
        <v>105.3233355161601</v>
      </c>
      <c r="AY3" s="1">
        <f t="shared" si="3"/>
        <v>84.258668412928088</v>
      </c>
      <c r="AZ3" s="1">
        <f t="shared" si="3"/>
        <v>67.406934730342471</v>
      </c>
      <c r="BA3" s="1">
        <f t="shared" si="3"/>
        <v>53.925547784273981</v>
      </c>
      <c r="BB3" s="1">
        <f t="shared" si="3"/>
        <v>43.140438227419189</v>
      </c>
      <c r="BC3" s="1">
        <f t="shared" si="3"/>
        <v>34.512350581935351</v>
      </c>
      <c r="BD3" s="1">
        <f t="shared" si="3"/>
        <v>27.609880465548283</v>
      </c>
    </row>
    <row r="4" spans="1:83" s="1" customFormat="1" x14ac:dyDescent="0.2">
      <c r="B4" s="1" t="s">
        <v>46</v>
      </c>
      <c r="C4" s="12"/>
      <c r="D4" s="12"/>
      <c r="E4" s="12">
        <v>14.4</v>
      </c>
      <c r="F4" s="12">
        <v>38.9</v>
      </c>
      <c r="G4" s="12">
        <v>73.599999999999994</v>
      </c>
      <c r="H4" s="12">
        <v>90.9</v>
      </c>
      <c r="I4" s="12">
        <v>120.9</v>
      </c>
      <c r="J4" s="12">
        <v>124.9</v>
      </c>
      <c r="K4" s="12">
        <v>128</v>
      </c>
      <c r="L4" s="12">
        <v>136.80000000000001</v>
      </c>
      <c r="M4" s="12">
        <v>137.80000000000001</v>
      </c>
      <c r="N4" s="12">
        <v>150.80000000000001</v>
      </c>
      <c r="O4" s="12">
        <v>108.2</v>
      </c>
      <c r="P4" s="12">
        <v>146.19999999999999</v>
      </c>
      <c r="Q4" s="12">
        <v>165.5</v>
      </c>
      <c r="R4" s="12">
        <v>156.4</v>
      </c>
      <c r="S4" s="12">
        <v>127.5</v>
      </c>
      <c r="T4" s="12">
        <v>165.8</v>
      </c>
      <c r="U4" s="12">
        <f>+T4+5</f>
        <v>170.8</v>
      </c>
      <c r="V4" s="12">
        <f>+U4+5</f>
        <v>175.8</v>
      </c>
      <c r="W4" s="12"/>
      <c r="X4" s="12"/>
      <c r="AA4" s="29"/>
      <c r="AB4" s="29"/>
      <c r="AC4" s="29"/>
      <c r="AD4" s="29"/>
      <c r="AE4" s="29"/>
      <c r="AF4" s="29"/>
      <c r="AG4" s="29"/>
      <c r="AH4" s="29"/>
      <c r="AI4" s="1">
        <v>5.5</v>
      </c>
      <c r="AJ4" s="1">
        <v>64.3</v>
      </c>
      <c r="AK4" s="1">
        <f t="shared" ref="AK4:AK28" si="4">SUM(G4:J4)</f>
        <v>410.29999999999995</v>
      </c>
      <c r="AL4" s="1">
        <f t="shared" ref="AL4:AL28" si="5">SUM(K4:N4)</f>
        <v>553.40000000000009</v>
      </c>
      <c r="AM4" s="1">
        <f t="shared" ref="AM4:AM28" si="6">SUM(O4:R4)</f>
        <v>576.29999999999995</v>
      </c>
      <c r="AN4" s="1">
        <f t="shared" ref="AN4:AN28" si="7">SUM(S4:V4)</f>
        <v>639.90000000000009</v>
      </c>
      <c r="AO4" s="1">
        <f t="shared" si="1"/>
        <v>511.92000000000007</v>
      </c>
      <c r="AP4" s="1">
        <f>+AO4*1.03</f>
        <v>527.27760000000012</v>
      </c>
      <c r="AQ4" s="1">
        <f t="shared" ref="AQ4:AT4" si="8">+AP4*1.03</f>
        <v>543.09592800000019</v>
      </c>
      <c r="AR4" s="1">
        <f t="shared" si="8"/>
        <v>559.38880584000026</v>
      </c>
      <c r="AS4" s="1">
        <f t="shared" si="8"/>
        <v>576.17047001520029</v>
      </c>
      <c r="AT4" s="1">
        <f t="shared" si="8"/>
        <v>593.45558411565628</v>
      </c>
      <c r="AU4" s="1">
        <f>+AT4*0.5</f>
        <v>296.72779205782814</v>
      </c>
      <c r="AV4" s="1">
        <f>+AU4*0.8</f>
        <v>237.38223364626253</v>
      </c>
      <c r="AW4" s="1">
        <f t="shared" ref="AW4:BD4" si="9">+AV4*0.8</f>
        <v>189.90578691701003</v>
      </c>
      <c r="AX4" s="1">
        <f t="shared" si="9"/>
        <v>151.92462953360803</v>
      </c>
      <c r="AY4" s="1">
        <f t="shared" si="9"/>
        <v>121.53970362688642</v>
      </c>
      <c r="AZ4" s="1">
        <f t="shared" si="9"/>
        <v>97.231762901509143</v>
      </c>
      <c r="BA4" s="1">
        <f t="shared" si="9"/>
        <v>77.785410321207323</v>
      </c>
      <c r="BB4" s="1">
        <f t="shared" si="9"/>
        <v>62.22832825696586</v>
      </c>
      <c r="BC4" s="1">
        <f t="shared" si="9"/>
        <v>49.782662605572689</v>
      </c>
      <c r="BD4" s="1">
        <f t="shared" si="9"/>
        <v>39.826130084458157</v>
      </c>
    </row>
    <row r="5" spans="1:83" s="1" customFormat="1" x14ac:dyDescent="0.2">
      <c r="B5" s="1" t="s">
        <v>8</v>
      </c>
      <c r="C5" s="12"/>
      <c r="D5" s="12"/>
      <c r="E5" s="12">
        <v>380.5</v>
      </c>
      <c r="F5" s="12">
        <v>356.4</v>
      </c>
      <c r="G5" s="12">
        <v>311.10000000000002</v>
      </c>
      <c r="H5" s="12">
        <v>310.89999999999998</v>
      </c>
      <c r="I5" s="12">
        <v>301.3</v>
      </c>
      <c r="J5" s="12">
        <v>285.39999999999998</v>
      </c>
      <c r="K5" s="12">
        <v>229.6</v>
      </c>
      <c r="L5" s="12">
        <v>258.7</v>
      </c>
      <c r="M5" s="12">
        <v>255.1</v>
      </c>
      <c r="N5" s="12">
        <v>230.1</v>
      </c>
      <c r="O5" s="12">
        <v>172.4</v>
      </c>
      <c r="P5" s="12">
        <v>220.3</v>
      </c>
      <c r="Q5" s="12">
        <v>212.2</v>
      </c>
      <c r="R5" s="12">
        <v>206.1</v>
      </c>
      <c r="S5" s="12">
        <v>178.5</v>
      </c>
      <c r="T5" s="12">
        <v>182.8</v>
      </c>
      <c r="U5" s="12">
        <f>+Q5*0.9</f>
        <v>190.98</v>
      </c>
      <c r="V5" s="12">
        <f>+R5*0.9</f>
        <v>185.49</v>
      </c>
      <c r="W5" s="12"/>
      <c r="X5" s="12"/>
      <c r="AA5" s="1">
        <v>2686.6</v>
      </c>
      <c r="AB5" s="1">
        <v>2913.1</v>
      </c>
      <c r="AC5" s="1">
        <v>3005.5</v>
      </c>
      <c r="AD5" s="1">
        <v>3057.6</v>
      </c>
      <c r="AE5" s="1">
        <v>2968.7</v>
      </c>
      <c r="AF5" s="1">
        <v>2795.2</v>
      </c>
      <c r="AG5" s="1">
        <v>2645.8</v>
      </c>
      <c r="AH5" s="1">
        <v>2363</v>
      </c>
      <c r="AI5" s="1">
        <f>1202.1+463.8</f>
        <v>1665.8999999999999</v>
      </c>
      <c r="AJ5" s="1">
        <f>1083.4+408.5</f>
        <v>1491.9</v>
      </c>
      <c r="AK5" s="1">
        <f t="shared" si="4"/>
        <v>1208.6999999999998</v>
      </c>
      <c r="AL5" s="1">
        <f t="shared" si="5"/>
        <v>973.5</v>
      </c>
      <c r="AM5" s="1">
        <f t="shared" si="6"/>
        <v>811.00000000000011</v>
      </c>
      <c r="AN5" s="1">
        <f t="shared" si="7"/>
        <v>737.77</v>
      </c>
      <c r="AO5" s="1">
        <f t="shared" ref="AO5:BD5" si="10">+AN5*0.9</f>
        <v>663.99300000000005</v>
      </c>
      <c r="AP5" s="1">
        <f t="shared" si="10"/>
        <v>597.59370000000001</v>
      </c>
      <c r="AQ5" s="1">
        <f t="shared" si="10"/>
        <v>537.83433000000002</v>
      </c>
      <c r="AR5" s="1">
        <f t="shared" si="10"/>
        <v>484.05089700000002</v>
      </c>
      <c r="AS5" s="1">
        <f t="shared" si="10"/>
        <v>435.6458073</v>
      </c>
      <c r="AT5" s="1">
        <f t="shared" si="10"/>
        <v>392.08122657000001</v>
      </c>
      <c r="AU5" s="1">
        <f t="shared" si="10"/>
        <v>352.87310391300002</v>
      </c>
      <c r="AV5" s="1">
        <f t="shared" si="10"/>
        <v>317.58579352170005</v>
      </c>
      <c r="AW5" s="1">
        <f t="shared" si="10"/>
        <v>285.82721416953007</v>
      </c>
      <c r="AX5" s="1">
        <f t="shared" si="10"/>
        <v>257.24449275257706</v>
      </c>
      <c r="AY5" s="1">
        <f t="shared" si="10"/>
        <v>231.52004347731935</v>
      </c>
      <c r="AZ5" s="1">
        <f t="shared" si="10"/>
        <v>208.36803912958743</v>
      </c>
      <c r="BA5" s="1">
        <f t="shared" si="10"/>
        <v>187.53123521662869</v>
      </c>
      <c r="BB5" s="1">
        <f t="shared" si="10"/>
        <v>168.77811169496582</v>
      </c>
      <c r="BC5" s="1">
        <f t="shared" si="10"/>
        <v>151.90030052546925</v>
      </c>
      <c r="BD5" s="1">
        <f t="shared" si="10"/>
        <v>136.71027047292233</v>
      </c>
    </row>
    <row r="6" spans="1:83" s="1" customFormat="1" x14ac:dyDescent="0.2">
      <c r="B6" s="1" t="s">
        <v>47</v>
      </c>
      <c r="C6" s="12"/>
      <c r="D6" s="12"/>
      <c r="E6" s="12">
        <v>93.6</v>
      </c>
      <c r="F6" s="12">
        <v>99.6</v>
      </c>
      <c r="G6" s="12">
        <v>89.4</v>
      </c>
      <c r="H6" s="12">
        <v>89.5</v>
      </c>
      <c r="I6" s="12">
        <v>86.2</v>
      </c>
      <c r="J6" s="12">
        <v>92.3</v>
      </c>
      <c r="K6" s="12">
        <v>80</v>
      </c>
      <c r="L6" s="12">
        <v>91.5</v>
      </c>
      <c r="M6" s="12">
        <v>80.900000000000006</v>
      </c>
      <c r="N6" s="12">
        <v>79.5</v>
      </c>
      <c r="O6" s="12">
        <v>73.2</v>
      </c>
      <c r="P6" s="12">
        <v>82.1</v>
      </c>
      <c r="Q6" s="12">
        <v>65.5</v>
      </c>
      <c r="R6" s="12">
        <v>73.900000000000006</v>
      </c>
      <c r="S6" s="12">
        <v>65.099999999999994</v>
      </c>
      <c r="T6" s="12">
        <v>68.099999999999994</v>
      </c>
      <c r="U6" s="12">
        <f>+Q6*0.9</f>
        <v>58.95</v>
      </c>
      <c r="V6" s="12">
        <f>+R6*0.9</f>
        <v>66.510000000000005</v>
      </c>
      <c r="W6" s="12"/>
      <c r="X6" s="12"/>
      <c r="AI6" s="1">
        <f>224.5+211.4</f>
        <v>435.9</v>
      </c>
      <c r="AJ6" s="1">
        <f>190.1+195.5</f>
        <v>385.6</v>
      </c>
      <c r="AK6" s="1">
        <f t="shared" si="4"/>
        <v>357.40000000000003</v>
      </c>
      <c r="AL6" s="1">
        <f t="shared" si="5"/>
        <v>331.9</v>
      </c>
      <c r="AM6" s="1">
        <f t="shared" si="6"/>
        <v>294.70000000000005</v>
      </c>
      <c r="AN6" s="1">
        <f t="shared" si="7"/>
        <v>258.65999999999997</v>
      </c>
      <c r="AO6" s="1">
        <f t="shared" ref="AO6:BD6" si="11">+AN6*0.95</f>
        <v>245.72699999999995</v>
      </c>
      <c r="AP6" s="1">
        <f t="shared" si="11"/>
        <v>233.44064999999995</v>
      </c>
      <c r="AQ6" s="1">
        <f t="shared" si="11"/>
        <v>221.76861749999995</v>
      </c>
      <c r="AR6" s="1">
        <f t="shared" si="11"/>
        <v>210.68018662499995</v>
      </c>
      <c r="AS6" s="1">
        <f t="shared" si="11"/>
        <v>200.14617729374993</v>
      </c>
      <c r="AT6" s="1">
        <f t="shared" si="11"/>
        <v>190.13886842906243</v>
      </c>
      <c r="AU6" s="1">
        <f t="shared" si="11"/>
        <v>180.63192500760931</v>
      </c>
      <c r="AV6" s="1">
        <f t="shared" si="11"/>
        <v>171.60032875722885</v>
      </c>
      <c r="AW6" s="1">
        <f t="shared" si="11"/>
        <v>163.02031231936741</v>
      </c>
      <c r="AX6" s="1">
        <f t="shared" si="11"/>
        <v>154.86929670339902</v>
      </c>
      <c r="AY6" s="1">
        <f t="shared" si="11"/>
        <v>147.12583186822906</v>
      </c>
      <c r="AZ6" s="1">
        <f t="shared" si="11"/>
        <v>139.76954027481759</v>
      </c>
      <c r="BA6" s="1">
        <f t="shared" si="11"/>
        <v>132.7810632610767</v>
      </c>
      <c r="BB6" s="1">
        <f t="shared" si="11"/>
        <v>126.14201009802285</v>
      </c>
      <c r="BC6" s="1">
        <f t="shared" si="11"/>
        <v>119.83490959312171</v>
      </c>
      <c r="BD6" s="1">
        <f t="shared" si="11"/>
        <v>113.84316411346562</v>
      </c>
    </row>
    <row r="7" spans="1:83" s="1" customFormat="1" x14ac:dyDescent="0.2">
      <c r="B7" s="1" t="s">
        <v>48</v>
      </c>
      <c r="C7" s="12"/>
      <c r="D7" s="12"/>
      <c r="E7" s="12">
        <v>516.5</v>
      </c>
      <c r="F7" s="12">
        <v>475.2</v>
      </c>
      <c r="G7" s="12">
        <v>503.3</v>
      </c>
      <c r="H7" s="12">
        <v>524.20000000000005</v>
      </c>
      <c r="I7" s="12">
        <v>522.79999999999995</v>
      </c>
      <c r="J7" s="12">
        <v>512.70000000000005</v>
      </c>
      <c r="K7" s="12">
        <v>520.79999999999995</v>
      </c>
      <c r="L7" s="12">
        <v>516.20000000000005</v>
      </c>
      <c r="M7" s="12">
        <v>505.5</v>
      </c>
      <c r="N7" s="12">
        <v>488.4</v>
      </c>
      <c r="O7" s="12">
        <v>472.8</v>
      </c>
      <c r="P7" s="12">
        <v>483.1</v>
      </c>
      <c r="Q7" s="12">
        <v>456.3</v>
      </c>
      <c r="R7" s="12">
        <v>464.7</v>
      </c>
      <c r="S7" s="12">
        <v>431.3</v>
      </c>
      <c r="T7" s="12">
        <v>462.2</v>
      </c>
      <c r="U7" s="12">
        <f>+Q7*0.9</f>
        <v>410.67</v>
      </c>
      <c r="V7" s="12">
        <f>+R7*0.9</f>
        <v>418.23</v>
      </c>
      <c r="W7" s="12"/>
      <c r="X7" s="12"/>
      <c r="AD7" s="1">
        <v>1959.5</v>
      </c>
      <c r="AE7" s="1">
        <v>1886.1</v>
      </c>
      <c r="AF7" s="1">
        <v>1963.8</v>
      </c>
      <c r="AG7" s="1">
        <v>1973.1</v>
      </c>
      <c r="AH7" s="1">
        <v>1864</v>
      </c>
      <c r="AI7" s="1">
        <v>1892.2</v>
      </c>
      <c r="AJ7" s="1">
        <v>1946.1</v>
      </c>
      <c r="AK7" s="1">
        <f t="shared" si="4"/>
        <v>2063</v>
      </c>
      <c r="AL7" s="1">
        <f t="shared" si="5"/>
        <v>2030.9</v>
      </c>
      <c r="AM7" s="1">
        <f t="shared" si="6"/>
        <v>1876.9</v>
      </c>
      <c r="AN7" s="1">
        <f t="shared" si="7"/>
        <v>1722.4</v>
      </c>
      <c r="AO7" s="1">
        <f>+AN7*0.85</f>
        <v>1464.04</v>
      </c>
      <c r="AP7" s="1">
        <f t="shared" ref="AP7:BD7" si="12">+AO7*0.85</f>
        <v>1244.434</v>
      </c>
      <c r="AQ7" s="1">
        <f t="shared" si="12"/>
        <v>1057.7689</v>
      </c>
      <c r="AR7" s="1">
        <f t="shared" si="12"/>
        <v>899.103565</v>
      </c>
      <c r="AS7" s="1">
        <f t="shared" si="12"/>
        <v>764.23803024999995</v>
      </c>
      <c r="AT7" s="1">
        <f t="shared" si="12"/>
        <v>649.60232571249992</v>
      </c>
      <c r="AU7" s="1">
        <f t="shared" si="12"/>
        <v>552.16197685562497</v>
      </c>
      <c r="AV7" s="1">
        <f t="shared" si="12"/>
        <v>469.33768032728119</v>
      </c>
      <c r="AW7" s="1">
        <f t="shared" si="12"/>
        <v>398.93702827818902</v>
      </c>
      <c r="AX7" s="1">
        <f t="shared" si="12"/>
        <v>339.09647403646068</v>
      </c>
      <c r="AY7" s="1">
        <f t="shared" si="12"/>
        <v>288.23200293099154</v>
      </c>
      <c r="AZ7" s="1">
        <f t="shared" si="12"/>
        <v>244.99720249134279</v>
      </c>
      <c r="BA7" s="1">
        <f t="shared" si="12"/>
        <v>208.24762211764136</v>
      </c>
      <c r="BB7" s="1">
        <f t="shared" si="12"/>
        <v>177.01047879999516</v>
      </c>
      <c r="BC7" s="1">
        <f t="shared" si="12"/>
        <v>150.45890697999587</v>
      </c>
      <c r="BD7" s="1">
        <f t="shared" si="12"/>
        <v>127.89007093299649</v>
      </c>
    </row>
    <row r="8" spans="1:83" s="1" customFormat="1" x14ac:dyDescent="0.2">
      <c r="B8" s="1" t="s">
        <v>49</v>
      </c>
      <c r="C8" s="12"/>
      <c r="D8" s="12"/>
      <c r="E8" s="12">
        <v>26.8</v>
      </c>
      <c r="F8" s="12">
        <v>25.1</v>
      </c>
      <c r="G8" s="12">
        <v>26.6</v>
      </c>
      <c r="H8" s="12">
        <v>26.1</v>
      </c>
      <c r="I8" s="12">
        <v>26.2</v>
      </c>
      <c r="J8" s="12">
        <v>26.7</v>
      </c>
      <c r="K8" s="12">
        <v>26.2</v>
      </c>
      <c r="L8" s="12">
        <v>25.5</v>
      </c>
      <c r="M8" s="12">
        <v>22</v>
      </c>
      <c r="N8" s="12">
        <v>22.9</v>
      </c>
      <c r="O8" s="12">
        <v>24.1</v>
      </c>
      <c r="P8" s="12">
        <v>23.4</v>
      </c>
      <c r="Q8" s="12">
        <v>20</v>
      </c>
      <c r="R8" s="12">
        <v>23</v>
      </c>
      <c r="S8" s="12">
        <v>19.2</v>
      </c>
      <c r="T8" s="12">
        <v>18.7</v>
      </c>
      <c r="U8" s="12">
        <f>+Q8*0.9</f>
        <v>18</v>
      </c>
      <c r="V8" s="12">
        <f>+R8*0.9</f>
        <v>20.7</v>
      </c>
      <c r="W8" s="12"/>
      <c r="X8" s="12"/>
      <c r="AD8" s="1">
        <v>80.2</v>
      </c>
      <c r="AE8" s="1">
        <v>89.7</v>
      </c>
      <c r="AF8" s="1">
        <v>84.9</v>
      </c>
      <c r="AG8" s="1">
        <v>91.6</v>
      </c>
      <c r="AH8" s="1">
        <v>92.7</v>
      </c>
      <c r="AI8" s="1">
        <v>97.1</v>
      </c>
      <c r="AJ8" s="1">
        <v>103.1</v>
      </c>
      <c r="AK8" s="1">
        <f t="shared" si="4"/>
        <v>105.60000000000001</v>
      </c>
      <c r="AL8" s="1">
        <f t="shared" si="5"/>
        <v>96.6</v>
      </c>
      <c r="AM8" s="1">
        <f t="shared" si="6"/>
        <v>90.5</v>
      </c>
      <c r="AN8" s="1">
        <f t="shared" si="7"/>
        <v>76.599999999999994</v>
      </c>
      <c r="AO8" s="1">
        <f t="shared" ref="AO8:BD8" si="13">+AN8*0.9</f>
        <v>68.94</v>
      </c>
      <c r="AP8" s="1">
        <f t="shared" si="13"/>
        <v>62.045999999999999</v>
      </c>
      <c r="AQ8" s="1">
        <f t="shared" si="13"/>
        <v>55.8414</v>
      </c>
      <c r="AR8" s="1">
        <f t="shared" si="13"/>
        <v>50.257260000000002</v>
      </c>
      <c r="AS8" s="1">
        <f t="shared" si="13"/>
        <v>45.231534000000003</v>
      </c>
      <c r="AT8" s="1">
        <f t="shared" si="13"/>
        <v>40.708380600000005</v>
      </c>
      <c r="AU8" s="1">
        <f t="shared" si="13"/>
        <v>36.637542540000005</v>
      </c>
      <c r="AV8" s="1">
        <f t="shared" si="13"/>
        <v>32.973788286000008</v>
      </c>
      <c r="AW8" s="1">
        <f t="shared" si="13"/>
        <v>29.676409457400009</v>
      </c>
      <c r="AX8" s="1">
        <f t="shared" si="13"/>
        <v>26.708768511660008</v>
      </c>
      <c r="AY8" s="1">
        <f t="shared" si="13"/>
        <v>24.037891660494008</v>
      </c>
      <c r="AZ8" s="1">
        <f t="shared" si="13"/>
        <v>21.634102494444608</v>
      </c>
      <c r="BA8" s="1">
        <f t="shared" si="13"/>
        <v>19.470692245000148</v>
      </c>
      <c r="BB8" s="1">
        <f t="shared" si="13"/>
        <v>17.523623020500132</v>
      </c>
      <c r="BC8" s="1">
        <f t="shared" si="13"/>
        <v>15.771260718450119</v>
      </c>
      <c r="BD8" s="1">
        <f t="shared" si="13"/>
        <v>14.194134646605107</v>
      </c>
    </row>
    <row r="9" spans="1:83" s="1" customFormat="1" x14ac:dyDescent="0.2">
      <c r="B9" s="1" t="s">
        <v>50</v>
      </c>
      <c r="C9" s="12"/>
      <c r="D9" s="12"/>
      <c r="E9" s="12">
        <v>494.4</v>
      </c>
      <c r="F9" s="12">
        <v>498</v>
      </c>
      <c r="G9" s="12">
        <v>520.5</v>
      </c>
      <c r="H9" s="12">
        <v>499.7</v>
      </c>
      <c r="I9" s="12">
        <v>444.1</v>
      </c>
      <c r="J9" s="12">
        <v>440.7</v>
      </c>
      <c r="K9" s="12">
        <v>472.5</v>
      </c>
      <c r="L9" s="12">
        <v>431</v>
      </c>
      <c r="M9" s="12">
        <v>431.1</v>
      </c>
      <c r="N9" s="12">
        <v>458.8</v>
      </c>
      <c r="O9" s="12">
        <v>443.3</v>
      </c>
      <c r="P9" s="12">
        <v>437.1</v>
      </c>
      <c r="Q9" s="12">
        <v>448.2</v>
      </c>
      <c r="R9" s="12">
        <v>412.6</v>
      </c>
      <c r="S9" s="12">
        <v>341.3</v>
      </c>
      <c r="T9" s="12">
        <v>429.1</v>
      </c>
      <c r="U9" s="12">
        <f>+Q9</f>
        <v>448.2</v>
      </c>
      <c r="V9" s="12">
        <f>+R9</f>
        <v>412.6</v>
      </c>
      <c r="W9" s="12"/>
      <c r="X9" s="12"/>
      <c r="AD9" s="29"/>
      <c r="AE9" s="29"/>
      <c r="AF9" s="1">
        <v>4.5999999999999996</v>
      </c>
      <c r="AG9" s="1">
        <v>883.7</v>
      </c>
      <c r="AH9" s="1">
        <v>1724.2</v>
      </c>
      <c r="AI9" s="1">
        <v>2097</v>
      </c>
      <c r="AJ9" s="1">
        <v>2052.1</v>
      </c>
      <c r="AK9" s="1">
        <f t="shared" si="4"/>
        <v>1905.0000000000002</v>
      </c>
      <c r="AL9" s="1">
        <f t="shared" si="5"/>
        <v>1793.3999999999999</v>
      </c>
      <c r="AM9" s="1">
        <f t="shared" si="6"/>
        <v>1741.2000000000003</v>
      </c>
      <c r="AN9" s="1">
        <f t="shared" si="7"/>
        <v>1631.2000000000003</v>
      </c>
      <c r="AO9" s="1">
        <f t="shared" ref="AO9:BD9" si="14">+AN9*0.9</f>
        <v>1468.0800000000004</v>
      </c>
      <c r="AP9" s="1">
        <f t="shared" si="14"/>
        <v>1321.2720000000004</v>
      </c>
      <c r="AQ9" s="1">
        <f t="shared" si="14"/>
        <v>1189.1448000000005</v>
      </c>
      <c r="AR9" s="1">
        <f t="shared" si="14"/>
        <v>1070.2303200000006</v>
      </c>
      <c r="AS9" s="1">
        <f t="shared" si="14"/>
        <v>963.20728800000052</v>
      </c>
      <c r="AT9" s="1">
        <f t="shared" si="14"/>
        <v>866.88655920000053</v>
      </c>
      <c r="AU9" s="1">
        <f t="shared" si="14"/>
        <v>780.19790328000045</v>
      </c>
      <c r="AV9" s="1">
        <f t="shared" si="14"/>
        <v>702.17811295200045</v>
      </c>
      <c r="AW9" s="1">
        <f t="shared" si="14"/>
        <v>631.96030165680043</v>
      </c>
      <c r="AX9" s="1">
        <f t="shared" si="14"/>
        <v>568.76427149112044</v>
      </c>
      <c r="AY9" s="1">
        <f t="shared" si="14"/>
        <v>511.88784434200841</v>
      </c>
      <c r="AZ9" s="1">
        <f t="shared" si="14"/>
        <v>460.69905990780757</v>
      </c>
      <c r="BA9" s="1">
        <f t="shared" si="14"/>
        <v>414.62915391702683</v>
      </c>
      <c r="BB9" s="1">
        <f t="shared" si="14"/>
        <v>373.16623852532416</v>
      </c>
      <c r="BC9" s="1">
        <f t="shared" si="14"/>
        <v>335.84961467279174</v>
      </c>
      <c r="BD9" s="1">
        <f t="shared" si="14"/>
        <v>302.26465320551256</v>
      </c>
    </row>
    <row r="10" spans="1:83" s="1" customFormat="1" x14ac:dyDescent="0.2">
      <c r="B10" s="1" t="s">
        <v>133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>
        <v>55.9</v>
      </c>
      <c r="S10" s="12">
        <v>78</v>
      </c>
      <c r="T10" s="12">
        <v>100</v>
      </c>
      <c r="U10" s="12">
        <f>+T10+25</f>
        <v>125</v>
      </c>
      <c r="V10" s="12">
        <f>+U10+25</f>
        <v>150</v>
      </c>
      <c r="W10" s="12"/>
      <c r="X10" s="12"/>
      <c r="AD10" s="29"/>
      <c r="AE10" s="29"/>
      <c r="AF10" s="29"/>
      <c r="AG10" s="29"/>
      <c r="AH10" s="29"/>
      <c r="AI10" s="29"/>
      <c r="AJ10" s="29"/>
      <c r="AK10" s="29"/>
      <c r="AL10" s="29"/>
      <c r="AM10" s="1">
        <f t="shared" si="6"/>
        <v>55.9</v>
      </c>
      <c r="AN10" s="1">
        <f t="shared" si="7"/>
        <v>453</v>
      </c>
      <c r="AO10" s="1">
        <f>+AN10*2</f>
        <v>906</v>
      </c>
      <c r="AP10" s="1">
        <f>+AO10*1.5</f>
        <v>1359</v>
      </c>
      <c r="AQ10" s="1">
        <f>+AP10*1.3</f>
        <v>1766.7</v>
      </c>
      <c r="AR10" s="1">
        <f>+AQ10*1.1</f>
        <v>1943.3700000000001</v>
      </c>
      <c r="AS10" s="1">
        <f>+AR10*1.02</f>
        <v>1982.2374000000002</v>
      </c>
      <c r="AT10" s="1">
        <f>+AS10*1.02</f>
        <v>2021.8821480000001</v>
      </c>
      <c r="AU10" s="1">
        <f>+AT10*1.02</f>
        <v>2062.3197909600003</v>
      </c>
      <c r="AV10" s="1">
        <f>+AU10*1.02</f>
        <v>2103.5661867792005</v>
      </c>
      <c r="AW10" s="1">
        <f>+AV10*1.02</f>
        <v>2145.6375105147845</v>
      </c>
      <c r="AX10" s="1">
        <f>+AW10*1.02</f>
        <v>2188.5502607250801</v>
      </c>
      <c r="AY10" s="1">
        <f>+AX10*1.02</f>
        <v>2232.3212659395817</v>
      </c>
      <c r="AZ10" s="1">
        <f>+AY10*0.1</f>
        <v>223.23212659395818</v>
      </c>
      <c r="BA10" s="1">
        <f t="shared" ref="BA10:BD10" si="15">+AZ10*0.1</f>
        <v>22.323212659395821</v>
      </c>
      <c r="BB10" s="1">
        <f t="shared" si="15"/>
        <v>2.2323212659395821</v>
      </c>
      <c r="BC10" s="1">
        <f t="shared" si="15"/>
        <v>0.22323212659395822</v>
      </c>
      <c r="BD10" s="1">
        <f t="shared" si="15"/>
        <v>2.2323212659395825E-2</v>
      </c>
    </row>
    <row r="11" spans="1:83" s="1" customFormat="1" x14ac:dyDescent="0.2">
      <c r="B11" s="1" t="s">
        <v>121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">
        <v>3.3</v>
      </c>
      <c r="S11" s="1">
        <v>4.5999999999999996</v>
      </c>
      <c r="T11" s="1">
        <v>5</v>
      </c>
      <c r="U11" s="1">
        <f>+T11</f>
        <v>5</v>
      </c>
      <c r="V11" s="1">
        <f>+U11</f>
        <v>5</v>
      </c>
      <c r="AD11" s="29"/>
      <c r="AE11" s="29"/>
      <c r="AF11" s="29"/>
      <c r="AG11" s="29"/>
      <c r="AH11" s="29"/>
      <c r="AI11" s="29"/>
      <c r="AJ11" s="29"/>
      <c r="AK11" s="29"/>
      <c r="AL11" s="29"/>
      <c r="AM11" s="1">
        <f t="shared" si="6"/>
        <v>3.3</v>
      </c>
      <c r="AN11" s="1">
        <f t="shared" si="7"/>
        <v>19.600000000000001</v>
      </c>
      <c r="AO11" s="1">
        <f>+AN11*1.1</f>
        <v>21.560000000000002</v>
      </c>
      <c r="AP11" s="1">
        <f t="shared" ref="AP11:BD11" si="16">+AO11*1.1</f>
        <v>23.716000000000005</v>
      </c>
      <c r="AQ11" s="1">
        <f t="shared" si="16"/>
        <v>26.087600000000005</v>
      </c>
      <c r="AR11" s="1">
        <f t="shared" si="16"/>
        <v>28.696360000000009</v>
      </c>
      <c r="AS11" s="1">
        <f t="shared" si="16"/>
        <v>31.565996000000013</v>
      </c>
      <c r="AT11" s="1">
        <f t="shared" si="16"/>
        <v>34.72259560000002</v>
      </c>
      <c r="AU11" s="1">
        <f t="shared" si="16"/>
        <v>38.194855160000024</v>
      </c>
      <c r="AV11" s="1">
        <f t="shared" si="16"/>
        <v>42.014340676000032</v>
      </c>
      <c r="AW11" s="1">
        <f t="shared" si="16"/>
        <v>46.215774743600036</v>
      </c>
      <c r="AX11" s="1">
        <f t="shared" si="16"/>
        <v>50.837352217960046</v>
      </c>
      <c r="AY11" s="1">
        <f t="shared" si="16"/>
        <v>55.921087439756057</v>
      </c>
      <c r="AZ11" s="1">
        <f t="shared" si="16"/>
        <v>61.513196183731665</v>
      </c>
      <c r="BA11" s="1">
        <f t="shared" si="16"/>
        <v>67.66451580210483</v>
      </c>
      <c r="BB11" s="1">
        <f t="shared" si="16"/>
        <v>74.430967382315316</v>
      </c>
      <c r="BC11" s="1">
        <f t="shared" si="16"/>
        <v>81.874064120546848</v>
      </c>
      <c r="BD11" s="1">
        <f t="shared" si="16"/>
        <v>90.061470532601547</v>
      </c>
    </row>
    <row r="12" spans="1:83" s="1" customFormat="1" x14ac:dyDescent="0.2">
      <c r="B12" s="1" t="s">
        <v>51</v>
      </c>
      <c r="C12" s="12"/>
      <c r="D12" s="12"/>
      <c r="E12" s="12">
        <v>124.2</v>
      </c>
      <c r="F12" s="12">
        <v>117.6</v>
      </c>
      <c r="G12" s="12">
        <v>121.7</v>
      </c>
      <c r="H12" s="12">
        <v>121.5</v>
      </c>
      <c r="I12" s="12">
        <v>120.8</v>
      </c>
      <c r="J12" s="12">
        <v>134.4</v>
      </c>
      <c r="K12" s="12">
        <v>114.7</v>
      </c>
      <c r="L12" s="12">
        <v>115.8</v>
      </c>
      <c r="M12" s="12">
        <v>110.2</v>
      </c>
      <c r="N12" s="12">
        <v>100.3</v>
      </c>
      <c r="O12" s="12">
        <v>109</v>
      </c>
      <c r="P12" s="12">
        <v>109.2</v>
      </c>
      <c r="Q12" s="12">
        <v>112.8</v>
      </c>
      <c r="R12" s="12">
        <v>107.8</v>
      </c>
      <c r="S12" s="12">
        <v>118.7</v>
      </c>
      <c r="T12" s="12">
        <v>117.3</v>
      </c>
      <c r="U12" s="12">
        <f>+Q12</f>
        <v>112.8</v>
      </c>
      <c r="V12" s="12">
        <f>+R12</f>
        <v>107.8</v>
      </c>
      <c r="W12" s="12"/>
      <c r="X12" s="12"/>
      <c r="AD12" s="29"/>
      <c r="AE12" s="29"/>
      <c r="AF12" s="1">
        <v>100.6</v>
      </c>
      <c r="AG12" s="1">
        <v>370.8</v>
      </c>
      <c r="AH12" s="1">
        <v>485.2</v>
      </c>
      <c r="AI12" s="1">
        <v>486.2</v>
      </c>
      <c r="AJ12" s="1">
        <v>481.6</v>
      </c>
      <c r="AK12" s="1">
        <f t="shared" si="4"/>
        <v>498.4</v>
      </c>
      <c r="AL12" s="1">
        <f t="shared" si="5"/>
        <v>441</v>
      </c>
      <c r="AM12" s="1">
        <f t="shared" si="6"/>
        <v>438.8</v>
      </c>
      <c r="AN12" s="1">
        <f t="shared" si="7"/>
        <v>456.6</v>
      </c>
      <c r="AO12" s="1">
        <f t="shared" ref="AO12:BD12" si="17">+AN12*0.9</f>
        <v>410.94000000000005</v>
      </c>
      <c r="AP12" s="1">
        <f t="shared" si="17"/>
        <v>369.84600000000006</v>
      </c>
      <c r="AQ12" s="1">
        <f t="shared" si="17"/>
        <v>332.86140000000006</v>
      </c>
      <c r="AR12" s="1">
        <f t="shared" si="17"/>
        <v>299.57526000000007</v>
      </c>
      <c r="AS12" s="1">
        <f t="shared" si="17"/>
        <v>269.6177340000001</v>
      </c>
      <c r="AT12" s="1">
        <f t="shared" si="17"/>
        <v>242.6559606000001</v>
      </c>
      <c r="AU12" s="1">
        <f t="shared" si="17"/>
        <v>218.39036454000009</v>
      </c>
      <c r="AV12" s="1">
        <f t="shared" si="17"/>
        <v>196.5513280860001</v>
      </c>
      <c r="AW12" s="1">
        <f t="shared" si="17"/>
        <v>176.8961952774001</v>
      </c>
      <c r="AX12" s="1">
        <f t="shared" si="17"/>
        <v>159.20657574966009</v>
      </c>
      <c r="AY12" s="1">
        <f t="shared" si="17"/>
        <v>143.28591817469407</v>
      </c>
      <c r="AZ12" s="1">
        <f t="shared" si="17"/>
        <v>128.95732635722467</v>
      </c>
      <c r="BA12" s="1">
        <f t="shared" si="17"/>
        <v>116.06159372150221</v>
      </c>
      <c r="BB12" s="1">
        <f t="shared" si="17"/>
        <v>104.45543434935199</v>
      </c>
      <c r="BC12" s="1">
        <f t="shared" si="17"/>
        <v>94.009890914416786</v>
      </c>
      <c r="BD12" s="1">
        <f t="shared" si="17"/>
        <v>84.608901822975113</v>
      </c>
    </row>
    <row r="13" spans="1:83" s="1" customFormat="1" x14ac:dyDescent="0.2">
      <c r="B13" s="1" t="s">
        <v>52</v>
      </c>
      <c r="C13" s="12"/>
      <c r="D13" s="12"/>
      <c r="E13" s="12">
        <v>56.2</v>
      </c>
      <c r="F13" s="12">
        <v>53.7</v>
      </c>
      <c r="G13" s="12">
        <v>57.9</v>
      </c>
      <c r="H13" s="12">
        <v>55.6</v>
      </c>
      <c r="I13" s="12">
        <v>57.4</v>
      </c>
      <c r="J13" s="12">
        <v>62.5</v>
      </c>
      <c r="K13" s="12">
        <v>57.1</v>
      </c>
      <c r="L13" s="12">
        <v>57.6</v>
      </c>
      <c r="M13" s="12">
        <v>57.7</v>
      </c>
      <c r="N13" s="12">
        <v>52.1</v>
      </c>
      <c r="O13" s="12">
        <v>54.4</v>
      </c>
      <c r="P13" s="12">
        <v>58.8</v>
      </c>
      <c r="Q13" s="12">
        <v>54.4</v>
      </c>
      <c r="R13" s="12">
        <v>54.5</v>
      </c>
      <c r="S13" s="12">
        <v>54.8</v>
      </c>
      <c r="T13" s="12">
        <v>53.2</v>
      </c>
      <c r="U13" s="12">
        <f>+Q13</f>
        <v>54.4</v>
      </c>
      <c r="V13" s="12">
        <f>+R13</f>
        <v>54.5</v>
      </c>
      <c r="W13" s="12"/>
      <c r="X13" s="12"/>
      <c r="AD13" s="29"/>
      <c r="AE13" s="29"/>
      <c r="AF13" s="29"/>
      <c r="AG13" s="29"/>
      <c r="AH13" s="1">
        <v>16.7</v>
      </c>
      <c r="AI13" s="1">
        <v>184</v>
      </c>
      <c r="AJ13" s="1">
        <v>216.3</v>
      </c>
      <c r="AK13" s="1">
        <f t="shared" si="4"/>
        <v>233.4</v>
      </c>
      <c r="AL13" s="1">
        <f t="shared" si="5"/>
        <v>224.5</v>
      </c>
      <c r="AM13" s="1">
        <f t="shared" si="6"/>
        <v>222.1</v>
      </c>
      <c r="AN13" s="1">
        <f t="shared" si="7"/>
        <v>216.9</v>
      </c>
      <c r="AO13" s="1">
        <f t="shared" ref="AO13:BD13" si="18">+AN13*0.9</f>
        <v>195.21</v>
      </c>
      <c r="AP13" s="1">
        <f t="shared" si="18"/>
        <v>175.68900000000002</v>
      </c>
      <c r="AQ13" s="1">
        <f t="shared" si="18"/>
        <v>158.12010000000004</v>
      </c>
      <c r="AR13" s="1">
        <f t="shared" si="18"/>
        <v>142.30809000000005</v>
      </c>
      <c r="AS13" s="1">
        <f t="shared" si="18"/>
        <v>128.07728100000006</v>
      </c>
      <c r="AT13" s="1">
        <f t="shared" si="18"/>
        <v>115.26955290000005</v>
      </c>
      <c r="AU13" s="1">
        <f t="shared" si="18"/>
        <v>103.74259761000005</v>
      </c>
      <c r="AV13" s="1">
        <f t="shared" si="18"/>
        <v>93.368337849000042</v>
      </c>
      <c r="AW13" s="1">
        <f t="shared" si="18"/>
        <v>84.031504064100034</v>
      </c>
      <c r="AX13" s="1">
        <f t="shared" si="18"/>
        <v>75.628353657690027</v>
      </c>
      <c r="AY13" s="1">
        <f t="shared" si="18"/>
        <v>68.065518291921023</v>
      </c>
      <c r="AZ13" s="1">
        <f t="shared" si="18"/>
        <v>61.258966462728921</v>
      </c>
      <c r="BA13" s="1">
        <f t="shared" si="18"/>
        <v>55.133069816456029</v>
      </c>
      <c r="BB13" s="1">
        <f t="shared" si="18"/>
        <v>49.61976283481043</v>
      </c>
      <c r="BC13" s="1">
        <f t="shared" si="18"/>
        <v>44.657786551329387</v>
      </c>
      <c r="BD13" s="1">
        <f t="shared" si="18"/>
        <v>40.192007896196451</v>
      </c>
    </row>
    <row r="14" spans="1:83" s="1" customFormat="1" x14ac:dyDescent="0.2">
      <c r="B14" s="1" t="s">
        <v>172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D14" s="29"/>
      <c r="AE14" s="29"/>
      <c r="AF14" s="1">
        <v>7.8</v>
      </c>
      <c r="AG14" s="1">
        <v>52.7</v>
      </c>
      <c r="AH14" s="1">
        <v>1.4</v>
      </c>
    </row>
    <row r="15" spans="1:83" s="1" customFormat="1" x14ac:dyDescent="0.2">
      <c r="B15" s="1" t="s">
        <v>173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D15" s="1">
        <v>58.4</v>
      </c>
      <c r="AE15" s="1">
        <v>319.7</v>
      </c>
      <c r="AF15" s="1">
        <v>513.20000000000005</v>
      </c>
      <c r="AG15" s="1">
        <v>48.4</v>
      </c>
    </row>
    <row r="16" spans="1:83" s="1" customFormat="1" x14ac:dyDescent="0.2">
      <c r="B16" s="1" t="s">
        <v>174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D16" s="1">
        <v>76</v>
      </c>
      <c r="AE16" s="1">
        <v>234.5</v>
      </c>
      <c r="AF16" s="1">
        <v>333.7</v>
      </c>
      <c r="AG16" s="1">
        <v>26</v>
      </c>
    </row>
    <row r="17" spans="2:56" s="1" customFormat="1" x14ac:dyDescent="0.2">
      <c r="B17" s="1" t="s">
        <v>53</v>
      </c>
      <c r="C17" s="12"/>
      <c r="D17" s="12"/>
      <c r="E17" s="12">
        <v>27.5</v>
      </c>
      <c r="F17" s="12">
        <v>26.1</v>
      </c>
      <c r="G17" s="12">
        <v>25.5</v>
      </c>
      <c r="H17" s="12">
        <v>25.3</v>
      </c>
      <c r="I17" s="12">
        <v>24.6</v>
      </c>
      <c r="J17" s="12">
        <v>24</v>
      </c>
      <c r="K17" s="12">
        <v>22.5</v>
      </c>
      <c r="L17" s="12">
        <v>20.5</v>
      </c>
      <c r="M17" s="12">
        <v>19</v>
      </c>
      <c r="N17" s="12">
        <v>19.3</v>
      </c>
      <c r="O17" s="12">
        <v>20.399999999999999</v>
      </c>
      <c r="P17" s="12">
        <v>20.100000000000001</v>
      </c>
      <c r="Q17" s="12">
        <v>20.2</v>
      </c>
      <c r="R17" s="12">
        <v>16.7</v>
      </c>
      <c r="S17" s="12">
        <v>17.8</v>
      </c>
      <c r="T17" s="12">
        <v>13.1</v>
      </c>
      <c r="U17" s="12">
        <f>+Q17</f>
        <v>20.2</v>
      </c>
      <c r="V17" s="12">
        <f>+R17</f>
        <v>16.7</v>
      </c>
      <c r="W17" s="12"/>
      <c r="X17" s="12"/>
      <c r="AD17" s="29"/>
      <c r="AE17" s="29"/>
      <c r="AF17" s="1">
        <v>0.1</v>
      </c>
      <c r="AG17" s="1">
        <v>9</v>
      </c>
      <c r="AH17" s="1">
        <v>43.2</v>
      </c>
      <c r="AI17" s="1">
        <v>68.099999999999994</v>
      </c>
      <c r="AJ17" s="1">
        <v>97.9</v>
      </c>
      <c r="AK17" s="1">
        <f t="shared" si="4"/>
        <v>99.4</v>
      </c>
      <c r="AL17" s="1">
        <f t="shared" si="5"/>
        <v>81.3</v>
      </c>
      <c r="AM17" s="1">
        <f t="shared" si="6"/>
        <v>77.400000000000006</v>
      </c>
      <c r="AN17" s="1">
        <f t="shared" si="7"/>
        <v>67.8</v>
      </c>
      <c r="AO17" s="1">
        <f t="shared" ref="AO17:BD17" si="19">+AN17*0.9</f>
        <v>61.019999999999996</v>
      </c>
      <c r="AP17" s="1">
        <f t="shared" si="19"/>
        <v>54.917999999999999</v>
      </c>
      <c r="AQ17" s="1">
        <f t="shared" si="19"/>
        <v>49.426200000000001</v>
      </c>
      <c r="AR17" s="1">
        <f t="shared" si="19"/>
        <v>44.483580000000003</v>
      </c>
      <c r="AS17" s="1">
        <f t="shared" si="19"/>
        <v>40.035222000000005</v>
      </c>
      <c r="AT17" s="1">
        <f t="shared" si="19"/>
        <v>36.031699800000005</v>
      </c>
      <c r="AU17" s="1">
        <f t="shared" si="19"/>
        <v>32.428529820000008</v>
      </c>
      <c r="AV17" s="1">
        <f t="shared" si="19"/>
        <v>29.18567683800001</v>
      </c>
      <c r="AW17" s="1">
        <f t="shared" si="19"/>
        <v>26.267109154200011</v>
      </c>
      <c r="AX17" s="1">
        <f t="shared" si="19"/>
        <v>23.640398238780008</v>
      </c>
      <c r="AY17" s="1">
        <f t="shared" si="19"/>
        <v>21.27635841490201</v>
      </c>
      <c r="AZ17" s="1">
        <f t="shared" si="19"/>
        <v>19.14872257341181</v>
      </c>
      <c r="BA17" s="1">
        <f t="shared" si="19"/>
        <v>17.23385031607063</v>
      </c>
      <c r="BB17" s="1">
        <f t="shared" si="19"/>
        <v>15.510465284463567</v>
      </c>
      <c r="BC17" s="1">
        <f t="shared" si="19"/>
        <v>13.959418756017211</v>
      </c>
      <c r="BD17" s="1">
        <f t="shared" si="19"/>
        <v>12.563476880415489</v>
      </c>
    </row>
    <row r="18" spans="2:56" s="1" customFormat="1" x14ac:dyDescent="0.2">
      <c r="B18" s="1" t="s">
        <v>54</v>
      </c>
      <c r="C18" s="12"/>
      <c r="D18" s="12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0.5</v>
      </c>
      <c r="M18" s="12">
        <v>0.7</v>
      </c>
      <c r="N18" s="12">
        <v>3.1</v>
      </c>
      <c r="O18" s="12">
        <v>8.6</v>
      </c>
      <c r="P18" s="12">
        <v>7</v>
      </c>
      <c r="Q18" s="12">
        <v>6.9</v>
      </c>
      <c r="R18" s="12">
        <v>9.1999999999999993</v>
      </c>
      <c r="S18" s="12">
        <v>5.6</v>
      </c>
      <c r="T18" s="12">
        <v>13.7</v>
      </c>
      <c r="U18" s="12">
        <f>+T18+1</f>
        <v>14.7</v>
      </c>
      <c r="V18" s="12">
        <f>+U18+1</f>
        <v>15.7</v>
      </c>
      <c r="W18" s="12"/>
      <c r="X18" s="12"/>
      <c r="AD18" s="29"/>
      <c r="AE18" s="29"/>
      <c r="AF18" s="29"/>
      <c r="AG18" s="29"/>
      <c r="AH18" s="29"/>
      <c r="AI18" s="29"/>
      <c r="AJ18" s="29"/>
      <c r="AK18" s="29"/>
      <c r="AL18" s="1">
        <f t="shared" si="5"/>
        <v>4.3</v>
      </c>
      <c r="AM18" s="1">
        <f t="shared" si="6"/>
        <v>31.7</v>
      </c>
      <c r="AN18" s="1">
        <f t="shared" si="7"/>
        <v>49.7</v>
      </c>
      <c r="AO18" s="1">
        <f t="shared" ref="AO18:BD18" si="20">+AN18*0.9</f>
        <v>44.730000000000004</v>
      </c>
      <c r="AP18" s="1">
        <f t="shared" si="20"/>
        <v>40.257000000000005</v>
      </c>
      <c r="AQ18" s="1">
        <f t="shared" si="20"/>
        <v>36.231300000000005</v>
      </c>
      <c r="AR18" s="1">
        <f t="shared" si="20"/>
        <v>32.608170000000008</v>
      </c>
      <c r="AS18" s="1">
        <f t="shared" si="20"/>
        <v>29.347353000000009</v>
      </c>
      <c r="AT18" s="1">
        <f t="shared" si="20"/>
        <v>26.412617700000009</v>
      </c>
      <c r="AU18" s="1">
        <f t="shared" si="20"/>
        <v>23.771355930000009</v>
      </c>
      <c r="AV18" s="1">
        <f t="shared" si="20"/>
        <v>21.394220337000007</v>
      </c>
      <c r="AW18" s="1">
        <f t="shared" si="20"/>
        <v>19.254798303300007</v>
      </c>
      <c r="AX18" s="1">
        <f t="shared" si="20"/>
        <v>17.329318472970005</v>
      </c>
      <c r="AY18" s="1">
        <f t="shared" si="20"/>
        <v>15.596386625673006</v>
      </c>
      <c r="AZ18" s="1">
        <f t="shared" si="20"/>
        <v>14.036747963105705</v>
      </c>
      <c r="BA18" s="1">
        <f t="shared" si="20"/>
        <v>12.633073166795135</v>
      </c>
      <c r="BB18" s="1">
        <f t="shared" si="20"/>
        <v>11.369765850115622</v>
      </c>
      <c r="BC18" s="1">
        <f t="shared" si="20"/>
        <v>10.23278926510406</v>
      </c>
      <c r="BD18" s="1">
        <f t="shared" si="20"/>
        <v>9.2095103385936543</v>
      </c>
    </row>
    <row r="19" spans="2:56" s="1" customFormat="1" x14ac:dyDescent="0.2">
      <c r="B19" s="1" t="s">
        <v>136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0.8</v>
      </c>
      <c r="U19" s="12">
        <f>+T19+2</f>
        <v>2.8</v>
      </c>
      <c r="V19" s="12">
        <f>+U19+2</f>
        <v>4.8</v>
      </c>
      <c r="W19" s="12"/>
      <c r="X19" s="12"/>
      <c r="AD19" s="29"/>
      <c r="AE19" s="29"/>
      <c r="AF19" s="29"/>
      <c r="AG19" s="29"/>
      <c r="AH19" s="29"/>
      <c r="AI19" s="29"/>
      <c r="AJ19" s="29"/>
      <c r="AK19" s="29"/>
      <c r="AL19" s="29"/>
      <c r="AM19" s="1">
        <f t="shared" si="6"/>
        <v>0</v>
      </c>
      <c r="AN19" s="1">
        <f t="shared" si="7"/>
        <v>8.3999999999999986</v>
      </c>
      <c r="AO19" s="1">
        <f>+AN19+2</f>
        <v>10.399999999999999</v>
      </c>
      <c r="AP19" s="1">
        <f t="shared" ref="AP19:BD19" si="21">+AO19+2</f>
        <v>12.399999999999999</v>
      </c>
      <c r="AQ19" s="1">
        <f t="shared" si="21"/>
        <v>14.399999999999999</v>
      </c>
      <c r="AR19" s="1">
        <f t="shared" si="21"/>
        <v>16.399999999999999</v>
      </c>
      <c r="AS19" s="1">
        <f t="shared" si="21"/>
        <v>18.399999999999999</v>
      </c>
      <c r="AT19" s="1">
        <f t="shared" si="21"/>
        <v>20.399999999999999</v>
      </c>
      <c r="AU19" s="1">
        <f t="shared" si="21"/>
        <v>22.4</v>
      </c>
      <c r="AV19" s="1">
        <f t="shared" si="21"/>
        <v>24.4</v>
      </c>
      <c r="AW19" s="1">
        <f t="shared" si="21"/>
        <v>26.4</v>
      </c>
      <c r="AX19" s="1">
        <f t="shared" si="21"/>
        <v>28.4</v>
      </c>
      <c r="AY19" s="1">
        <f t="shared" si="21"/>
        <v>30.4</v>
      </c>
      <c r="AZ19" s="1">
        <f t="shared" si="21"/>
        <v>32.4</v>
      </c>
      <c r="BA19" s="1">
        <f t="shared" si="21"/>
        <v>34.4</v>
      </c>
      <c r="BB19" s="1">
        <f t="shared" si="21"/>
        <v>36.4</v>
      </c>
      <c r="BC19" s="1">
        <f t="shared" si="21"/>
        <v>38.4</v>
      </c>
      <c r="BD19" s="1">
        <f t="shared" si="21"/>
        <v>40.4</v>
      </c>
    </row>
    <row r="20" spans="2:56" s="1" customFormat="1" x14ac:dyDescent="0.2">
      <c r="B20" s="1" t="s">
        <v>137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>
        <v>14.9</v>
      </c>
      <c r="U20" s="12">
        <f>+T20+1</f>
        <v>15.9</v>
      </c>
      <c r="V20" s="12">
        <f>+U20+1</f>
        <v>16.899999999999999</v>
      </c>
      <c r="W20" s="12"/>
      <c r="X20" s="12"/>
      <c r="AD20" s="29"/>
      <c r="AE20" s="29"/>
      <c r="AF20" s="29"/>
      <c r="AG20" s="29"/>
      <c r="AH20" s="29"/>
      <c r="AI20" s="29"/>
      <c r="AJ20" s="29"/>
      <c r="AK20" s="29"/>
      <c r="AL20" s="29"/>
      <c r="AM20" s="1">
        <f t="shared" si="6"/>
        <v>0</v>
      </c>
      <c r="AN20" s="1">
        <f t="shared" si="7"/>
        <v>47.7</v>
      </c>
      <c r="AO20" s="1">
        <f>+AN20</f>
        <v>47.7</v>
      </c>
      <c r="AP20" s="1">
        <f t="shared" ref="AP20:BD20" si="22">+AO20</f>
        <v>47.7</v>
      </c>
      <c r="AQ20" s="1">
        <f t="shared" si="22"/>
        <v>47.7</v>
      </c>
      <c r="AR20" s="1">
        <f t="shared" si="22"/>
        <v>47.7</v>
      </c>
      <c r="AS20" s="1">
        <f t="shared" si="22"/>
        <v>47.7</v>
      </c>
      <c r="AT20" s="1">
        <f t="shared" si="22"/>
        <v>47.7</v>
      </c>
      <c r="AU20" s="1">
        <f t="shared" si="22"/>
        <v>47.7</v>
      </c>
      <c r="AV20" s="1">
        <f t="shared" si="22"/>
        <v>47.7</v>
      </c>
      <c r="AW20" s="1">
        <f t="shared" si="22"/>
        <v>47.7</v>
      </c>
      <c r="AX20" s="1">
        <f t="shared" si="22"/>
        <v>47.7</v>
      </c>
      <c r="AY20" s="1">
        <f t="shared" si="22"/>
        <v>47.7</v>
      </c>
      <c r="AZ20" s="1">
        <f t="shared" si="22"/>
        <v>47.7</v>
      </c>
      <c r="BA20" s="1">
        <f t="shared" si="22"/>
        <v>47.7</v>
      </c>
      <c r="BB20" s="1">
        <f t="shared" si="22"/>
        <v>47.7</v>
      </c>
      <c r="BC20" s="1">
        <f t="shared" si="22"/>
        <v>47.7</v>
      </c>
      <c r="BD20" s="1">
        <f t="shared" si="22"/>
        <v>47.7</v>
      </c>
    </row>
    <row r="21" spans="2:56" s="1" customFormat="1" x14ac:dyDescent="0.2">
      <c r="B21" s="1" t="s">
        <v>55</v>
      </c>
      <c r="C21" s="12"/>
      <c r="D21" s="12"/>
      <c r="E21" s="12">
        <v>3.1</v>
      </c>
      <c r="F21" s="12">
        <v>3.1</v>
      </c>
      <c r="G21" s="12">
        <v>2.8</v>
      </c>
      <c r="H21" s="12">
        <v>3.1</v>
      </c>
      <c r="I21" s="12">
        <v>2.5</v>
      </c>
      <c r="J21" s="12">
        <v>2.7</v>
      </c>
      <c r="K21" s="12">
        <v>2.2000000000000002</v>
      </c>
      <c r="L21" s="12">
        <v>2.7</v>
      </c>
      <c r="M21" s="12">
        <v>1.5</v>
      </c>
      <c r="N21" s="12">
        <v>1.8</v>
      </c>
      <c r="O21" s="12">
        <v>2.4</v>
      </c>
      <c r="P21" s="12"/>
      <c r="Q21" s="12"/>
      <c r="AD21" s="1">
        <v>62.5</v>
      </c>
      <c r="AE21" s="1">
        <v>51.4</v>
      </c>
      <c r="AF21" s="1">
        <v>45.9</v>
      </c>
      <c r="AG21" s="1">
        <v>39.6</v>
      </c>
      <c r="AH21" s="1">
        <v>22.3</v>
      </c>
      <c r="AI21" s="1">
        <v>15.2</v>
      </c>
      <c r="AJ21" s="1">
        <v>12.2</v>
      </c>
      <c r="AK21" s="1">
        <f t="shared" si="4"/>
        <v>11.100000000000001</v>
      </c>
      <c r="AL21" s="1">
        <f t="shared" si="5"/>
        <v>8.2000000000000011</v>
      </c>
      <c r="AM21" s="1">
        <f t="shared" si="6"/>
        <v>2.4</v>
      </c>
      <c r="AN21" s="1">
        <f t="shared" si="7"/>
        <v>0</v>
      </c>
      <c r="AO21" s="1">
        <f t="shared" ref="AO21:BD21" si="23">+AN21*0.9</f>
        <v>0</v>
      </c>
      <c r="AP21" s="1">
        <f t="shared" si="23"/>
        <v>0</v>
      </c>
      <c r="AQ21" s="1">
        <f t="shared" si="23"/>
        <v>0</v>
      </c>
      <c r="AR21" s="1">
        <f t="shared" si="23"/>
        <v>0</v>
      </c>
      <c r="AS21" s="1">
        <f t="shared" si="23"/>
        <v>0</v>
      </c>
      <c r="AT21" s="1">
        <f t="shared" si="23"/>
        <v>0</v>
      </c>
      <c r="AU21" s="1">
        <f t="shared" si="23"/>
        <v>0</v>
      </c>
      <c r="AV21" s="1">
        <f t="shared" si="23"/>
        <v>0</v>
      </c>
      <c r="AW21" s="1">
        <f t="shared" si="23"/>
        <v>0</v>
      </c>
      <c r="AX21" s="1">
        <f t="shared" si="23"/>
        <v>0</v>
      </c>
      <c r="AY21" s="1">
        <f t="shared" si="23"/>
        <v>0</v>
      </c>
      <c r="AZ21" s="1">
        <f t="shared" si="23"/>
        <v>0</v>
      </c>
      <c r="BA21" s="1">
        <f t="shared" si="23"/>
        <v>0</v>
      </c>
      <c r="BB21" s="1">
        <f t="shared" si="23"/>
        <v>0</v>
      </c>
      <c r="BC21" s="1">
        <f t="shared" si="23"/>
        <v>0</v>
      </c>
      <c r="BD21" s="1">
        <f t="shared" si="23"/>
        <v>0</v>
      </c>
    </row>
    <row r="22" spans="2:56" s="1" customFormat="1" x14ac:dyDescent="0.2">
      <c r="B22" s="1" t="s">
        <v>117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>
        <v>-18.899999999999999</v>
      </c>
      <c r="P22" s="12"/>
      <c r="Q22" s="12"/>
      <c r="R22" s="26" t="s">
        <v>141</v>
      </c>
      <c r="S22" s="26" t="s">
        <v>140</v>
      </c>
      <c r="T22" s="26" t="s">
        <v>139</v>
      </c>
      <c r="U22" s="1">
        <f>+T22+25</f>
        <v>65</v>
      </c>
      <c r="V22" s="1">
        <f>+U22+25</f>
        <v>90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1">
        <f t="shared" si="6"/>
        <v>-18.899999999999999</v>
      </c>
      <c r="AN22" s="1">
        <f t="shared" si="7"/>
        <v>155</v>
      </c>
      <c r="AO22" s="1">
        <v>500</v>
      </c>
      <c r="AP22" s="1">
        <v>1000</v>
      </c>
      <c r="AQ22" s="1">
        <f>+AP22*1.05</f>
        <v>1050</v>
      </c>
      <c r="AR22" s="1">
        <f t="shared" ref="AR22:AS22" si="24">+AQ22*1.05</f>
        <v>1102.5</v>
      </c>
      <c r="AS22" s="1">
        <f t="shared" si="24"/>
        <v>1157.625</v>
      </c>
      <c r="AT22" s="1">
        <f>+AS22*1.02</f>
        <v>1180.7774999999999</v>
      </c>
      <c r="AU22" s="1">
        <f t="shared" ref="AU22:BD22" si="25">+AT22*1.02</f>
        <v>1204.3930499999999</v>
      </c>
      <c r="AV22" s="1">
        <f t="shared" si="25"/>
        <v>1228.4809109999999</v>
      </c>
      <c r="AW22" s="1">
        <f t="shared" si="25"/>
        <v>1253.0505292199998</v>
      </c>
      <c r="AX22" s="1">
        <f t="shared" si="25"/>
        <v>1278.1115398043999</v>
      </c>
      <c r="AY22" s="1">
        <f t="shared" si="25"/>
        <v>1303.6737706004878</v>
      </c>
      <c r="AZ22" s="1">
        <f t="shared" si="25"/>
        <v>1329.7472460124977</v>
      </c>
      <c r="BA22" s="1">
        <f t="shared" si="25"/>
        <v>1356.3421909327476</v>
      </c>
      <c r="BB22" s="1">
        <f t="shared" si="25"/>
        <v>1383.4690347514027</v>
      </c>
      <c r="BC22" s="1">
        <f t="shared" si="25"/>
        <v>1411.1384154464308</v>
      </c>
      <c r="BD22" s="1">
        <f t="shared" si="25"/>
        <v>1439.3611837553594</v>
      </c>
    </row>
    <row r="23" spans="2:56" s="1" customFormat="1" x14ac:dyDescent="0.2">
      <c r="B23" s="1" t="s">
        <v>56</v>
      </c>
      <c r="C23" s="12"/>
      <c r="D23" s="12"/>
      <c r="E23" s="12">
        <v>0</v>
      </c>
      <c r="F23" s="12">
        <v>0</v>
      </c>
      <c r="G23" s="12">
        <v>0</v>
      </c>
      <c r="H23" s="12">
        <v>1.6</v>
      </c>
      <c r="I23" s="12">
        <v>0.3</v>
      </c>
      <c r="J23" s="12">
        <v>1</v>
      </c>
      <c r="K23" s="12">
        <v>2.8</v>
      </c>
      <c r="L23" s="12">
        <v>0.1</v>
      </c>
      <c r="M23" s="12">
        <v>1.6</v>
      </c>
      <c r="N23" s="12">
        <v>0.3</v>
      </c>
      <c r="O23" s="12"/>
      <c r="P23" s="12"/>
      <c r="Q23" s="12"/>
      <c r="AD23" s="29"/>
      <c r="AE23" s="29"/>
      <c r="AF23" s="29"/>
      <c r="AG23" s="29"/>
      <c r="AH23" s="29"/>
      <c r="AI23" s="29"/>
      <c r="AJ23" s="29"/>
      <c r="AK23" s="1">
        <f t="shared" si="4"/>
        <v>2.9000000000000004</v>
      </c>
      <c r="AL23" s="1">
        <f t="shared" si="5"/>
        <v>4.8</v>
      </c>
      <c r="AM23" s="1">
        <f t="shared" si="6"/>
        <v>0</v>
      </c>
      <c r="AN23" s="1">
        <f t="shared" si="7"/>
        <v>0</v>
      </c>
      <c r="AO23" s="1">
        <f t="shared" ref="AO23:BD23" si="26">+AN23*0.9</f>
        <v>0</v>
      </c>
      <c r="AP23" s="1">
        <f t="shared" si="26"/>
        <v>0</v>
      </c>
      <c r="AQ23" s="1">
        <f t="shared" si="26"/>
        <v>0</v>
      </c>
      <c r="AR23" s="1">
        <f t="shared" si="26"/>
        <v>0</v>
      </c>
      <c r="AS23" s="1">
        <f t="shared" si="26"/>
        <v>0</v>
      </c>
      <c r="AT23" s="1">
        <f t="shared" si="26"/>
        <v>0</v>
      </c>
      <c r="AU23" s="1">
        <f t="shared" si="26"/>
        <v>0</v>
      </c>
      <c r="AV23" s="1">
        <f t="shared" si="26"/>
        <v>0</v>
      </c>
      <c r="AW23" s="1">
        <f t="shared" si="26"/>
        <v>0</v>
      </c>
      <c r="AX23" s="1">
        <f t="shared" si="26"/>
        <v>0</v>
      </c>
      <c r="AY23" s="1">
        <f t="shared" si="26"/>
        <v>0</v>
      </c>
      <c r="AZ23" s="1">
        <f t="shared" si="26"/>
        <v>0</v>
      </c>
      <c r="BA23" s="1">
        <f t="shared" si="26"/>
        <v>0</v>
      </c>
      <c r="BB23" s="1">
        <f t="shared" si="26"/>
        <v>0</v>
      </c>
      <c r="BC23" s="1">
        <f t="shared" si="26"/>
        <v>0</v>
      </c>
      <c r="BD23" s="1">
        <f t="shared" si="26"/>
        <v>0</v>
      </c>
    </row>
    <row r="24" spans="2:56" s="1" customFormat="1" x14ac:dyDescent="0.2">
      <c r="B24" s="1" t="s">
        <v>57</v>
      </c>
      <c r="C24" s="12"/>
      <c r="D24" s="12"/>
      <c r="E24" s="12">
        <f t="shared" ref="E24:V24" si="27">SUM(E3:E23)</f>
        <v>2690.2999999999993</v>
      </c>
      <c r="F24" s="12">
        <f t="shared" si="27"/>
        <v>2301.5999999999995</v>
      </c>
      <c r="G24" s="12">
        <f t="shared" si="27"/>
        <v>2211.7000000000003</v>
      </c>
      <c r="H24" s="12">
        <f t="shared" si="27"/>
        <v>2235.9999999999995</v>
      </c>
      <c r="I24" s="12">
        <f t="shared" si="27"/>
        <v>2205.7000000000003</v>
      </c>
      <c r="J24" s="12">
        <f t="shared" si="27"/>
        <v>2193.7999999999997</v>
      </c>
      <c r="K24" s="12">
        <f t="shared" si="27"/>
        <v>2066.3000000000002</v>
      </c>
      <c r="L24" s="12">
        <f t="shared" si="27"/>
        <v>2054.7999999999997</v>
      </c>
      <c r="M24" s="12">
        <f t="shared" si="27"/>
        <v>1962.1000000000001</v>
      </c>
      <c r="N24" s="12">
        <f t="shared" si="27"/>
        <v>1904.4999999999998</v>
      </c>
      <c r="O24" s="12">
        <f t="shared" si="27"/>
        <v>1744.4</v>
      </c>
      <c r="P24" s="12">
        <f t="shared" si="27"/>
        <v>1841.5</v>
      </c>
      <c r="Q24" s="12">
        <f t="shared" si="27"/>
        <v>1801.5000000000002</v>
      </c>
      <c r="R24" s="12">
        <f t="shared" si="27"/>
        <v>1828.4</v>
      </c>
      <c r="S24" s="12">
        <f t="shared" si="27"/>
        <v>1696.6999999999998</v>
      </c>
      <c r="T24" s="12">
        <f t="shared" si="27"/>
        <v>1896.9</v>
      </c>
      <c r="U24" s="12">
        <f t="shared" si="27"/>
        <v>1955.6000000000004</v>
      </c>
      <c r="V24" s="12">
        <f t="shared" si="27"/>
        <v>1972.9300000000003</v>
      </c>
      <c r="W24" s="12"/>
      <c r="X24" s="12"/>
      <c r="AD24" s="1">
        <f t="shared" ref="AD24:AI24" si="28">SUM(AD3:AD23)</f>
        <v>8203.3999999999978</v>
      </c>
      <c r="AE24" s="1">
        <f t="shared" si="28"/>
        <v>9188.5000000000018</v>
      </c>
      <c r="AF24" s="1">
        <f t="shared" si="28"/>
        <v>9817.9</v>
      </c>
      <c r="AG24" s="1">
        <f t="shared" si="28"/>
        <v>10354.700000000001</v>
      </c>
      <c r="AH24" s="1">
        <f t="shared" si="28"/>
        <v>10886.800000000003</v>
      </c>
      <c r="AI24" s="1">
        <f t="shared" ref="AI24:BD24" si="29">SUM(AI3:AI23)</f>
        <v>11379.800000000001</v>
      </c>
      <c r="AJ24" s="1">
        <f t="shared" si="29"/>
        <v>10692.2</v>
      </c>
      <c r="AK24" s="1">
        <f t="shared" si="29"/>
        <v>8847.1999999999989</v>
      </c>
      <c r="AL24" s="1">
        <f t="shared" si="29"/>
        <v>7987.7000000000007</v>
      </c>
      <c r="AM24" s="1">
        <f t="shared" si="29"/>
        <v>7215.8</v>
      </c>
      <c r="AN24" s="1">
        <f t="shared" si="29"/>
        <v>7522.13</v>
      </c>
      <c r="AO24" s="1">
        <f t="shared" si="29"/>
        <v>7404.98</v>
      </c>
      <c r="AP24" s="1">
        <f t="shared" si="29"/>
        <v>7697.3659500000003</v>
      </c>
      <c r="AQ24" s="1">
        <f t="shared" si="29"/>
        <v>7589.2013754999998</v>
      </c>
      <c r="AR24" s="1">
        <f t="shared" si="29"/>
        <v>7333.1291344650017</v>
      </c>
      <c r="AS24" s="1">
        <f t="shared" si="29"/>
        <v>7010.6666048589514</v>
      </c>
      <c r="AT24" s="1">
        <f t="shared" si="29"/>
        <v>6715.8620688272194</v>
      </c>
      <c r="AU24" s="1">
        <f t="shared" si="29"/>
        <v>6158.2804273540632</v>
      </c>
      <c r="AV24" s="1">
        <f t="shared" si="29"/>
        <v>5882.2866507996732</v>
      </c>
      <c r="AW24" s="1">
        <f t="shared" si="29"/>
        <v>5656.4346434708805</v>
      </c>
      <c r="AX24" s="1">
        <f t="shared" si="29"/>
        <v>5473.3350674115245</v>
      </c>
      <c r="AY24" s="1">
        <f t="shared" si="29"/>
        <v>5326.8422918058723</v>
      </c>
      <c r="AZ24" s="1">
        <f t="shared" si="29"/>
        <v>3158.1009740765103</v>
      </c>
      <c r="BA24" s="1">
        <f t="shared" si="29"/>
        <v>2823.8622312779275</v>
      </c>
      <c r="BB24" s="1">
        <f t="shared" si="29"/>
        <v>2693.1769803415928</v>
      </c>
      <c r="BC24" s="1">
        <f t="shared" si="29"/>
        <v>2600.3056028577757</v>
      </c>
      <c r="BD24" s="1">
        <f t="shared" si="29"/>
        <v>2526.4571783603096</v>
      </c>
    </row>
    <row r="25" spans="2:56" s="1" customFormat="1" x14ac:dyDescent="0.2">
      <c r="B25" s="1" t="s">
        <v>74</v>
      </c>
      <c r="C25" s="12"/>
      <c r="D25" s="12"/>
      <c r="E25" s="12">
        <v>272.39999999999998</v>
      </c>
      <c r="F25" s="12">
        <v>202.4</v>
      </c>
      <c r="G25" s="12">
        <v>209.3</v>
      </c>
      <c r="H25" s="12"/>
      <c r="I25" s="12">
        <v>264.3</v>
      </c>
      <c r="J25" s="12">
        <v>261.2</v>
      </c>
      <c r="K25" s="12">
        <v>252.3</v>
      </c>
      <c r="L25" s="12"/>
      <c r="M25" s="12">
        <v>281.10000000000002</v>
      </c>
      <c r="N25" s="12">
        <v>311.10000000000002</v>
      </c>
      <c r="O25" s="12">
        <v>283.60000000000002</v>
      </c>
      <c r="P25" s="12">
        <v>325.5</v>
      </c>
      <c r="Q25" s="12">
        <v>319.10000000000002</v>
      </c>
      <c r="R25" s="1">
        <v>338</v>
      </c>
      <c r="S25" s="1">
        <v>302.7</v>
      </c>
      <c r="T25" s="1">
        <v>336.3</v>
      </c>
      <c r="U25" s="1">
        <f>+Q25</f>
        <v>319.10000000000002</v>
      </c>
      <c r="V25" s="1">
        <f>+R25</f>
        <v>338</v>
      </c>
      <c r="AI25" s="1">
        <v>748</v>
      </c>
      <c r="AJ25" s="1">
        <v>897.6</v>
      </c>
      <c r="AK25" s="1">
        <f t="shared" si="4"/>
        <v>734.8</v>
      </c>
      <c r="AL25" s="1">
        <f>SUM(K25:N25)</f>
        <v>844.50000000000011</v>
      </c>
      <c r="AM25" s="1">
        <f t="shared" si="6"/>
        <v>1266.2</v>
      </c>
      <c r="AN25" s="1">
        <f t="shared" si="7"/>
        <v>1296.0999999999999</v>
      </c>
      <c r="AO25" s="1">
        <f t="shared" ref="AO25:BD25" si="30">+AN25*0.9</f>
        <v>1166.49</v>
      </c>
      <c r="AP25" s="1">
        <f t="shared" si="30"/>
        <v>1049.8410000000001</v>
      </c>
      <c r="AQ25" s="1">
        <f t="shared" si="30"/>
        <v>944.85690000000011</v>
      </c>
      <c r="AR25" s="1">
        <f t="shared" si="30"/>
        <v>850.37121000000013</v>
      </c>
      <c r="AS25" s="1">
        <f t="shared" si="30"/>
        <v>765.33408900000018</v>
      </c>
      <c r="AT25" s="1">
        <f t="shared" si="30"/>
        <v>688.80068010000014</v>
      </c>
      <c r="AU25" s="1">
        <f t="shared" si="30"/>
        <v>619.92061209000019</v>
      </c>
      <c r="AV25" s="1">
        <f t="shared" si="30"/>
        <v>557.92855088100021</v>
      </c>
      <c r="AW25" s="1">
        <f t="shared" si="30"/>
        <v>502.13569579290021</v>
      </c>
      <c r="AX25" s="1">
        <f t="shared" si="30"/>
        <v>451.92212621361017</v>
      </c>
      <c r="AY25" s="1">
        <f t="shared" si="30"/>
        <v>406.72991359224915</v>
      </c>
      <c r="AZ25" s="1">
        <f t="shared" si="30"/>
        <v>366.05692223302424</v>
      </c>
      <c r="BA25" s="1">
        <f t="shared" si="30"/>
        <v>329.45123000972183</v>
      </c>
      <c r="BB25" s="1">
        <f t="shared" si="30"/>
        <v>296.50610700874967</v>
      </c>
      <c r="BC25" s="1">
        <f t="shared" si="30"/>
        <v>266.85549630787472</v>
      </c>
      <c r="BD25" s="1">
        <f t="shared" si="30"/>
        <v>240.16994667708724</v>
      </c>
    </row>
    <row r="26" spans="2:56" s="1" customFormat="1" x14ac:dyDescent="0.2">
      <c r="B26" s="1" t="s">
        <v>75</v>
      </c>
      <c r="C26" s="12"/>
      <c r="D26" s="12"/>
      <c r="E26" s="12">
        <v>287.7</v>
      </c>
      <c r="F26" s="12">
        <v>216.6</v>
      </c>
      <c r="G26" s="12">
        <v>179.7</v>
      </c>
      <c r="H26" s="12"/>
      <c r="I26" s="12">
        <v>151.1</v>
      </c>
      <c r="J26" s="12">
        <v>152.9</v>
      </c>
      <c r="K26" s="12">
        <v>147.1</v>
      </c>
      <c r="L26" s="12"/>
      <c r="M26" s="12">
        <v>135.80000000000001</v>
      </c>
      <c r="N26" s="12">
        <v>136.80000000000001</v>
      </c>
      <c r="O26" s="12">
        <v>112.5</v>
      </c>
      <c r="P26" s="12">
        <v>103.6</v>
      </c>
      <c r="Q26" s="12">
        <v>98.9</v>
      </c>
      <c r="R26" s="1">
        <v>94.4</v>
      </c>
      <c r="S26" s="1">
        <v>87.1</v>
      </c>
      <c r="T26" s="1">
        <v>103.4</v>
      </c>
      <c r="U26" s="1">
        <f>+Q26</f>
        <v>98.9</v>
      </c>
      <c r="V26" s="1">
        <f>+R26</f>
        <v>94.4</v>
      </c>
      <c r="AB26" s="1">
        <v>1137.9000000000001</v>
      </c>
      <c r="AC26" s="1">
        <v>1126</v>
      </c>
      <c r="AD26" s="1">
        <v>1195.4000000000001</v>
      </c>
      <c r="AE26" s="1">
        <v>1339.2</v>
      </c>
      <c r="AF26" s="1">
        <v>1314.5</v>
      </c>
      <c r="AG26" s="1">
        <v>1559.2</v>
      </c>
      <c r="AH26" s="1">
        <v>1980.2</v>
      </c>
      <c r="AI26" s="1">
        <v>1542.4</v>
      </c>
      <c r="AJ26" s="1">
        <v>1080.2</v>
      </c>
      <c r="AK26" s="1">
        <f t="shared" si="4"/>
        <v>483.69999999999993</v>
      </c>
      <c r="AL26" s="1">
        <f t="shared" si="5"/>
        <v>419.7</v>
      </c>
      <c r="AM26" s="1">
        <f t="shared" si="6"/>
        <v>409.4</v>
      </c>
      <c r="AN26" s="1">
        <f t="shared" si="7"/>
        <v>383.79999999999995</v>
      </c>
      <c r="AO26" s="1">
        <f t="shared" ref="AO26:BD26" si="31">+AN26*0.9</f>
        <v>345.41999999999996</v>
      </c>
      <c r="AP26" s="1">
        <f t="shared" si="31"/>
        <v>310.87799999999999</v>
      </c>
      <c r="AQ26" s="1">
        <f t="shared" si="31"/>
        <v>279.79019999999997</v>
      </c>
      <c r="AR26" s="1">
        <f t="shared" si="31"/>
        <v>251.81117999999998</v>
      </c>
      <c r="AS26" s="1">
        <f t="shared" si="31"/>
        <v>226.63006199999998</v>
      </c>
      <c r="AT26" s="1">
        <f t="shared" si="31"/>
        <v>203.9670558</v>
      </c>
      <c r="AU26" s="1">
        <f t="shared" si="31"/>
        <v>183.57035021999999</v>
      </c>
      <c r="AV26" s="1">
        <f t="shared" si="31"/>
        <v>165.213315198</v>
      </c>
      <c r="AW26" s="1">
        <f t="shared" si="31"/>
        <v>148.69198367820002</v>
      </c>
      <c r="AX26" s="1">
        <f t="shared" si="31"/>
        <v>133.82278531038003</v>
      </c>
      <c r="AY26" s="1">
        <f t="shared" si="31"/>
        <v>120.44050677934203</v>
      </c>
      <c r="AZ26" s="1">
        <f t="shared" si="31"/>
        <v>108.39645610140784</v>
      </c>
      <c r="BA26" s="1">
        <f t="shared" si="31"/>
        <v>97.556810491267058</v>
      </c>
      <c r="BB26" s="1">
        <f t="shared" si="31"/>
        <v>87.801129442140351</v>
      </c>
      <c r="BC26" s="1">
        <f t="shared" si="31"/>
        <v>79.021016497926311</v>
      </c>
      <c r="BD26" s="1">
        <f t="shared" si="31"/>
        <v>71.118914848133684</v>
      </c>
    </row>
    <row r="27" spans="2:56" s="1" customFormat="1" x14ac:dyDescent="0.2">
      <c r="B27" s="1" t="s">
        <v>58</v>
      </c>
      <c r="C27" s="12"/>
      <c r="D27" s="12"/>
      <c r="E27" s="12"/>
      <c r="F27" s="12"/>
      <c r="G27" s="12"/>
      <c r="H27" s="12">
        <v>440</v>
      </c>
      <c r="I27" s="12"/>
      <c r="J27" s="12"/>
      <c r="K27" s="12"/>
      <c r="L27" s="12">
        <v>436.3</v>
      </c>
      <c r="M27" s="12">
        <f>+M25+M26</f>
        <v>416.90000000000003</v>
      </c>
      <c r="N27" s="12">
        <f>+N25+N26</f>
        <v>447.90000000000003</v>
      </c>
      <c r="O27" s="12">
        <f>+O25+O26+3.4</f>
        <v>399.5</v>
      </c>
      <c r="P27" s="12">
        <v>4.3</v>
      </c>
      <c r="Q27" s="12">
        <v>2.9</v>
      </c>
      <c r="R27" s="12">
        <v>3.4</v>
      </c>
      <c r="S27" s="12">
        <v>4.2</v>
      </c>
      <c r="T27" s="12">
        <v>4.8</v>
      </c>
      <c r="U27" s="1">
        <f>+Q27</f>
        <v>2.9</v>
      </c>
      <c r="V27" s="1">
        <f>+R27</f>
        <v>3.4</v>
      </c>
      <c r="W27" s="12"/>
      <c r="X27" s="12"/>
      <c r="AK27" s="1">
        <f t="shared" si="4"/>
        <v>440</v>
      </c>
      <c r="AL27" s="1">
        <f t="shared" si="5"/>
        <v>1301.1000000000001</v>
      </c>
      <c r="AM27" s="1">
        <f t="shared" si="6"/>
        <v>410.09999999999997</v>
      </c>
      <c r="AN27" s="1">
        <f t="shared" si="7"/>
        <v>15.3</v>
      </c>
      <c r="AO27" s="1">
        <f t="shared" ref="AO27:BD27" si="32">+AN27*0.9</f>
        <v>13.770000000000001</v>
      </c>
      <c r="AP27" s="1">
        <f t="shared" si="32"/>
        <v>12.393000000000001</v>
      </c>
      <c r="AQ27" s="1">
        <f t="shared" si="32"/>
        <v>11.153700000000001</v>
      </c>
      <c r="AR27" s="1">
        <f t="shared" si="32"/>
        <v>10.03833</v>
      </c>
      <c r="AS27" s="1">
        <f t="shared" si="32"/>
        <v>9.034497</v>
      </c>
      <c r="AT27" s="1">
        <f t="shared" si="32"/>
        <v>8.1310473000000005</v>
      </c>
      <c r="AU27" s="1">
        <f t="shared" si="32"/>
        <v>7.3179425700000005</v>
      </c>
      <c r="AV27" s="1">
        <f t="shared" si="32"/>
        <v>6.5861483130000007</v>
      </c>
      <c r="AW27" s="1">
        <f t="shared" si="32"/>
        <v>5.9275334817000012</v>
      </c>
      <c r="AX27" s="1">
        <f t="shared" si="32"/>
        <v>5.3347801335300016</v>
      </c>
      <c r="AY27" s="1">
        <f t="shared" si="32"/>
        <v>4.8013021201770014</v>
      </c>
      <c r="AZ27" s="1">
        <f t="shared" si="32"/>
        <v>4.3211719081593012</v>
      </c>
      <c r="BA27" s="1">
        <f t="shared" si="32"/>
        <v>3.8890547173433712</v>
      </c>
      <c r="BB27" s="1">
        <f t="shared" si="32"/>
        <v>3.500149245609034</v>
      </c>
      <c r="BC27" s="1">
        <f t="shared" si="32"/>
        <v>3.1501343210481307</v>
      </c>
      <c r="BD27" s="1">
        <f t="shared" si="32"/>
        <v>2.8351208889433179</v>
      </c>
    </row>
    <row r="28" spans="2:56" s="1" customFormat="1" x14ac:dyDescent="0.2">
      <c r="B28" s="1" t="s">
        <v>59</v>
      </c>
      <c r="C28" s="12"/>
      <c r="D28" s="12"/>
      <c r="E28" s="12">
        <v>125.7</v>
      </c>
      <c r="F28" s="12">
        <v>132</v>
      </c>
      <c r="G28" s="12">
        <v>93.3</v>
      </c>
      <c r="H28" s="12">
        <v>99</v>
      </c>
      <c r="I28" s="12">
        <v>157.80000000000001</v>
      </c>
      <c r="J28" s="12">
        <v>126.2</v>
      </c>
      <c r="K28" s="12">
        <v>66.099999999999994</v>
      </c>
      <c r="L28" s="12">
        <v>98</v>
      </c>
      <c r="M28" s="12">
        <v>129.5</v>
      </c>
      <c r="N28" s="12">
        <v>191.6</v>
      </c>
      <c r="O28" s="12">
        <v>319.10000000000002</v>
      </c>
      <c r="P28" s="12">
        <f>4.3+197.5-20.7</f>
        <v>181.10000000000002</v>
      </c>
      <c r="Q28" s="12">
        <f>3.7+304.2</f>
        <v>307.89999999999998</v>
      </c>
      <c r="R28" s="12">
        <f>4+118.1</f>
        <v>122.1</v>
      </c>
      <c r="S28" s="12">
        <f>15.2+184.6</f>
        <v>199.79999999999998</v>
      </c>
      <c r="T28" s="12">
        <f>120.8+2.7</f>
        <v>123.5</v>
      </c>
      <c r="U28" s="1">
        <f>+Q28</f>
        <v>307.89999999999998</v>
      </c>
      <c r="V28" s="1">
        <f>+R28</f>
        <v>122.1</v>
      </c>
      <c r="W28" s="12"/>
      <c r="X28" s="12"/>
      <c r="AB28" s="1">
        <v>212.5</v>
      </c>
      <c r="AC28" s="1">
        <v>263.89999999999998</v>
      </c>
      <c r="AD28" s="1">
        <v>304.5</v>
      </c>
      <c r="AE28" s="1">
        <v>236.1</v>
      </c>
      <c r="AF28" s="1">
        <v>316.39999999999998</v>
      </c>
      <c r="AG28" s="1">
        <v>360</v>
      </c>
      <c r="AH28" s="1">
        <v>585.9</v>
      </c>
      <c r="AI28" s="1">
        <v>707.7</v>
      </c>
      <c r="AJ28" s="1">
        <v>774.6</v>
      </c>
      <c r="AK28" s="1">
        <f t="shared" si="4"/>
        <v>476.3</v>
      </c>
      <c r="AL28" s="1">
        <f t="shared" si="5"/>
        <v>485.20000000000005</v>
      </c>
      <c r="AM28" s="1">
        <f t="shared" si="6"/>
        <v>930.2</v>
      </c>
      <c r="AN28" s="1">
        <f t="shared" si="7"/>
        <v>753.3</v>
      </c>
      <c r="AO28" s="1">
        <f t="shared" ref="AO28:BD28" si="33">+AN28*0.9</f>
        <v>677.97</v>
      </c>
      <c r="AP28" s="1">
        <f t="shared" si="33"/>
        <v>610.173</v>
      </c>
      <c r="AQ28" s="1">
        <f t="shared" si="33"/>
        <v>549.15570000000002</v>
      </c>
      <c r="AR28" s="1">
        <f t="shared" si="33"/>
        <v>494.24013000000002</v>
      </c>
      <c r="AS28" s="1">
        <f t="shared" si="33"/>
        <v>444.81611700000002</v>
      </c>
      <c r="AT28" s="1">
        <f t="shared" si="33"/>
        <v>400.33450530000005</v>
      </c>
      <c r="AU28" s="1">
        <f t="shared" si="33"/>
        <v>360.30105477000006</v>
      </c>
      <c r="AV28" s="1">
        <f t="shared" si="33"/>
        <v>324.27094929300006</v>
      </c>
      <c r="AW28" s="1">
        <f t="shared" si="33"/>
        <v>291.84385436370007</v>
      </c>
      <c r="AX28" s="1">
        <f t="shared" si="33"/>
        <v>262.65946892733007</v>
      </c>
      <c r="AY28" s="1">
        <f t="shared" si="33"/>
        <v>236.39352203459705</v>
      </c>
      <c r="AZ28" s="1">
        <f t="shared" si="33"/>
        <v>212.75416983113735</v>
      </c>
      <c r="BA28" s="1">
        <f t="shared" si="33"/>
        <v>191.47875284802362</v>
      </c>
      <c r="BB28" s="1">
        <f t="shared" si="33"/>
        <v>172.33087756322126</v>
      </c>
      <c r="BC28" s="1">
        <f t="shared" si="33"/>
        <v>155.09778980689913</v>
      </c>
      <c r="BD28" s="1">
        <f t="shared" si="33"/>
        <v>139.58801082620923</v>
      </c>
    </row>
    <row r="29" spans="2:56" s="13" customFormat="1" x14ac:dyDescent="0.2">
      <c r="B29" s="13" t="s">
        <v>34</v>
      </c>
      <c r="C29" s="14"/>
      <c r="D29" s="14"/>
      <c r="E29" s="14">
        <f t="shared" ref="E29:L29" si="34">SUM(E24:E28)</f>
        <v>3376.099999999999</v>
      </c>
      <c r="F29" s="14">
        <f t="shared" si="34"/>
        <v>2852.5999999999995</v>
      </c>
      <c r="G29" s="14">
        <f t="shared" si="34"/>
        <v>2694.0000000000005</v>
      </c>
      <c r="H29" s="14">
        <f t="shared" si="34"/>
        <v>2774.9999999999995</v>
      </c>
      <c r="I29" s="14">
        <f t="shared" si="34"/>
        <v>2778.9000000000005</v>
      </c>
      <c r="J29" s="14">
        <f t="shared" si="34"/>
        <v>2734.0999999999995</v>
      </c>
      <c r="K29" s="14">
        <f t="shared" si="34"/>
        <v>2531.8000000000002</v>
      </c>
      <c r="L29" s="14">
        <f t="shared" si="34"/>
        <v>2589.1</v>
      </c>
      <c r="M29" s="14">
        <f>+M24+M27+M28</f>
        <v>2508.5</v>
      </c>
      <c r="N29" s="14">
        <f>+N24+N27+N28</f>
        <v>2543.9999999999995</v>
      </c>
      <c r="O29" s="14">
        <f>+O24+O27+O28</f>
        <v>2463</v>
      </c>
      <c r="P29" s="14">
        <f t="shared" ref="P29:V29" si="35">SUM(P24:P28)</f>
        <v>2456</v>
      </c>
      <c r="Q29" s="14">
        <f t="shared" si="35"/>
        <v>2530.3000000000006</v>
      </c>
      <c r="R29" s="14">
        <f t="shared" si="35"/>
        <v>2386.3000000000002</v>
      </c>
      <c r="S29" s="14">
        <f t="shared" si="35"/>
        <v>2290.5</v>
      </c>
      <c r="T29" s="14">
        <f t="shared" si="35"/>
        <v>2464.9000000000005</v>
      </c>
      <c r="U29" s="14">
        <f t="shared" si="35"/>
        <v>2684.4000000000005</v>
      </c>
      <c r="V29" s="14">
        <f t="shared" si="35"/>
        <v>2530.8300000000004</v>
      </c>
      <c r="W29" s="14"/>
      <c r="X29" s="14"/>
      <c r="AB29" s="14">
        <f t="shared" ref="AB29:AI29" si="36">SUM(AB24:AB28)</f>
        <v>1350.4</v>
      </c>
      <c r="AC29" s="14">
        <f t="shared" si="36"/>
        <v>1389.9</v>
      </c>
      <c r="AD29" s="14">
        <f t="shared" si="36"/>
        <v>9703.2999999999975</v>
      </c>
      <c r="AE29" s="14">
        <f t="shared" si="36"/>
        <v>10763.800000000003</v>
      </c>
      <c r="AF29" s="14">
        <f t="shared" si="36"/>
        <v>11448.8</v>
      </c>
      <c r="AG29" s="14">
        <f t="shared" si="36"/>
        <v>12273.900000000001</v>
      </c>
      <c r="AH29" s="14">
        <f t="shared" si="36"/>
        <v>13452.900000000003</v>
      </c>
      <c r="AI29" s="14">
        <f t="shared" ref="AI29:AK29" si="37">SUM(AI24:AI28)</f>
        <v>14377.900000000001</v>
      </c>
      <c r="AJ29" s="14">
        <f t="shared" si="37"/>
        <v>13444.600000000002</v>
      </c>
      <c r="AK29" s="14">
        <f t="shared" si="37"/>
        <v>10981.999999999998</v>
      </c>
      <c r="AL29" s="14">
        <f>SUM(AL24:AL28)</f>
        <v>11038.200000000003</v>
      </c>
      <c r="AM29" s="14">
        <f>SUM(AM24:AM28)</f>
        <v>10231.700000000001</v>
      </c>
      <c r="AN29" s="14">
        <f t="shared" ref="AN29:BD29" si="38">SUM(AN24:AN28)</f>
        <v>9970.6299999999974</v>
      </c>
      <c r="AO29" s="14">
        <f t="shared" si="38"/>
        <v>9608.6299999999992</v>
      </c>
      <c r="AP29" s="14">
        <f t="shared" si="38"/>
        <v>9680.6509500000011</v>
      </c>
      <c r="AQ29" s="14">
        <f t="shared" si="38"/>
        <v>9374.1578754999991</v>
      </c>
      <c r="AR29" s="14">
        <f t="shared" si="38"/>
        <v>8939.5899844650012</v>
      </c>
      <c r="AS29" s="14">
        <f t="shared" si="38"/>
        <v>8456.4813698589514</v>
      </c>
      <c r="AT29" s="14">
        <f t="shared" si="38"/>
        <v>8017.09535732722</v>
      </c>
      <c r="AU29" s="14">
        <f t="shared" si="38"/>
        <v>7329.3903870040631</v>
      </c>
      <c r="AV29" s="14">
        <f t="shared" si="38"/>
        <v>6936.2856144846728</v>
      </c>
      <c r="AW29" s="14">
        <f t="shared" si="38"/>
        <v>6605.0337107873811</v>
      </c>
      <c r="AX29" s="14">
        <f t="shared" si="38"/>
        <v>6327.0742279963742</v>
      </c>
      <c r="AY29" s="14">
        <f t="shared" si="38"/>
        <v>6095.2075363322383</v>
      </c>
      <c r="AZ29" s="14">
        <f t="shared" si="38"/>
        <v>3849.6296941502387</v>
      </c>
      <c r="BA29" s="14">
        <f t="shared" si="38"/>
        <v>3446.2380793442835</v>
      </c>
      <c r="BB29" s="14">
        <f t="shared" si="38"/>
        <v>3253.3152436013129</v>
      </c>
      <c r="BC29" s="14">
        <f t="shared" si="38"/>
        <v>3104.4300397915235</v>
      </c>
      <c r="BD29" s="14">
        <f t="shared" si="38"/>
        <v>2980.1691716006831</v>
      </c>
    </row>
    <row r="30" spans="2:56" s="1" customFormat="1" x14ac:dyDescent="0.2">
      <c r="B30" s="1" t="s">
        <v>60</v>
      </c>
      <c r="C30" s="12"/>
      <c r="D30" s="12"/>
      <c r="E30" s="12">
        <v>449.1</v>
      </c>
      <c r="F30" s="12">
        <v>490.6</v>
      </c>
      <c r="G30" s="12">
        <v>478.1</v>
      </c>
      <c r="H30" s="12">
        <v>459.7</v>
      </c>
      <c r="I30" s="12">
        <v>511.8</v>
      </c>
      <c r="J30" s="12">
        <v>660.1</v>
      </c>
      <c r="K30" s="12">
        <v>753.9</v>
      </c>
      <c r="L30" s="12">
        <v>484</v>
      </c>
      <c r="M30" s="12">
        <v>469.5</v>
      </c>
      <c r="N30" s="12">
        <v>570.9</v>
      </c>
      <c r="O30" s="12">
        <v>662.8</v>
      </c>
      <c r="P30" s="12">
        <v>592.70000000000005</v>
      </c>
      <c r="Q30" s="12">
        <v>659.6</v>
      </c>
      <c r="R30" s="1">
        <v>586.79999999999995</v>
      </c>
      <c r="S30" s="1">
        <v>500</v>
      </c>
      <c r="T30" s="1">
        <v>503.7</v>
      </c>
      <c r="U30" s="1">
        <f>+U29-U31</f>
        <v>536.88000000000011</v>
      </c>
      <c r="V30" s="1">
        <f>+V29-V31</f>
        <v>506.16599999999994</v>
      </c>
      <c r="AD30" s="1">
        <v>1171</v>
      </c>
      <c r="AE30" s="1">
        <v>1240.4000000000001</v>
      </c>
      <c r="AF30" s="1">
        <v>1478.7</v>
      </c>
      <c r="AG30" s="1">
        <v>1630</v>
      </c>
      <c r="AH30" s="1">
        <v>1816.3</v>
      </c>
      <c r="AI30" s="1">
        <v>1955.4</v>
      </c>
      <c r="AJ30" s="1">
        <v>1805.2</v>
      </c>
      <c r="AK30" s="1">
        <f t="shared" ref="AK30" si="39">SUM(G30:J30)</f>
        <v>2109.6999999999998</v>
      </c>
      <c r="AL30" s="1">
        <f t="shared" ref="AL30" si="40">SUM(K30:N30)</f>
        <v>2278.3000000000002</v>
      </c>
      <c r="AM30" s="1">
        <f>+AM29-AM31</f>
        <v>1841.7060000000001</v>
      </c>
      <c r="AN30" s="1">
        <f t="shared" ref="AN30:BD30" si="41">+AN29-AN31</f>
        <v>1794.7133999999996</v>
      </c>
      <c r="AO30" s="1">
        <f t="shared" si="41"/>
        <v>1729.5534000000007</v>
      </c>
      <c r="AP30" s="1">
        <f t="shared" si="41"/>
        <v>1742.5171710000004</v>
      </c>
      <c r="AQ30" s="1">
        <f t="shared" si="41"/>
        <v>1687.3484175900003</v>
      </c>
      <c r="AR30" s="1">
        <f t="shared" si="41"/>
        <v>1609.1261972037009</v>
      </c>
      <c r="AS30" s="1">
        <f t="shared" si="41"/>
        <v>1522.1666465746121</v>
      </c>
      <c r="AT30" s="1">
        <f t="shared" si="41"/>
        <v>1443.0771643189</v>
      </c>
      <c r="AU30" s="1">
        <f t="shared" si="41"/>
        <v>1319.2902696607316</v>
      </c>
      <c r="AV30" s="1">
        <f t="shared" si="41"/>
        <v>1248.531410607241</v>
      </c>
      <c r="AW30" s="1">
        <f t="shared" si="41"/>
        <v>1188.9060679417289</v>
      </c>
      <c r="AX30" s="1">
        <f t="shared" si="41"/>
        <v>1138.8733610393474</v>
      </c>
      <c r="AY30" s="1">
        <f t="shared" si="41"/>
        <v>1097.1373565398035</v>
      </c>
      <c r="AZ30" s="1">
        <f t="shared" si="41"/>
        <v>692.93334494704322</v>
      </c>
      <c r="BA30" s="1">
        <f t="shared" si="41"/>
        <v>620.3228542819711</v>
      </c>
      <c r="BB30" s="1">
        <f t="shared" si="41"/>
        <v>585.59674384823666</v>
      </c>
      <c r="BC30" s="1">
        <f t="shared" si="41"/>
        <v>558.79740716247443</v>
      </c>
      <c r="BD30" s="1">
        <f t="shared" si="41"/>
        <v>536.43045088812323</v>
      </c>
    </row>
    <row r="31" spans="2:56" s="1" customFormat="1" x14ac:dyDescent="0.2">
      <c r="B31" s="1" t="s">
        <v>61</v>
      </c>
      <c r="C31" s="12"/>
      <c r="D31" s="12"/>
      <c r="E31" s="12">
        <f t="shared" ref="E31:L31" si="42">+E29-E30</f>
        <v>2926.9999999999991</v>
      </c>
      <c r="F31" s="12">
        <f t="shared" si="42"/>
        <v>2361.9999999999995</v>
      </c>
      <c r="G31" s="12">
        <f t="shared" si="42"/>
        <v>2215.9000000000005</v>
      </c>
      <c r="H31" s="12">
        <f t="shared" si="42"/>
        <v>2315.2999999999997</v>
      </c>
      <c r="I31" s="12">
        <f t="shared" si="42"/>
        <v>2267.1000000000004</v>
      </c>
      <c r="J31" s="12">
        <f t="shared" si="42"/>
        <v>2073.9999999999995</v>
      </c>
      <c r="K31" s="12">
        <f t="shared" si="42"/>
        <v>1777.9</v>
      </c>
      <c r="L31" s="12">
        <f t="shared" si="42"/>
        <v>2105.1</v>
      </c>
      <c r="M31" s="12">
        <f t="shared" ref="M31:Q31" si="43">+M29-M30</f>
        <v>2039</v>
      </c>
      <c r="N31" s="12">
        <f t="shared" si="43"/>
        <v>1973.0999999999995</v>
      </c>
      <c r="O31" s="12">
        <f t="shared" si="43"/>
        <v>1800.2</v>
      </c>
      <c r="P31" s="12">
        <f t="shared" si="43"/>
        <v>1863.3</v>
      </c>
      <c r="Q31" s="12">
        <f t="shared" si="43"/>
        <v>1870.7000000000007</v>
      </c>
      <c r="R31" s="12">
        <f>+R29-R30</f>
        <v>1799.5000000000002</v>
      </c>
      <c r="S31" s="12">
        <f>+S29-S30</f>
        <v>1790.5</v>
      </c>
      <c r="T31" s="12">
        <f>+T29-T30</f>
        <v>1961.2000000000005</v>
      </c>
      <c r="U31" s="12">
        <f>+U29*0.8</f>
        <v>2147.5200000000004</v>
      </c>
      <c r="V31" s="12">
        <f>+V29*0.8</f>
        <v>2024.6640000000004</v>
      </c>
      <c r="W31" s="12"/>
      <c r="X31" s="12"/>
      <c r="AD31" s="1">
        <f t="shared" ref="AD31:AE31" si="44">+AD29-AD30</f>
        <v>8532.2999999999975</v>
      </c>
      <c r="AE31" s="1">
        <f t="shared" si="44"/>
        <v>9523.4000000000033</v>
      </c>
      <c r="AF31" s="1">
        <f>+AF29-AF30</f>
        <v>9970.0999999999985</v>
      </c>
      <c r="AG31" s="1">
        <f>+AG29-AG30</f>
        <v>10643.900000000001</v>
      </c>
      <c r="AH31" s="1">
        <f>+AH29-AH30</f>
        <v>11636.600000000004</v>
      </c>
      <c r="AI31" s="1">
        <f>+AI29-AI30</f>
        <v>12422.500000000002</v>
      </c>
      <c r="AJ31" s="1">
        <f>+AJ29-AJ30</f>
        <v>11639.400000000001</v>
      </c>
      <c r="AK31" s="1">
        <f>+AK29-AK30</f>
        <v>8872.2999999999993</v>
      </c>
      <c r="AL31" s="1">
        <f>+AL29-AL30</f>
        <v>8759.9000000000015</v>
      </c>
      <c r="AM31" s="1">
        <f>+AM29*0.82</f>
        <v>8389.9940000000006</v>
      </c>
      <c r="AN31" s="1">
        <f t="shared" ref="AN31:BD31" si="45">+AN29*0.82</f>
        <v>8175.9165999999977</v>
      </c>
      <c r="AO31" s="1">
        <f t="shared" si="45"/>
        <v>7879.0765999999985</v>
      </c>
      <c r="AP31" s="1">
        <f t="shared" si="45"/>
        <v>7938.1337790000007</v>
      </c>
      <c r="AQ31" s="1">
        <f t="shared" si="45"/>
        <v>7686.8094579099989</v>
      </c>
      <c r="AR31" s="1">
        <f t="shared" si="45"/>
        <v>7330.4637872613002</v>
      </c>
      <c r="AS31" s="1">
        <f t="shared" si="45"/>
        <v>6934.3147232843394</v>
      </c>
      <c r="AT31" s="1">
        <f t="shared" si="45"/>
        <v>6574.0181930083199</v>
      </c>
      <c r="AU31" s="1">
        <f t="shared" si="45"/>
        <v>6010.1001173433315</v>
      </c>
      <c r="AV31" s="1">
        <f t="shared" si="45"/>
        <v>5687.7542038774318</v>
      </c>
      <c r="AW31" s="1">
        <f t="shared" si="45"/>
        <v>5416.1276428456522</v>
      </c>
      <c r="AX31" s="1">
        <f t="shared" si="45"/>
        <v>5188.2008669570268</v>
      </c>
      <c r="AY31" s="1">
        <f t="shared" si="45"/>
        <v>4998.0701797924348</v>
      </c>
      <c r="AZ31" s="1">
        <f t="shared" si="45"/>
        <v>3156.6963492031955</v>
      </c>
      <c r="BA31" s="1">
        <f t="shared" si="45"/>
        <v>2825.9152250623124</v>
      </c>
      <c r="BB31" s="1">
        <f t="shared" si="45"/>
        <v>2667.7184997530762</v>
      </c>
      <c r="BC31" s="1">
        <f t="shared" si="45"/>
        <v>2545.6326326290491</v>
      </c>
      <c r="BD31" s="1">
        <f t="shared" si="45"/>
        <v>2443.7387207125598</v>
      </c>
    </row>
    <row r="32" spans="2:56" s="1" customFormat="1" x14ac:dyDescent="0.2">
      <c r="B32" s="1" t="s">
        <v>62</v>
      </c>
      <c r="C32" s="12"/>
      <c r="D32" s="12"/>
      <c r="E32" s="12">
        <v>1140.9000000000001</v>
      </c>
      <c r="F32" s="12">
        <v>1726</v>
      </c>
      <c r="G32" s="12">
        <v>514.20000000000005</v>
      </c>
      <c r="H32" s="12">
        <v>585.1</v>
      </c>
      <c r="I32" s="12">
        <v>702.4</v>
      </c>
      <c r="J32" s="12">
        <v>699.5</v>
      </c>
      <c r="K32" s="12">
        <v>551.70000000000005</v>
      </c>
      <c r="L32" s="12">
        <v>528.6</v>
      </c>
      <c r="M32" s="12">
        <v>549.20000000000005</v>
      </c>
      <c r="N32" s="12">
        <v>601.6</v>
      </c>
      <c r="O32" s="12">
        <v>570.6</v>
      </c>
      <c r="P32" s="12">
        <v>583.79999999999995</v>
      </c>
      <c r="Q32" s="12">
        <v>539.1</v>
      </c>
      <c r="R32" s="1">
        <v>568.1</v>
      </c>
      <c r="S32" s="1">
        <v>446.7</v>
      </c>
      <c r="T32" s="1">
        <v>463.6</v>
      </c>
      <c r="U32" s="1">
        <f>+Q32</f>
        <v>539.1</v>
      </c>
      <c r="V32" s="1">
        <f>+R32</f>
        <v>568.1</v>
      </c>
      <c r="AD32" s="1">
        <v>1893.4</v>
      </c>
      <c r="AE32" s="1">
        <v>2012.8</v>
      </c>
      <c r="AF32" s="1">
        <v>1973.3</v>
      </c>
      <c r="AG32" s="1">
        <v>2253.6</v>
      </c>
      <c r="AH32" s="1">
        <v>2597.1999999999998</v>
      </c>
      <c r="AI32" s="1">
        <v>2280.6</v>
      </c>
      <c r="AJ32" s="1">
        <v>3990.9</v>
      </c>
      <c r="AK32" s="1">
        <f t="shared" ref="AK32:AK33" si="46">SUM(G32:J32)</f>
        <v>2501.2000000000003</v>
      </c>
      <c r="AL32" s="1">
        <f t="shared" ref="AL32:AL33" si="47">SUM(K32:N32)</f>
        <v>2231.1000000000004</v>
      </c>
    </row>
    <row r="33" spans="2:59" s="1" customFormat="1" x14ac:dyDescent="0.2">
      <c r="B33" s="1" t="s">
        <v>63</v>
      </c>
      <c r="C33" s="12"/>
      <c r="D33" s="12"/>
      <c r="E33" s="12">
        <v>573.1</v>
      </c>
      <c r="F33" s="12">
        <v>806.3</v>
      </c>
      <c r="G33" s="12">
        <v>595</v>
      </c>
      <c r="H33" s="12">
        <v>637.29999999999995</v>
      </c>
      <c r="I33" s="12">
        <v>654.1</v>
      </c>
      <c r="J33" s="12">
        <v>787.9</v>
      </c>
      <c r="K33" s="12">
        <v>634.9</v>
      </c>
      <c r="L33" s="12">
        <v>572.6</v>
      </c>
      <c r="M33" s="12">
        <v>563.29999999999995</v>
      </c>
      <c r="N33" s="12">
        <v>632.79999999999995</v>
      </c>
      <c r="O33" s="12">
        <v>605</v>
      </c>
      <c r="P33" s="12">
        <v>533.79999999999995</v>
      </c>
      <c r="Q33" s="12">
        <v>553</v>
      </c>
      <c r="R33" s="1">
        <v>587.9</v>
      </c>
      <c r="S33" s="1">
        <v>569.4</v>
      </c>
      <c r="T33" s="1">
        <v>541.5</v>
      </c>
      <c r="U33" s="1">
        <f>+Q33</f>
        <v>553</v>
      </c>
      <c r="V33" s="1">
        <f>+R33</f>
        <v>587.9</v>
      </c>
      <c r="AD33" s="1">
        <v>2232.3000000000002</v>
      </c>
      <c r="AE33" s="1">
        <v>2113.1</v>
      </c>
      <c r="AF33" s="1">
        <v>1946.6</v>
      </c>
      <c r="AG33" s="1">
        <v>1933.9</v>
      </c>
      <c r="AH33" s="1">
        <v>2106.3000000000002</v>
      </c>
      <c r="AI33" s="1">
        <v>2374.6999999999998</v>
      </c>
      <c r="AJ33" s="1">
        <v>2504.5</v>
      </c>
      <c r="AK33" s="1">
        <f t="shared" si="46"/>
        <v>2674.3</v>
      </c>
      <c r="AL33" s="1">
        <f t="shared" si="47"/>
        <v>2403.6</v>
      </c>
      <c r="AM33" s="1">
        <f>+AL33*0.95</f>
        <v>2283.4199999999996</v>
      </c>
      <c r="AN33" s="1">
        <f t="shared" ref="AN33:BD33" si="48">+AM33*0.95</f>
        <v>2169.2489999999993</v>
      </c>
      <c r="AO33" s="1">
        <f t="shared" si="48"/>
        <v>2060.7865499999994</v>
      </c>
      <c r="AP33" s="1">
        <f t="shared" si="48"/>
        <v>1957.7472224999992</v>
      </c>
      <c r="AQ33" s="1">
        <f t="shared" si="48"/>
        <v>1859.8598613749991</v>
      </c>
      <c r="AR33" s="1">
        <f t="shared" si="48"/>
        <v>1766.866868306249</v>
      </c>
      <c r="AS33" s="1">
        <f t="shared" si="48"/>
        <v>1678.5235248909364</v>
      </c>
      <c r="AT33" s="1">
        <f t="shared" si="48"/>
        <v>1594.5973486463895</v>
      </c>
      <c r="AU33" s="1">
        <f t="shared" si="48"/>
        <v>1514.86748121407</v>
      </c>
      <c r="AV33" s="1">
        <f t="shared" si="48"/>
        <v>1439.1241071533664</v>
      </c>
      <c r="AW33" s="1">
        <f t="shared" si="48"/>
        <v>1367.1679017956981</v>
      </c>
      <c r="AX33" s="1">
        <f t="shared" si="48"/>
        <v>1298.809506705913</v>
      </c>
      <c r="AY33" s="1">
        <f t="shared" si="48"/>
        <v>1233.8690313706172</v>
      </c>
      <c r="AZ33" s="1">
        <f t="shared" si="48"/>
        <v>1172.1755798020863</v>
      </c>
      <c r="BA33" s="1">
        <f t="shared" si="48"/>
        <v>1113.5668008119819</v>
      </c>
      <c r="BB33" s="1">
        <f t="shared" si="48"/>
        <v>1057.8884607713828</v>
      </c>
      <c r="BC33" s="1">
        <f t="shared" si="48"/>
        <v>1004.9940377328136</v>
      </c>
      <c r="BD33" s="1">
        <f t="shared" si="48"/>
        <v>954.74433584617282</v>
      </c>
    </row>
    <row r="34" spans="2:59" s="1" customFormat="1" x14ac:dyDescent="0.2">
      <c r="B34" s="1" t="s">
        <v>64</v>
      </c>
      <c r="C34" s="12"/>
      <c r="D34" s="12"/>
      <c r="E34" s="12">
        <f t="shared" ref="E34:L34" si="49">+E32+E33</f>
        <v>1714</v>
      </c>
      <c r="F34" s="12">
        <f t="shared" si="49"/>
        <v>2532.3000000000002</v>
      </c>
      <c r="G34" s="12">
        <f t="shared" si="49"/>
        <v>1109.2</v>
      </c>
      <c r="H34" s="12">
        <f t="shared" si="49"/>
        <v>1222.4000000000001</v>
      </c>
      <c r="I34" s="12">
        <f t="shared" si="49"/>
        <v>1356.5</v>
      </c>
      <c r="J34" s="12">
        <f t="shared" si="49"/>
        <v>1487.4</v>
      </c>
      <c r="K34" s="12">
        <f t="shared" si="49"/>
        <v>1186.5999999999999</v>
      </c>
      <c r="L34" s="12">
        <f t="shared" si="49"/>
        <v>1101.2</v>
      </c>
      <c r="M34" s="12">
        <f t="shared" ref="M34:N34" si="50">+M32+M33</f>
        <v>1112.5</v>
      </c>
      <c r="N34" s="12">
        <f t="shared" si="50"/>
        <v>1234.4000000000001</v>
      </c>
      <c r="O34" s="12">
        <f t="shared" ref="O34:R34" si="51">+O32+O33</f>
        <v>1175.5999999999999</v>
      </c>
      <c r="P34" s="12">
        <f t="shared" si="51"/>
        <v>1117.5999999999999</v>
      </c>
      <c r="Q34" s="12">
        <f t="shared" si="51"/>
        <v>1092.0999999999999</v>
      </c>
      <c r="R34" s="12">
        <f t="shared" si="51"/>
        <v>1156</v>
      </c>
      <c r="S34" s="12">
        <f>+S32+S33</f>
        <v>1016.0999999999999</v>
      </c>
      <c r="T34" s="12">
        <f>+T32+T33</f>
        <v>1005.1</v>
      </c>
      <c r="U34" s="12">
        <f>+U32+U33</f>
        <v>1092.0999999999999</v>
      </c>
      <c r="V34" s="12">
        <f>+V32+V33</f>
        <v>1156</v>
      </c>
      <c r="W34" s="12"/>
      <c r="X34" s="12"/>
      <c r="AD34" s="1">
        <f t="shared" ref="AD34:AF34" si="52">+AD32+AD33</f>
        <v>4125.7000000000007</v>
      </c>
      <c r="AE34" s="1">
        <f t="shared" si="52"/>
        <v>4125.8999999999996</v>
      </c>
      <c r="AF34" s="1">
        <f t="shared" si="52"/>
        <v>3919.8999999999996</v>
      </c>
      <c r="AG34" s="1">
        <f t="shared" ref="AG34:AH34" si="53">+AG32+AG33</f>
        <v>4187.5</v>
      </c>
      <c r="AH34" s="1">
        <f t="shared" si="53"/>
        <v>4703.5</v>
      </c>
      <c r="AI34" s="1">
        <f t="shared" ref="AI34:AJ34" si="54">+AI32+AI33</f>
        <v>4655.2999999999993</v>
      </c>
      <c r="AJ34" s="1">
        <f t="shared" si="54"/>
        <v>6495.4</v>
      </c>
      <c r="AK34" s="1">
        <f>+AK32+AK33</f>
        <v>5175.5</v>
      </c>
      <c r="AL34" s="1">
        <f>+AL32+AL33</f>
        <v>4634.7000000000007</v>
      </c>
      <c r="AM34" s="1">
        <f t="shared" ref="AM34:BD34" si="55">+AM32+AM33</f>
        <v>2283.4199999999996</v>
      </c>
      <c r="AN34" s="1">
        <f t="shared" si="55"/>
        <v>2169.2489999999993</v>
      </c>
      <c r="AO34" s="1">
        <f t="shared" si="55"/>
        <v>2060.7865499999994</v>
      </c>
      <c r="AP34" s="1">
        <f t="shared" si="55"/>
        <v>1957.7472224999992</v>
      </c>
      <c r="AQ34" s="1">
        <f t="shared" si="55"/>
        <v>1859.8598613749991</v>
      </c>
      <c r="AR34" s="1">
        <f t="shared" si="55"/>
        <v>1766.866868306249</v>
      </c>
      <c r="AS34" s="1">
        <f t="shared" si="55"/>
        <v>1678.5235248909364</v>
      </c>
      <c r="AT34" s="1">
        <f t="shared" si="55"/>
        <v>1594.5973486463895</v>
      </c>
      <c r="AU34" s="1">
        <f t="shared" si="55"/>
        <v>1514.86748121407</v>
      </c>
      <c r="AV34" s="1">
        <f t="shared" si="55"/>
        <v>1439.1241071533664</v>
      </c>
      <c r="AW34" s="1">
        <f t="shared" si="55"/>
        <v>1367.1679017956981</v>
      </c>
      <c r="AX34" s="1">
        <f t="shared" si="55"/>
        <v>1298.809506705913</v>
      </c>
      <c r="AY34" s="1">
        <f t="shared" si="55"/>
        <v>1233.8690313706172</v>
      </c>
      <c r="AZ34" s="1">
        <f t="shared" si="55"/>
        <v>1172.1755798020863</v>
      </c>
      <c r="BA34" s="1">
        <f t="shared" si="55"/>
        <v>1113.5668008119819</v>
      </c>
      <c r="BB34" s="1">
        <f t="shared" si="55"/>
        <v>1057.8884607713828</v>
      </c>
      <c r="BC34" s="1">
        <f t="shared" si="55"/>
        <v>1004.9940377328136</v>
      </c>
      <c r="BD34" s="1">
        <f t="shared" si="55"/>
        <v>954.74433584617282</v>
      </c>
    </row>
    <row r="35" spans="2:59" s="1" customFormat="1" x14ac:dyDescent="0.2">
      <c r="B35" s="1" t="s">
        <v>65</v>
      </c>
      <c r="C35" s="12"/>
      <c r="D35" s="12"/>
      <c r="E35" s="12">
        <f t="shared" ref="E35:L35" si="56">+E31-E34</f>
        <v>1212.9999999999991</v>
      </c>
      <c r="F35" s="12">
        <f t="shared" si="56"/>
        <v>-170.30000000000064</v>
      </c>
      <c r="G35" s="12">
        <f t="shared" si="56"/>
        <v>1106.7000000000005</v>
      </c>
      <c r="H35" s="12">
        <f t="shared" si="56"/>
        <v>1092.8999999999996</v>
      </c>
      <c r="I35" s="12">
        <f t="shared" si="56"/>
        <v>910.60000000000036</v>
      </c>
      <c r="J35" s="12">
        <f t="shared" si="56"/>
        <v>586.59999999999945</v>
      </c>
      <c r="K35" s="12">
        <f t="shared" si="56"/>
        <v>591.30000000000018</v>
      </c>
      <c r="L35" s="12">
        <f t="shared" si="56"/>
        <v>1003.8999999999999</v>
      </c>
      <c r="M35" s="12">
        <f t="shared" ref="M35:N35" si="57">+M31-M34</f>
        <v>926.5</v>
      </c>
      <c r="N35" s="12">
        <f t="shared" si="57"/>
        <v>738.69999999999936</v>
      </c>
      <c r="O35" s="12">
        <f t="shared" ref="O35:R35" si="58">+O31-O34</f>
        <v>624.60000000000014</v>
      </c>
      <c r="P35" s="12">
        <f t="shared" si="58"/>
        <v>745.7</v>
      </c>
      <c r="Q35" s="12">
        <f t="shared" si="58"/>
        <v>778.60000000000082</v>
      </c>
      <c r="R35" s="12">
        <f t="shared" si="58"/>
        <v>643.50000000000023</v>
      </c>
      <c r="S35" s="12">
        <f>+S31-S34</f>
        <v>774.40000000000009</v>
      </c>
      <c r="T35" s="12">
        <f>+T31-T34</f>
        <v>956.10000000000048</v>
      </c>
      <c r="U35" s="12">
        <f>+U31-U34</f>
        <v>1055.4200000000005</v>
      </c>
      <c r="V35" s="12">
        <f>+V31-V34</f>
        <v>868.66400000000044</v>
      </c>
      <c r="W35" s="12"/>
      <c r="X35" s="12"/>
      <c r="AD35" s="1">
        <f t="shared" ref="AD35:AF35" si="59">+AD31-AD34</f>
        <v>4406.5999999999967</v>
      </c>
      <c r="AE35" s="1">
        <f t="shared" si="59"/>
        <v>5397.5000000000036</v>
      </c>
      <c r="AF35" s="1">
        <f t="shared" si="59"/>
        <v>6050.1999999999989</v>
      </c>
      <c r="AG35" s="1">
        <f t="shared" ref="AG35:AH35" si="60">+AG31-AG34</f>
        <v>6456.4000000000015</v>
      </c>
      <c r="AH35" s="1">
        <f t="shared" si="60"/>
        <v>6933.100000000004</v>
      </c>
      <c r="AI35" s="1">
        <f t="shared" ref="AI35:AJ35" si="61">+AI31-AI34</f>
        <v>7767.2000000000025</v>
      </c>
      <c r="AJ35" s="1">
        <f t="shared" si="61"/>
        <v>5144.0000000000018</v>
      </c>
      <c r="AK35" s="1">
        <f>+AK31-AK34</f>
        <v>3696.7999999999993</v>
      </c>
      <c r="AL35" s="1">
        <f>+AL31-AL34</f>
        <v>4125.2000000000007</v>
      </c>
      <c r="AM35" s="1">
        <f t="shared" ref="AM35:BD35" si="62">+AM31-AM34</f>
        <v>6106.5740000000005</v>
      </c>
      <c r="AN35" s="1">
        <f t="shared" si="62"/>
        <v>6006.6675999999989</v>
      </c>
      <c r="AO35" s="1">
        <f t="shared" si="62"/>
        <v>5818.2900499999996</v>
      </c>
      <c r="AP35" s="1">
        <f t="shared" si="62"/>
        <v>5980.3865565000015</v>
      </c>
      <c r="AQ35" s="1">
        <f t="shared" si="62"/>
        <v>5826.9495965349997</v>
      </c>
      <c r="AR35" s="1">
        <f t="shared" si="62"/>
        <v>5563.5969189550515</v>
      </c>
      <c r="AS35" s="1">
        <f t="shared" si="62"/>
        <v>5255.7911983934027</v>
      </c>
      <c r="AT35" s="1">
        <f t="shared" si="62"/>
        <v>4979.42084436193</v>
      </c>
      <c r="AU35" s="1">
        <f t="shared" si="62"/>
        <v>4495.2326361292617</v>
      </c>
      <c r="AV35" s="1">
        <f t="shared" si="62"/>
        <v>4248.6300967240659</v>
      </c>
      <c r="AW35" s="1">
        <f t="shared" si="62"/>
        <v>4048.9597410499541</v>
      </c>
      <c r="AX35" s="1">
        <f t="shared" si="62"/>
        <v>3889.3913602511138</v>
      </c>
      <c r="AY35" s="1">
        <f t="shared" si="62"/>
        <v>3764.2011484218174</v>
      </c>
      <c r="AZ35" s="1">
        <f t="shared" si="62"/>
        <v>1984.5207694011092</v>
      </c>
      <c r="BA35" s="1">
        <f t="shared" si="62"/>
        <v>1712.3484242503305</v>
      </c>
      <c r="BB35" s="1">
        <f t="shared" si="62"/>
        <v>1609.8300389816934</v>
      </c>
      <c r="BC35" s="1">
        <f t="shared" si="62"/>
        <v>1540.6385948962356</v>
      </c>
      <c r="BD35" s="1">
        <f t="shared" si="62"/>
        <v>1488.994384866387</v>
      </c>
    </row>
    <row r="36" spans="2:59" s="1" customFormat="1" x14ac:dyDescent="0.2">
      <c r="B36" s="1" t="s">
        <v>66</v>
      </c>
      <c r="C36" s="12"/>
      <c r="D36" s="12"/>
      <c r="E36" s="12">
        <f>73-128.6</f>
        <v>-55.599999999999994</v>
      </c>
      <c r="F36" s="12">
        <f>66.4+683.5</f>
        <v>749.9</v>
      </c>
      <c r="G36" s="12">
        <f>68.5-506.9</f>
        <v>-438.4</v>
      </c>
      <c r="H36" s="12">
        <v>-15.2</v>
      </c>
      <c r="I36" s="12">
        <f>21.2-502.9</f>
        <v>-481.7</v>
      </c>
      <c r="J36" s="12">
        <f>67.3-182.1</f>
        <v>-114.8</v>
      </c>
      <c r="K36" s="12">
        <f>-117.3-263.3</f>
        <v>-380.6</v>
      </c>
      <c r="L36" s="12">
        <v>29.4</v>
      </c>
      <c r="M36" s="12">
        <f>45.3+56</f>
        <v>101.3</v>
      </c>
      <c r="N36" s="12">
        <v>-113.1</v>
      </c>
      <c r="O36" s="12">
        <v>-69.400000000000006</v>
      </c>
      <c r="P36" s="12">
        <v>14.7</v>
      </c>
      <c r="Q36" s="12">
        <v>-300</v>
      </c>
      <c r="R36" s="1">
        <v>-67.3</v>
      </c>
      <c r="S36" s="1">
        <v>-93.7</v>
      </c>
      <c r="T36" s="1">
        <v>-85.2</v>
      </c>
      <c r="U36" s="1">
        <f>+T36</f>
        <v>-85.2</v>
      </c>
      <c r="V36" s="1">
        <f>+U36</f>
        <v>-85.2</v>
      </c>
      <c r="AD36" s="1">
        <v>-25.8</v>
      </c>
      <c r="AE36" s="1">
        <v>-123.7</v>
      </c>
      <c r="AF36" s="1">
        <f>-218.7+10.2</f>
        <v>-208.5</v>
      </c>
      <c r="AG36" s="1">
        <f>112.3-217</f>
        <v>-104.7</v>
      </c>
      <c r="AH36" s="1">
        <f>185+11</f>
        <v>196</v>
      </c>
      <c r="AI36" s="1">
        <f>241.6+83.3</f>
        <v>324.89999999999998</v>
      </c>
      <c r="AJ36" s="1">
        <f>232.9+497.4</f>
        <v>730.3</v>
      </c>
      <c r="AK36" s="1">
        <f t="shared" ref="AK36" si="63">SUM(G36:J36)</f>
        <v>-1050.0999999999999</v>
      </c>
      <c r="AL36" s="1">
        <f t="shared" ref="AL36" si="64">SUM(K36:N36)</f>
        <v>-363</v>
      </c>
    </row>
    <row r="37" spans="2:59" s="1" customFormat="1" x14ac:dyDescent="0.2">
      <c r="B37" s="1" t="s">
        <v>67</v>
      </c>
      <c r="C37" s="12"/>
      <c r="D37" s="12"/>
      <c r="E37" s="12">
        <f t="shared" ref="E37:S37" si="65">+E35+E36</f>
        <v>1157.3999999999992</v>
      </c>
      <c r="F37" s="12">
        <f t="shared" si="65"/>
        <v>579.59999999999934</v>
      </c>
      <c r="G37" s="12">
        <f t="shared" si="65"/>
        <v>668.30000000000052</v>
      </c>
      <c r="H37" s="12">
        <f t="shared" si="65"/>
        <v>1077.6999999999996</v>
      </c>
      <c r="I37" s="12">
        <f t="shared" si="65"/>
        <v>428.90000000000038</v>
      </c>
      <c r="J37" s="12">
        <f t="shared" si="65"/>
        <v>471.79999999999944</v>
      </c>
      <c r="K37" s="12">
        <f t="shared" si="65"/>
        <v>210.70000000000016</v>
      </c>
      <c r="L37" s="12">
        <f t="shared" si="65"/>
        <v>1033.3</v>
      </c>
      <c r="M37" s="12">
        <f t="shared" si="65"/>
        <v>1027.8</v>
      </c>
      <c r="N37" s="12">
        <f t="shared" si="65"/>
        <v>625.59999999999934</v>
      </c>
      <c r="O37" s="12">
        <f t="shared" si="65"/>
        <v>555.20000000000016</v>
      </c>
      <c r="P37" s="12">
        <f t="shared" si="65"/>
        <v>760.40000000000009</v>
      </c>
      <c r="Q37" s="12">
        <f t="shared" si="65"/>
        <v>478.60000000000082</v>
      </c>
      <c r="R37" s="12">
        <f t="shared" si="65"/>
        <v>576.20000000000027</v>
      </c>
      <c r="S37" s="12">
        <f t="shared" si="65"/>
        <v>680.7</v>
      </c>
      <c r="T37" s="12">
        <f>+T35+T36</f>
        <v>870.90000000000043</v>
      </c>
      <c r="U37" s="12">
        <f>+U35+U36</f>
        <v>970.22000000000048</v>
      </c>
      <c r="V37" s="12">
        <f>+V35+V36</f>
        <v>783.4640000000004</v>
      </c>
      <c r="W37" s="12"/>
      <c r="X37" s="12"/>
      <c r="AD37" s="1">
        <f t="shared" ref="AD37:AG37" si="66">+AD35+AD36</f>
        <v>4380.7999999999965</v>
      </c>
      <c r="AE37" s="1">
        <f t="shared" si="66"/>
        <v>5273.8000000000038</v>
      </c>
      <c r="AF37" s="1">
        <f t="shared" si="66"/>
        <v>5841.6999999999989</v>
      </c>
      <c r="AG37" s="1">
        <f t="shared" si="66"/>
        <v>6351.7000000000016</v>
      </c>
      <c r="AH37" s="1">
        <f t="shared" ref="AH37:AJ37" si="67">+AH35+AH36</f>
        <v>7129.100000000004</v>
      </c>
      <c r="AI37" s="1">
        <f t="shared" si="67"/>
        <v>8092.1000000000022</v>
      </c>
      <c r="AJ37" s="1">
        <f t="shared" si="67"/>
        <v>5874.300000000002</v>
      </c>
      <c r="AK37" s="1">
        <f>+AK35+AK36</f>
        <v>2646.6999999999994</v>
      </c>
      <c r="AL37" s="1">
        <f>+AL35+AL36</f>
        <v>3762.2000000000007</v>
      </c>
      <c r="AM37" s="1">
        <f t="shared" ref="AM37:BD37" si="68">+AM35+AM36</f>
        <v>6106.5740000000005</v>
      </c>
      <c r="AN37" s="1">
        <f t="shared" si="68"/>
        <v>6006.6675999999989</v>
      </c>
      <c r="AO37" s="1">
        <f t="shared" si="68"/>
        <v>5818.2900499999996</v>
      </c>
      <c r="AP37" s="1">
        <f t="shared" si="68"/>
        <v>5980.3865565000015</v>
      </c>
      <c r="AQ37" s="1">
        <f t="shared" si="68"/>
        <v>5826.9495965349997</v>
      </c>
      <c r="AR37" s="1">
        <f t="shared" si="68"/>
        <v>5563.5969189550515</v>
      </c>
      <c r="AS37" s="1">
        <f t="shared" si="68"/>
        <v>5255.7911983934027</v>
      </c>
      <c r="AT37" s="1">
        <f t="shared" si="68"/>
        <v>4979.42084436193</v>
      </c>
      <c r="AU37" s="1">
        <f t="shared" si="68"/>
        <v>4495.2326361292617</v>
      </c>
      <c r="AV37" s="1">
        <f t="shared" si="68"/>
        <v>4248.6300967240659</v>
      </c>
      <c r="AW37" s="1">
        <f t="shared" si="68"/>
        <v>4048.9597410499541</v>
      </c>
      <c r="AX37" s="1">
        <f t="shared" si="68"/>
        <v>3889.3913602511138</v>
      </c>
      <c r="AY37" s="1">
        <f t="shared" si="68"/>
        <v>3764.2011484218174</v>
      </c>
      <c r="AZ37" s="1">
        <f t="shared" si="68"/>
        <v>1984.5207694011092</v>
      </c>
      <c r="BA37" s="1">
        <f t="shared" si="68"/>
        <v>1712.3484242503305</v>
      </c>
      <c r="BB37" s="1">
        <f t="shared" si="68"/>
        <v>1609.8300389816934</v>
      </c>
      <c r="BC37" s="1">
        <f t="shared" si="68"/>
        <v>1540.6385948962356</v>
      </c>
      <c r="BD37" s="1">
        <f t="shared" si="68"/>
        <v>1488.994384866387</v>
      </c>
    </row>
    <row r="38" spans="2:59" s="1" customFormat="1" x14ac:dyDescent="0.2">
      <c r="B38" s="1" t="s">
        <v>68</v>
      </c>
      <c r="C38" s="12"/>
      <c r="D38" s="12"/>
      <c r="E38" s="12">
        <f>240.8+13.1+2.4</f>
        <v>256.3</v>
      </c>
      <c r="F38" s="12">
        <f>13.3-18-0.3</f>
        <v>-4.9999999999999991</v>
      </c>
      <c r="G38" s="12">
        <f>44.2+18.2-5.6</f>
        <v>56.800000000000004</v>
      </c>
      <c r="H38" s="12">
        <f>409.1-34.3+577</f>
        <v>951.8</v>
      </c>
      <c r="I38" s="12">
        <f>-25.9-1.1-11.1</f>
        <v>-38.1</v>
      </c>
      <c r="J38" s="12">
        <f>443.2-17.7-388.7</f>
        <v>36.800000000000011</v>
      </c>
      <c r="K38" s="12">
        <f>125.6+3.3-85.3</f>
        <v>43.600000000000009</v>
      </c>
      <c r="L38" s="12">
        <f>216.7-5.9</f>
        <v>210.79999999999998</v>
      </c>
      <c r="M38" s="12">
        <v>236.2</v>
      </c>
      <c r="N38" s="12">
        <v>54.3</v>
      </c>
      <c r="O38" s="12">
        <v>50.7</v>
      </c>
      <c r="P38" s="12">
        <v>108.9</v>
      </c>
      <c r="Q38" s="12">
        <v>72.900000000000006</v>
      </c>
      <c r="R38" s="12">
        <v>42.7</v>
      </c>
      <c r="S38" s="12">
        <v>71.400000000000006</v>
      </c>
      <c r="T38" s="12">
        <v>115.1</v>
      </c>
      <c r="U38" s="12">
        <f>+U37*0.1</f>
        <v>97.022000000000048</v>
      </c>
      <c r="V38" s="12">
        <f>+V37*0.1</f>
        <v>78.346400000000045</v>
      </c>
      <c r="W38" s="12"/>
      <c r="X38" s="12"/>
      <c r="AD38" s="1">
        <f>989.9+6.8</f>
        <v>996.69999999999993</v>
      </c>
      <c r="AE38" s="1">
        <f>1161.6+46.2</f>
        <v>1207.8</v>
      </c>
      <c r="AF38" s="1">
        <f>2458.7+131</f>
        <v>2589.6999999999998</v>
      </c>
      <c r="AG38" s="1">
        <f>2458.7+131</f>
        <v>2589.6999999999998</v>
      </c>
      <c r="AH38" s="1">
        <f>1425.6+43.3</f>
        <v>1468.8999999999999</v>
      </c>
      <c r="AI38" s="1">
        <f>1158+79.4</f>
        <v>1237.4000000000001</v>
      </c>
      <c r="AJ38" s="1">
        <f>992.3+59.9</f>
        <v>1052.2</v>
      </c>
      <c r="AK38" s="1">
        <f t="shared" ref="AK38" si="69">SUM(G38:J38)</f>
        <v>1007.3</v>
      </c>
      <c r="AL38" s="1">
        <f t="shared" ref="AL38" si="70">SUM(K38:N38)</f>
        <v>544.9</v>
      </c>
      <c r="AM38" s="1">
        <f>+AM37*0.2</f>
        <v>1221.3148000000001</v>
      </c>
      <c r="AN38" s="1">
        <f t="shared" ref="AN38:BD38" si="71">+AN37*0.2</f>
        <v>1201.3335199999999</v>
      </c>
      <c r="AO38" s="1">
        <f t="shared" si="71"/>
        <v>1163.6580099999999</v>
      </c>
      <c r="AP38" s="1">
        <f t="shared" si="71"/>
        <v>1196.0773113000002</v>
      </c>
      <c r="AQ38" s="1">
        <f t="shared" si="71"/>
        <v>1165.3899193069999</v>
      </c>
      <c r="AR38" s="1">
        <f t="shared" si="71"/>
        <v>1112.7193837910104</v>
      </c>
      <c r="AS38" s="1">
        <f t="shared" si="71"/>
        <v>1051.1582396786805</v>
      </c>
      <c r="AT38" s="1">
        <f t="shared" si="71"/>
        <v>995.884168872386</v>
      </c>
      <c r="AU38" s="1">
        <f t="shared" si="71"/>
        <v>899.0465272258524</v>
      </c>
      <c r="AV38" s="1">
        <f t="shared" si="71"/>
        <v>849.72601934481327</v>
      </c>
      <c r="AW38" s="1">
        <f t="shared" si="71"/>
        <v>809.79194820999089</v>
      </c>
      <c r="AX38" s="1">
        <f t="shared" si="71"/>
        <v>777.87827205022279</v>
      </c>
      <c r="AY38" s="1">
        <f t="shared" si="71"/>
        <v>752.84022968436352</v>
      </c>
      <c r="AZ38" s="1">
        <f t="shared" si="71"/>
        <v>396.90415388022188</v>
      </c>
      <c r="BA38" s="1">
        <f t="shared" si="71"/>
        <v>342.46968485006613</v>
      </c>
      <c r="BB38" s="1">
        <f t="shared" si="71"/>
        <v>321.96600779633872</v>
      </c>
      <c r="BC38" s="1">
        <f t="shared" si="71"/>
        <v>308.12771897924716</v>
      </c>
      <c r="BD38" s="1">
        <f t="shared" si="71"/>
        <v>297.7988769732774</v>
      </c>
    </row>
    <row r="39" spans="2:59" x14ac:dyDescent="0.2">
      <c r="B39" s="1" t="s">
        <v>69</v>
      </c>
      <c r="E39" s="12">
        <f t="shared" ref="E39:R39" si="72">+E37-E38</f>
        <v>901.09999999999923</v>
      </c>
      <c r="F39" s="12">
        <f t="shared" si="72"/>
        <v>584.59999999999934</v>
      </c>
      <c r="G39" s="12">
        <f t="shared" si="72"/>
        <v>611.50000000000057</v>
      </c>
      <c r="H39" s="12">
        <f t="shared" si="72"/>
        <v>125.89999999999964</v>
      </c>
      <c r="I39" s="12">
        <f t="shared" si="72"/>
        <v>467.0000000000004</v>
      </c>
      <c r="J39" s="12">
        <f t="shared" si="72"/>
        <v>434.99999999999943</v>
      </c>
      <c r="K39" s="12">
        <f t="shared" si="72"/>
        <v>167.10000000000014</v>
      </c>
      <c r="L39" s="12">
        <f t="shared" si="72"/>
        <v>822.5</v>
      </c>
      <c r="M39" s="12">
        <f>+M37-M38</f>
        <v>791.59999999999991</v>
      </c>
      <c r="N39" s="12">
        <f t="shared" si="72"/>
        <v>571.29999999999939</v>
      </c>
      <c r="O39" s="12">
        <f t="shared" si="72"/>
        <v>504.50000000000017</v>
      </c>
      <c r="P39" s="12">
        <f t="shared" si="72"/>
        <v>651.50000000000011</v>
      </c>
      <c r="Q39" s="12">
        <f t="shared" si="72"/>
        <v>405.70000000000084</v>
      </c>
      <c r="R39" s="12">
        <f t="shared" si="72"/>
        <v>533.50000000000023</v>
      </c>
      <c r="S39" s="12">
        <f>+S37-S38</f>
        <v>609.30000000000007</v>
      </c>
      <c r="T39" s="12">
        <f>+T37-T38</f>
        <v>755.80000000000041</v>
      </c>
      <c r="U39" s="12">
        <f>+U37-U38</f>
        <v>873.19800000000043</v>
      </c>
      <c r="V39" s="12">
        <f>+V37-V38</f>
        <v>705.11760000000038</v>
      </c>
      <c r="W39" s="12"/>
      <c r="X39" s="12"/>
      <c r="Y39" s="12"/>
      <c r="AD39" s="1">
        <f t="shared" ref="AD39:AE39" si="73">+AD37-AD38</f>
        <v>3384.0999999999967</v>
      </c>
      <c r="AE39" s="1">
        <f t="shared" si="73"/>
        <v>4066.0000000000036</v>
      </c>
      <c r="AF39" s="1">
        <f>+AF37-AF38</f>
        <v>3251.9999999999991</v>
      </c>
      <c r="AG39" s="1">
        <f>+AG37-AG38</f>
        <v>3762.0000000000018</v>
      </c>
      <c r="AH39" s="1">
        <f>+AH37-AH38</f>
        <v>5660.2000000000044</v>
      </c>
      <c r="AI39" s="1">
        <f>+AI37-AI38</f>
        <v>6854.7000000000025</v>
      </c>
      <c r="AJ39" s="1">
        <f>+AJ37-AJ38</f>
        <v>4822.1000000000022</v>
      </c>
      <c r="AK39" s="1">
        <f>+AK37-AK38</f>
        <v>1639.3999999999994</v>
      </c>
      <c r="AL39" s="1">
        <f>+AL37-AL38</f>
        <v>3217.3000000000006</v>
      </c>
      <c r="AM39" s="1">
        <f>+AM37-AM38</f>
        <v>4885.2592000000004</v>
      </c>
      <c r="AN39" s="1">
        <f t="shared" ref="AN39:BD39" si="74">+AN37-AN38</f>
        <v>4805.3340799999987</v>
      </c>
      <c r="AO39" s="1">
        <f t="shared" si="74"/>
        <v>4654.6320399999995</v>
      </c>
      <c r="AP39" s="1">
        <f t="shared" si="74"/>
        <v>4784.309245200001</v>
      </c>
      <c r="AQ39" s="1">
        <f t="shared" si="74"/>
        <v>4661.5596772279996</v>
      </c>
      <c r="AR39" s="1">
        <f t="shared" si="74"/>
        <v>4450.8775351640415</v>
      </c>
      <c r="AS39" s="1">
        <f t="shared" si="74"/>
        <v>4204.632958714722</v>
      </c>
      <c r="AT39" s="1">
        <f t="shared" si="74"/>
        <v>3983.536675489544</v>
      </c>
      <c r="AU39" s="1">
        <f t="shared" si="74"/>
        <v>3596.1861089034091</v>
      </c>
      <c r="AV39" s="1">
        <f t="shared" si="74"/>
        <v>3398.9040773792526</v>
      </c>
      <c r="AW39" s="1">
        <f t="shared" si="74"/>
        <v>3239.1677928399631</v>
      </c>
      <c r="AX39" s="1">
        <f t="shared" si="74"/>
        <v>3111.5130882008912</v>
      </c>
      <c r="AY39" s="1">
        <f t="shared" si="74"/>
        <v>3011.3609187374541</v>
      </c>
      <c r="AZ39" s="1">
        <f t="shared" si="74"/>
        <v>1587.6166155208873</v>
      </c>
      <c r="BA39" s="1">
        <f t="shared" si="74"/>
        <v>1369.8787394002643</v>
      </c>
      <c r="BB39" s="1">
        <f t="shared" si="74"/>
        <v>1287.8640311853546</v>
      </c>
      <c r="BC39" s="1">
        <f t="shared" si="74"/>
        <v>1232.5108759169884</v>
      </c>
      <c r="BD39" s="1">
        <f t="shared" si="74"/>
        <v>1191.1955078931096</v>
      </c>
    </row>
    <row r="40" spans="2:59" x14ac:dyDescent="0.2">
      <c r="B40" s="1" t="s">
        <v>1</v>
      </c>
      <c r="E40" s="15">
        <f t="shared" ref="E40:L40" si="75">+E39/E41</f>
        <v>5.7321882951653897</v>
      </c>
      <c r="F40" s="15">
        <f t="shared" si="75"/>
        <v>3.796103896103892</v>
      </c>
      <c r="G40" s="15">
        <f t="shared" si="75"/>
        <v>4.0151017728168128</v>
      </c>
      <c r="H40" s="15">
        <f t="shared" si="75"/>
        <v>0.83877415056628679</v>
      </c>
      <c r="I40" s="15">
        <f t="shared" si="75"/>
        <v>3.1426648721399757</v>
      </c>
      <c r="J40" s="15">
        <f t="shared" si="75"/>
        <v>2.9491525423728775</v>
      </c>
      <c r="K40" s="15">
        <f t="shared" si="75"/>
        <v>1.1321138211382122</v>
      </c>
      <c r="L40" s="15">
        <f t="shared" si="75"/>
        <v>5.625854993160055</v>
      </c>
      <c r="M40" s="15">
        <f t="shared" ref="M40:V40" si="76">+M39/M41</f>
        <v>5.4668508287292807</v>
      </c>
      <c r="N40" s="15">
        <f t="shared" si="76"/>
        <v>3.9345730027548171</v>
      </c>
      <c r="O40" s="15">
        <f t="shared" si="76"/>
        <v>3.4745179063360898</v>
      </c>
      <c r="P40" s="15">
        <f t="shared" si="76"/>
        <v>4.4776632302405508</v>
      </c>
      <c r="Q40" s="15">
        <f t="shared" si="76"/>
        <v>2.801795580110503</v>
      </c>
      <c r="R40" s="15">
        <f t="shared" si="76"/>
        <v>3.661633493479755</v>
      </c>
      <c r="S40" s="15">
        <f t="shared" si="76"/>
        <v>4.1761480466072651</v>
      </c>
      <c r="T40" s="15">
        <f t="shared" si="76"/>
        <v>5.1802604523646361</v>
      </c>
      <c r="U40" s="15">
        <f t="shared" si="76"/>
        <v>5.9849074708704624</v>
      </c>
      <c r="V40" s="15">
        <f t="shared" si="76"/>
        <v>4.8328827964359178</v>
      </c>
      <c r="W40" s="15"/>
      <c r="X40" s="15"/>
      <c r="AD40" s="17">
        <f t="shared" ref="AD40:AE40" si="77">+AD39/AD41</f>
        <v>14.266863406408081</v>
      </c>
      <c r="AE40" s="17">
        <f t="shared" si="77"/>
        <v>17.586505190311435</v>
      </c>
      <c r="AF40" s="17">
        <f>+AF39/AF41</f>
        <v>14.862888482632536</v>
      </c>
      <c r="AG40" s="17">
        <f>+AG39/AG41</f>
        <v>17.661971830985923</v>
      </c>
      <c r="AH40" s="17">
        <f>+AH39/AH41</f>
        <v>27.570384802727734</v>
      </c>
      <c r="AI40" s="17">
        <f>+AI39/AI41</f>
        <v>36.577908217716129</v>
      </c>
      <c r="AJ40" s="17">
        <f>+AJ39/AJ41</f>
        <v>29.895226286422826</v>
      </c>
      <c r="AK40" s="17">
        <f>+AK39/AK41</f>
        <v>10.956725146198826</v>
      </c>
      <c r="AL40" s="17">
        <f>+AL39/AL41</f>
        <v>22.043850633778696</v>
      </c>
      <c r="AM40" s="17">
        <f>+AM39/AM41</f>
        <v>33.472142514559785</v>
      </c>
      <c r="AN40" s="17">
        <f t="shared" ref="AN40:BD40" si="78">+AN39/AN41</f>
        <v>32.924522644741344</v>
      </c>
      <c r="AO40" s="17">
        <f t="shared" si="78"/>
        <v>31.891963275094209</v>
      </c>
      <c r="AP40" s="17">
        <f t="shared" si="78"/>
        <v>32.780467593011316</v>
      </c>
      <c r="AQ40" s="17">
        <f t="shared" si="78"/>
        <v>31.939429100568688</v>
      </c>
      <c r="AR40" s="17">
        <f t="shared" si="78"/>
        <v>30.495906373169181</v>
      </c>
      <c r="AS40" s="17">
        <f t="shared" si="78"/>
        <v>28.808721882252293</v>
      </c>
      <c r="AT40" s="17">
        <f t="shared" si="78"/>
        <v>27.293844984512123</v>
      </c>
      <c r="AU40" s="17">
        <f t="shared" si="78"/>
        <v>24.639850009615685</v>
      </c>
      <c r="AV40" s="17">
        <f t="shared" si="78"/>
        <v>23.288140304071618</v>
      </c>
      <c r="AW40" s="17">
        <f t="shared" si="78"/>
        <v>22.193681348680805</v>
      </c>
      <c r="AX40" s="17">
        <f t="shared" si="78"/>
        <v>21.319034520047218</v>
      </c>
      <c r="AY40" s="17">
        <f t="shared" si="78"/>
        <v>20.632825753596808</v>
      </c>
      <c r="AZ40" s="17">
        <f t="shared" si="78"/>
        <v>10.877811685651849</v>
      </c>
      <c r="BA40" s="17">
        <f t="shared" si="78"/>
        <v>9.385945456665052</v>
      </c>
      <c r="BB40" s="17">
        <f t="shared" si="78"/>
        <v>8.8240084356653288</v>
      </c>
      <c r="BC40" s="17">
        <f t="shared" si="78"/>
        <v>8.4447473512640521</v>
      </c>
      <c r="BD40" s="17">
        <f t="shared" si="78"/>
        <v>8.1616684336629639</v>
      </c>
    </row>
    <row r="41" spans="2:59" x14ac:dyDescent="0.2">
      <c r="B41" s="1" t="s">
        <v>70</v>
      </c>
      <c r="E41" s="12">
        <v>157.19999999999999</v>
      </c>
      <c r="F41" s="12">
        <v>154</v>
      </c>
      <c r="G41" s="12">
        <v>152.30000000000001</v>
      </c>
      <c r="H41" s="12">
        <v>150.1</v>
      </c>
      <c r="I41" s="12">
        <v>148.6</v>
      </c>
      <c r="J41" s="12">
        <v>147.5</v>
      </c>
      <c r="K41" s="12">
        <v>147.6</v>
      </c>
      <c r="L41" s="12">
        <v>146.19999999999999</v>
      </c>
      <c r="M41" s="12">
        <v>144.80000000000001</v>
      </c>
      <c r="N41" s="12">
        <v>145.19999999999999</v>
      </c>
      <c r="O41" s="12">
        <v>145.19999999999999</v>
      </c>
      <c r="P41" s="12">
        <v>145.5</v>
      </c>
      <c r="Q41" s="12">
        <v>144.80000000000001</v>
      </c>
      <c r="R41" s="12">
        <v>145.69999999999999</v>
      </c>
      <c r="S41" s="12">
        <v>145.9</v>
      </c>
      <c r="T41" s="12">
        <v>145.9</v>
      </c>
      <c r="U41" s="12">
        <f>+T41</f>
        <v>145.9</v>
      </c>
      <c r="V41" s="12">
        <f>+U41</f>
        <v>145.9</v>
      </c>
      <c r="W41" s="12"/>
      <c r="X41" s="12"/>
      <c r="AD41" s="1">
        <v>237.2</v>
      </c>
      <c r="AE41" s="1">
        <v>231.2</v>
      </c>
      <c r="AF41" s="1">
        <v>218.8</v>
      </c>
      <c r="AG41" s="1">
        <v>213</v>
      </c>
      <c r="AH41" s="1">
        <v>205.3</v>
      </c>
      <c r="AI41" s="1">
        <v>187.4</v>
      </c>
      <c r="AJ41" s="1">
        <v>161.30000000000001</v>
      </c>
      <c r="AK41" s="1">
        <f>AVERAGE(G41:J41)</f>
        <v>149.625</v>
      </c>
      <c r="AL41" s="1">
        <f>AVERAGE(K41:N41)</f>
        <v>145.94999999999999</v>
      </c>
      <c r="AM41" s="1">
        <f>+AL41</f>
        <v>145.94999999999999</v>
      </c>
      <c r="AN41" s="1">
        <f t="shared" ref="AN41:BD41" si="79">+AM41</f>
        <v>145.94999999999999</v>
      </c>
      <c r="AO41" s="1">
        <f t="shared" si="79"/>
        <v>145.94999999999999</v>
      </c>
      <c r="AP41" s="1">
        <f t="shared" si="79"/>
        <v>145.94999999999999</v>
      </c>
      <c r="AQ41" s="1">
        <f t="shared" si="79"/>
        <v>145.94999999999999</v>
      </c>
      <c r="AR41" s="1">
        <f t="shared" si="79"/>
        <v>145.94999999999999</v>
      </c>
      <c r="AS41" s="1">
        <f t="shared" si="79"/>
        <v>145.94999999999999</v>
      </c>
      <c r="AT41" s="1">
        <f t="shared" si="79"/>
        <v>145.94999999999999</v>
      </c>
      <c r="AU41" s="1">
        <f t="shared" si="79"/>
        <v>145.94999999999999</v>
      </c>
      <c r="AV41" s="1">
        <f t="shared" si="79"/>
        <v>145.94999999999999</v>
      </c>
      <c r="AW41" s="1">
        <f t="shared" si="79"/>
        <v>145.94999999999999</v>
      </c>
      <c r="AX41" s="1">
        <f t="shared" si="79"/>
        <v>145.94999999999999</v>
      </c>
      <c r="AY41" s="1">
        <f t="shared" si="79"/>
        <v>145.94999999999999</v>
      </c>
      <c r="AZ41" s="1">
        <f t="shared" si="79"/>
        <v>145.94999999999999</v>
      </c>
      <c r="BA41" s="1">
        <f t="shared" si="79"/>
        <v>145.94999999999999</v>
      </c>
      <c r="BB41" s="1">
        <f t="shared" si="79"/>
        <v>145.94999999999999</v>
      </c>
      <c r="BC41" s="1">
        <f t="shared" si="79"/>
        <v>145.94999999999999</v>
      </c>
      <c r="BD41" s="1">
        <f t="shared" si="79"/>
        <v>145.94999999999999</v>
      </c>
    </row>
    <row r="42" spans="2:59" x14ac:dyDescent="0.2">
      <c r="BF42" t="s">
        <v>78</v>
      </c>
      <c r="BG42" s="18">
        <v>-0.01</v>
      </c>
    </row>
    <row r="43" spans="2:59" x14ac:dyDescent="0.2">
      <c r="BF43" t="s">
        <v>79</v>
      </c>
      <c r="BG43" s="18">
        <v>0.08</v>
      </c>
    </row>
    <row r="44" spans="2:59" s="23" customFormat="1" x14ac:dyDescent="0.2">
      <c r="B44" s="13" t="s">
        <v>76</v>
      </c>
      <c r="C44" s="21"/>
      <c r="D44" s="21"/>
      <c r="E44" s="21"/>
      <c r="F44" s="21"/>
      <c r="G44" s="21"/>
      <c r="H44" s="21"/>
      <c r="I44" s="22">
        <f t="shared" ref="I44:O44" si="80">+I29/E29-1</f>
        <v>-0.1768904949497937</v>
      </c>
      <c r="J44" s="22">
        <f t="shared" si="80"/>
        <v>-4.1541050269929158E-2</v>
      </c>
      <c r="K44" s="22">
        <f t="shared" si="80"/>
        <v>-6.0207869339272579E-2</v>
      </c>
      <c r="L44" s="22">
        <f t="shared" si="80"/>
        <v>-6.6990990990990817E-2</v>
      </c>
      <c r="M44" s="22">
        <f t="shared" si="80"/>
        <v>-9.7304688905682335E-2</v>
      </c>
      <c r="N44" s="22">
        <f t="shared" si="80"/>
        <v>-6.9529278373139269E-2</v>
      </c>
      <c r="O44" s="22">
        <f t="shared" si="80"/>
        <v>-2.7174342365115844E-2</v>
      </c>
      <c r="P44" s="22">
        <f t="shared" ref="P44:V44" si="81">+P29/L29-1</f>
        <v>-5.1407825112973593E-2</v>
      </c>
      <c r="Q44" s="22">
        <f t="shared" si="81"/>
        <v>8.6904524616306933E-3</v>
      </c>
      <c r="R44" s="22">
        <f t="shared" si="81"/>
        <v>-6.1988993710691553E-2</v>
      </c>
      <c r="S44" s="22">
        <f t="shared" si="81"/>
        <v>-7.0036540803897651E-2</v>
      </c>
      <c r="T44" s="22">
        <f t="shared" si="81"/>
        <v>3.6237785016288715E-3</v>
      </c>
      <c r="U44" s="22">
        <f t="shared" si="81"/>
        <v>6.0901869343556125E-2</v>
      </c>
      <c r="V44" s="22">
        <f t="shared" si="81"/>
        <v>6.056656748941891E-2</v>
      </c>
      <c r="W44" s="22"/>
      <c r="X44" s="22"/>
      <c r="AD44" s="24">
        <f t="shared" ref="AD44:AJ44" si="82">+AD29/AC29-1</f>
        <v>5.9812936182459149</v>
      </c>
      <c r="AE44" s="24">
        <f t="shared" si="82"/>
        <v>0.10929271484958791</v>
      </c>
      <c r="AF44" s="24">
        <f t="shared" si="82"/>
        <v>6.3639235214329126E-2</v>
      </c>
      <c r="AG44" s="24">
        <f t="shared" si="82"/>
        <v>7.2068688421494054E-2</v>
      </c>
      <c r="AH44" s="24">
        <f t="shared" si="82"/>
        <v>9.6057487840051081E-2</v>
      </c>
      <c r="AI44" s="24">
        <f t="shared" si="82"/>
        <v>6.8758408967583007E-2</v>
      </c>
      <c r="AJ44" s="24">
        <f>+AJ29/AI29-1</f>
        <v>-6.4912122076241974E-2</v>
      </c>
      <c r="AK44" s="24">
        <f t="shared" ref="AK44:BD44" si="83">+AK29/AJ29-1</f>
        <v>-0.18316647575978484</v>
      </c>
      <c r="AL44" s="24">
        <f t="shared" si="83"/>
        <v>5.1174649426337648E-3</v>
      </c>
      <c r="AM44" s="24">
        <f t="shared" si="83"/>
        <v>-7.3064448913772284E-2</v>
      </c>
      <c r="AN44" s="24">
        <f t="shared" si="83"/>
        <v>-2.5515798938593126E-2</v>
      </c>
      <c r="AO44" s="24">
        <f t="shared" si="83"/>
        <v>-3.6306632579886977E-2</v>
      </c>
      <c r="AP44" s="24">
        <f t="shared" si="83"/>
        <v>7.4954441996415433E-3</v>
      </c>
      <c r="AQ44" s="24">
        <f t="shared" si="83"/>
        <v>-3.1660378633939112E-2</v>
      </c>
      <c r="AR44" s="24">
        <f t="shared" si="83"/>
        <v>-4.6358072565725661E-2</v>
      </c>
      <c r="AS44" s="24">
        <f t="shared" si="83"/>
        <v>-5.4041473428376952E-2</v>
      </c>
      <c r="AT44" s="24">
        <f t="shared" si="83"/>
        <v>-5.1958491163690668E-2</v>
      </c>
      <c r="AU44" s="24">
        <f t="shared" si="83"/>
        <v>-8.5779816713122847E-2</v>
      </c>
      <c r="AV44" s="24">
        <f t="shared" si="83"/>
        <v>-5.363403390497723E-2</v>
      </c>
      <c r="AW44" s="24">
        <f t="shared" si="83"/>
        <v>-4.7756381744943788E-2</v>
      </c>
      <c r="AX44" s="24">
        <f t="shared" si="83"/>
        <v>-4.2082977159835222E-2</v>
      </c>
      <c r="AY44" s="24">
        <f t="shared" si="83"/>
        <v>-3.664674750268615E-2</v>
      </c>
      <c r="AZ44" s="24">
        <f t="shared" si="83"/>
        <v>-0.36841696181739292</v>
      </c>
      <c r="BA44" s="24">
        <f t="shared" si="83"/>
        <v>-0.1047871215818329</v>
      </c>
      <c r="BB44" s="24">
        <f t="shared" si="83"/>
        <v>-5.5980704554131733E-2</v>
      </c>
      <c r="BC44" s="24">
        <f t="shared" si="83"/>
        <v>-4.5764149079195349E-2</v>
      </c>
      <c r="BD44" s="24">
        <f t="shared" si="83"/>
        <v>-4.0026950711759324E-2</v>
      </c>
      <c r="BF44" s="23" t="s">
        <v>80</v>
      </c>
      <c r="BG44" s="13">
        <f>NPV(BG43,AO39:BF39)+Main!J5-Main!J6</f>
        <v>32469.226249302024</v>
      </c>
    </row>
    <row r="45" spans="2:59" x14ac:dyDescent="0.2">
      <c r="B45" s="1" t="s">
        <v>118</v>
      </c>
      <c r="I45" s="16"/>
      <c r="J45" s="16">
        <f t="shared" ref="J45:O45" si="84">+J24/F24-1</f>
        <v>-4.6836982968369689E-2</v>
      </c>
      <c r="K45" s="16">
        <f t="shared" si="84"/>
        <v>-6.5741284984401127E-2</v>
      </c>
      <c r="L45" s="16">
        <f t="shared" si="84"/>
        <v>-8.103756708407861E-2</v>
      </c>
      <c r="M45" s="16">
        <f t="shared" si="84"/>
        <v>-0.11044112980006349</v>
      </c>
      <c r="N45" s="16">
        <f t="shared" si="84"/>
        <v>-0.1318716382532592</v>
      </c>
      <c r="O45" s="16">
        <f t="shared" si="84"/>
        <v>-0.15578570391521074</v>
      </c>
      <c r="P45" s="16">
        <f t="shared" ref="P45:V45" si="85">+P24/L24-1</f>
        <v>-0.10380572318473802</v>
      </c>
      <c r="Q45" s="16">
        <f t="shared" si="85"/>
        <v>-8.1851077926711091E-2</v>
      </c>
      <c r="R45" s="16">
        <f t="shared" si="85"/>
        <v>-3.9957994224205651E-2</v>
      </c>
      <c r="S45" s="16">
        <f t="shared" si="85"/>
        <v>-2.7344645723458072E-2</v>
      </c>
      <c r="T45" s="16">
        <f t="shared" si="85"/>
        <v>3.0084170513168695E-2</v>
      </c>
      <c r="U45" s="16">
        <f t="shared" si="85"/>
        <v>8.5539827921176759E-2</v>
      </c>
      <c r="V45" s="16">
        <f t="shared" si="85"/>
        <v>7.9047254430102853E-2</v>
      </c>
      <c r="W45" s="16"/>
      <c r="X45" s="16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F45" t="s">
        <v>81</v>
      </c>
      <c r="BG45" s="17">
        <f>BG44/Main!J3</f>
        <v>223.92569827104845</v>
      </c>
    </row>
    <row r="46" spans="2:59" x14ac:dyDescent="0.2">
      <c r="B46" s="1" t="s">
        <v>77</v>
      </c>
      <c r="E46" s="16">
        <f>+E31/E29</f>
        <v>0.86697668907911496</v>
      </c>
      <c r="F46" s="16">
        <f>+F31/F29</f>
        <v>0.82801654630863075</v>
      </c>
      <c r="G46" s="16">
        <f>+G31/G29</f>
        <v>0.82253155159613967</v>
      </c>
      <c r="H46" s="16">
        <f t="shared" ref="H46" si="86">+H31/H29</f>
        <v>0.83434234234234239</v>
      </c>
      <c r="I46" s="16">
        <f t="shared" ref="I46:J46" si="87">+I31/I29</f>
        <v>0.8158264061319227</v>
      </c>
      <c r="J46" s="16">
        <f t="shared" si="87"/>
        <v>0.7585677188105775</v>
      </c>
      <c r="K46" s="16">
        <f t="shared" ref="K46:O46" si="88">+K31/K29</f>
        <v>0.70222766411248916</v>
      </c>
      <c r="L46" s="16">
        <f t="shared" si="88"/>
        <v>0.8130624541346414</v>
      </c>
      <c r="M46" s="16">
        <f t="shared" si="88"/>
        <v>0.81283635638827989</v>
      </c>
      <c r="N46" s="16">
        <f t="shared" si="88"/>
        <v>0.77558962264150932</v>
      </c>
      <c r="O46" s="16">
        <f t="shared" si="88"/>
        <v>0.73089727974015428</v>
      </c>
      <c r="P46" s="16">
        <f t="shared" ref="P46:V46" si="89">+P31/P29</f>
        <v>0.75867263843648203</v>
      </c>
      <c r="Q46" s="16">
        <f t="shared" si="89"/>
        <v>0.73931944828676455</v>
      </c>
      <c r="R46" s="16">
        <f t="shared" si="89"/>
        <v>0.75409629971084946</v>
      </c>
      <c r="S46" s="16">
        <f t="shared" si="89"/>
        <v>0.78170705086225711</v>
      </c>
      <c r="T46" s="16">
        <f t="shared" si="89"/>
        <v>0.79565093918617391</v>
      </c>
      <c r="U46" s="16">
        <f t="shared" si="89"/>
        <v>0.8</v>
      </c>
      <c r="V46" s="16">
        <f t="shared" si="89"/>
        <v>0.8</v>
      </c>
      <c r="W46" s="16"/>
      <c r="X46" s="16"/>
      <c r="AD46" s="18">
        <f t="shared" ref="AD46:AI46" si="90">+AD31/AD29</f>
        <v>0.87931940679974852</v>
      </c>
      <c r="AE46" s="18">
        <f t="shared" si="90"/>
        <v>0.88476188706590619</v>
      </c>
      <c r="AF46" s="18">
        <f t="shared" si="90"/>
        <v>0.87084235902452656</v>
      </c>
      <c r="AG46" s="18">
        <f t="shared" si="90"/>
        <v>0.86719787516600266</v>
      </c>
      <c r="AH46" s="18">
        <f t="shared" si="90"/>
        <v>0.86498821815370674</v>
      </c>
      <c r="AI46" s="18">
        <f t="shared" ref="AI46:AJ46" si="91">+AI31/AI29</f>
        <v>0.86399961051335739</v>
      </c>
      <c r="AJ46" s="18">
        <f t="shared" si="91"/>
        <v>0.86573047915148083</v>
      </c>
      <c r="AK46" s="18">
        <f>+AK31/AK29</f>
        <v>0.80789473684210533</v>
      </c>
      <c r="AL46" s="18">
        <f t="shared" ref="AL46:BD46" si="92">+AL31/AL29</f>
        <v>0.79359859397365506</v>
      </c>
      <c r="AM46" s="18">
        <f t="shared" si="92"/>
        <v>0.82</v>
      </c>
      <c r="AN46" s="18">
        <f t="shared" si="92"/>
        <v>0.82</v>
      </c>
      <c r="AO46" s="18">
        <f t="shared" si="92"/>
        <v>0.82</v>
      </c>
      <c r="AP46" s="18">
        <f t="shared" si="92"/>
        <v>0.82</v>
      </c>
      <c r="AQ46" s="18">
        <f t="shared" si="92"/>
        <v>0.82</v>
      </c>
      <c r="AR46" s="18">
        <f t="shared" si="92"/>
        <v>0.82</v>
      </c>
      <c r="AS46" s="18">
        <f t="shared" si="92"/>
        <v>0.82</v>
      </c>
      <c r="AT46" s="18">
        <f t="shared" si="92"/>
        <v>0.82</v>
      </c>
      <c r="AU46" s="18">
        <f t="shared" si="92"/>
        <v>0.82</v>
      </c>
      <c r="AV46" s="18">
        <f t="shared" si="92"/>
        <v>0.82000000000000006</v>
      </c>
      <c r="AW46" s="18">
        <f t="shared" si="92"/>
        <v>0.82</v>
      </c>
      <c r="AX46" s="18">
        <f t="shared" si="92"/>
        <v>0.82</v>
      </c>
      <c r="AY46" s="18">
        <f t="shared" si="92"/>
        <v>0.82</v>
      </c>
      <c r="AZ46" s="18">
        <f t="shared" si="92"/>
        <v>0.82</v>
      </c>
      <c r="BA46" s="18">
        <f t="shared" si="92"/>
        <v>0.82</v>
      </c>
      <c r="BB46" s="18">
        <f t="shared" si="92"/>
        <v>0.82</v>
      </c>
      <c r="BC46" s="18">
        <f t="shared" si="92"/>
        <v>0.82</v>
      </c>
      <c r="BD46" s="18">
        <f t="shared" si="92"/>
        <v>0.82</v>
      </c>
    </row>
    <row r="48" spans="2:59" x14ac:dyDescent="0.2">
      <c r="B48" t="s">
        <v>111</v>
      </c>
      <c r="L48" s="12">
        <f>L49-L63</f>
        <v>124.39999999999964</v>
      </c>
      <c r="M48" s="12">
        <f>M49-M63</f>
        <v>1104.8000000000002</v>
      </c>
      <c r="N48" s="12">
        <f>N49-N63</f>
        <v>846.69999999999982</v>
      </c>
      <c r="O48" s="12">
        <f>O49-O63</f>
        <v>1117.5999999999995</v>
      </c>
    </row>
    <row r="49" spans="2:20" s="1" customFormat="1" x14ac:dyDescent="0.2">
      <c r="B49" s="1" t="s">
        <v>3</v>
      </c>
      <c r="C49" s="12"/>
      <c r="D49" s="12"/>
      <c r="E49" s="12"/>
      <c r="F49" s="12"/>
      <c r="G49" s="12"/>
      <c r="H49" s="12"/>
      <c r="I49" s="12"/>
      <c r="J49" s="12"/>
      <c r="K49" s="12"/>
      <c r="L49" s="12">
        <f>4797.9+1102.9+1500.8</f>
        <v>7401.5999999999995</v>
      </c>
      <c r="M49" s="12">
        <f>3675.6+1235.5+860.3+1612.6</f>
        <v>7384</v>
      </c>
      <c r="N49" s="12">
        <f>3419.3+1473.5+705.7+1529.2</f>
        <v>7127.7</v>
      </c>
      <c r="O49" s="12">
        <f>2898.2+2143.1+978.2+1380.8</f>
        <v>7400.2999999999993</v>
      </c>
      <c r="P49" s="12"/>
      <c r="Q49" s="12"/>
      <c r="T49" s="1">
        <f>1908.9+681.5</f>
        <v>2590.4</v>
      </c>
    </row>
    <row r="50" spans="2:20" s="1" customFormat="1" x14ac:dyDescent="0.2">
      <c r="B50" s="1" t="s">
        <v>101</v>
      </c>
      <c r="C50" s="12"/>
      <c r="D50" s="12"/>
      <c r="E50" s="12"/>
      <c r="F50" s="12"/>
      <c r="G50" s="12"/>
      <c r="H50" s="12"/>
      <c r="I50" s="12"/>
      <c r="J50" s="12"/>
      <c r="K50" s="12"/>
      <c r="L50" s="12">
        <v>1567.6</v>
      </c>
      <c r="M50" s="12">
        <v>1568.8</v>
      </c>
      <c r="N50" s="12">
        <v>1705</v>
      </c>
      <c r="O50" s="12">
        <v>1634.4</v>
      </c>
      <c r="P50" s="12"/>
      <c r="Q50" s="12"/>
      <c r="T50" s="1">
        <v>1627.1</v>
      </c>
    </row>
    <row r="51" spans="2:20" s="1" customFormat="1" x14ac:dyDescent="0.2">
      <c r="B51" s="1" t="s">
        <v>58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>
        <v>415.4</v>
      </c>
      <c r="N51" s="12">
        <v>431.4</v>
      </c>
      <c r="O51" s="12">
        <v>393.8</v>
      </c>
      <c r="P51" s="12"/>
      <c r="Q51" s="12"/>
      <c r="T51" s="1">
        <v>451.1</v>
      </c>
    </row>
    <row r="52" spans="2:20" s="1" customFormat="1" x14ac:dyDescent="0.2">
      <c r="B52" s="1" t="s">
        <v>102</v>
      </c>
      <c r="C52" s="12"/>
      <c r="D52" s="12"/>
      <c r="E52" s="12"/>
      <c r="F52" s="12"/>
      <c r="G52" s="12"/>
      <c r="H52" s="12"/>
      <c r="I52" s="12"/>
      <c r="J52" s="12"/>
      <c r="K52" s="12"/>
      <c r="L52" s="12">
        <v>1294.2</v>
      </c>
      <c r="M52" s="12">
        <v>1375</v>
      </c>
      <c r="N52" s="12">
        <v>1344.4</v>
      </c>
      <c r="O52" s="12">
        <v>1281</v>
      </c>
      <c r="P52" s="12"/>
      <c r="Q52" s="12"/>
      <c r="T52" s="1">
        <v>2506.1</v>
      </c>
    </row>
    <row r="53" spans="2:20" s="1" customFormat="1" x14ac:dyDescent="0.2">
      <c r="B53" s="1" t="s">
        <v>103</v>
      </c>
      <c r="C53" s="12"/>
      <c r="D53" s="12"/>
      <c r="E53" s="12"/>
      <c r="F53" s="12"/>
      <c r="G53" s="12"/>
      <c r="H53" s="12"/>
      <c r="I53" s="12"/>
      <c r="J53" s="12"/>
      <c r="K53" s="12"/>
      <c r="L53" s="12">
        <v>2081.1999999999998</v>
      </c>
      <c r="M53" s="12">
        <v>1495.5</v>
      </c>
      <c r="N53" s="12">
        <v>1417.6</v>
      </c>
      <c r="O53" s="12">
        <v>1412</v>
      </c>
      <c r="P53" s="12"/>
      <c r="Q53" s="12"/>
      <c r="T53" s="1">
        <v>615.29999999999995</v>
      </c>
    </row>
    <row r="54" spans="2:20" s="1" customFormat="1" x14ac:dyDescent="0.2">
      <c r="B54" s="1" t="s">
        <v>104</v>
      </c>
      <c r="C54" s="12"/>
      <c r="D54" s="12"/>
      <c r="E54" s="12"/>
      <c r="F54" s="12"/>
      <c r="G54" s="12"/>
      <c r="H54" s="12"/>
      <c r="I54" s="12"/>
      <c r="J54" s="12"/>
      <c r="K54" s="12"/>
      <c r="L54" s="12">
        <v>3355.1</v>
      </c>
      <c r="M54" s="12">
        <v>3266.4</v>
      </c>
      <c r="N54" s="12">
        <v>3298.6</v>
      </c>
      <c r="O54" s="12">
        <v>3300.9</v>
      </c>
      <c r="P54" s="12"/>
      <c r="Q54" s="12"/>
      <c r="T54" s="1">
        <v>3249.3</v>
      </c>
    </row>
    <row r="55" spans="2:20" s="1" customFormat="1" x14ac:dyDescent="0.2">
      <c r="B55" s="1" t="s">
        <v>105</v>
      </c>
      <c r="C55" s="12"/>
      <c r="D55" s="12"/>
      <c r="E55" s="12"/>
      <c r="F55" s="12"/>
      <c r="G55" s="12"/>
      <c r="H55" s="12"/>
      <c r="I55" s="12"/>
      <c r="J55" s="12"/>
      <c r="K55" s="12"/>
      <c r="L55" s="12">
        <v>321.10000000000002</v>
      </c>
      <c r="M55" s="12">
        <v>424.5</v>
      </c>
      <c r="N55" s="12">
        <v>403.9</v>
      </c>
      <c r="O55" s="12">
        <v>399.1</v>
      </c>
      <c r="P55" s="12"/>
      <c r="Q55" s="12"/>
      <c r="T55" s="1">
        <v>389.4</v>
      </c>
    </row>
    <row r="56" spans="2:20" s="1" customFormat="1" x14ac:dyDescent="0.2">
      <c r="B56" s="1" t="s">
        <v>106</v>
      </c>
      <c r="C56" s="12"/>
      <c r="D56" s="12"/>
      <c r="E56" s="12"/>
      <c r="F56" s="12"/>
      <c r="G56" s="12"/>
      <c r="H56" s="12"/>
      <c r="I56" s="12"/>
      <c r="J56" s="12"/>
      <c r="K56" s="12"/>
      <c r="L56" s="12">
        <f>2075.3+5749.6</f>
        <v>7824.9000000000005</v>
      </c>
      <c r="M56" s="12">
        <f>5741.2+2008.9</f>
        <v>7750.1</v>
      </c>
      <c r="N56" s="12">
        <f>1850.1+5749</f>
        <v>7599.1</v>
      </c>
      <c r="O56" s="12">
        <f>1813.3+5751.8</f>
        <v>7565.1</v>
      </c>
      <c r="P56" s="12"/>
      <c r="Q56" s="12"/>
      <c r="T56" s="1">
        <f>8232.9+6227.4</f>
        <v>14460.3</v>
      </c>
    </row>
    <row r="57" spans="2:20" s="1" customFormat="1" x14ac:dyDescent="0.2">
      <c r="B57" s="1" t="s">
        <v>107</v>
      </c>
      <c r="C57" s="12"/>
      <c r="D57" s="12"/>
      <c r="E57" s="12"/>
      <c r="F57" s="12"/>
      <c r="G57" s="12"/>
      <c r="H57" s="12"/>
      <c r="I57" s="12"/>
      <c r="J57" s="12"/>
      <c r="K57" s="12"/>
      <c r="L57" s="12">
        <v>1235.7</v>
      </c>
      <c r="M57" s="12">
        <v>1174.5</v>
      </c>
      <c r="N57" s="12">
        <v>1226.4000000000001</v>
      </c>
      <c r="O57" s="12">
        <v>1211.8</v>
      </c>
      <c r="P57" s="12"/>
      <c r="Q57" s="12"/>
      <c r="T57" s="1">
        <v>915.1</v>
      </c>
    </row>
    <row r="58" spans="2:20" x14ac:dyDescent="0.2">
      <c r="B58" s="1" t="s">
        <v>108</v>
      </c>
      <c r="L58" s="12">
        <f>SUM(L49:L57)</f>
        <v>25081.4</v>
      </c>
      <c r="M58" s="12">
        <f>SUM(M49:M57)</f>
        <v>24854.199999999997</v>
      </c>
      <c r="N58" s="12">
        <f>SUM(N49:N57)</f>
        <v>24554.100000000002</v>
      </c>
      <c r="O58" s="12">
        <f>SUM(O49:O57)</f>
        <v>24598.399999999998</v>
      </c>
      <c r="P58" s="12">
        <f t="shared" ref="P58:T58" si="93">SUM(P49:P57)</f>
        <v>0</v>
      </c>
      <c r="Q58" s="12">
        <f t="shared" si="93"/>
        <v>0</v>
      </c>
      <c r="R58" s="12">
        <f t="shared" si="93"/>
        <v>0</v>
      </c>
      <c r="S58" s="12">
        <f t="shared" si="93"/>
        <v>0</v>
      </c>
      <c r="T58" s="12">
        <f t="shared" si="93"/>
        <v>26804.1</v>
      </c>
    </row>
    <row r="60" spans="2:20" s="1" customFormat="1" x14ac:dyDescent="0.2">
      <c r="B60" s="1" t="s">
        <v>68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f>237.3+328.9</f>
        <v>566.20000000000005</v>
      </c>
      <c r="N60" s="12">
        <v>259.89999999999998</v>
      </c>
      <c r="O60" s="12">
        <v>235.5</v>
      </c>
      <c r="P60" s="12"/>
      <c r="Q60" s="12"/>
      <c r="T60" s="1">
        <v>281.60000000000002</v>
      </c>
    </row>
    <row r="61" spans="2:20" s="1" customFormat="1" x14ac:dyDescent="0.2">
      <c r="B61" s="1" t="s">
        <v>109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v>383.2</v>
      </c>
      <c r="N61" s="12">
        <v>491.5</v>
      </c>
      <c r="O61" s="12">
        <v>491.2</v>
      </c>
      <c r="P61" s="12"/>
      <c r="Q61" s="12"/>
      <c r="T61" s="1">
        <v>354.5</v>
      </c>
    </row>
    <row r="62" spans="2:20" s="1" customFormat="1" x14ac:dyDescent="0.2">
      <c r="B62" s="1" t="s">
        <v>110</v>
      </c>
      <c r="C62" s="12"/>
      <c r="D62" s="12"/>
      <c r="E62" s="12"/>
      <c r="F62" s="12"/>
      <c r="G62" s="12"/>
      <c r="H62" s="12"/>
      <c r="I62" s="12"/>
      <c r="J62" s="12"/>
      <c r="K62" s="12"/>
      <c r="L62" s="12">
        <v>4018.2</v>
      </c>
      <c r="M62" s="12">
        <v>3305.9</v>
      </c>
      <c r="N62" s="12">
        <v>2521.4</v>
      </c>
      <c r="O62" s="12">
        <v>2288.1999999999998</v>
      </c>
      <c r="P62" s="12"/>
      <c r="Q62" s="12"/>
      <c r="T62" s="1">
        <v>2472.1</v>
      </c>
    </row>
    <row r="63" spans="2:20" s="1" customFormat="1" x14ac:dyDescent="0.2">
      <c r="B63" s="1" t="s">
        <v>4</v>
      </c>
      <c r="C63" s="12"/>
      <c r="D63" s="12"/>
      <c r="E63" s="12"/>
      <c r="F63" s="12"/>
      <c r="G63" s="12"/>
      <c r="H63" s="12"/>
      <c r="I63" s="12"/>
      <c r="J63" s="12"/>
      <c r="K63" s="12"/>
      <c r="L63" s="12">
        <f>999.8+6277.4</f>
        <v>7277.2</v>
      </c>
      <c r="M63" s="12">
        <v>6279.2</v>
      </c>
      <c r="N63" s="12">
        <v>6281</v>
      </c>
      <c r="O63" s="12">
        <v>6282.7</v>
      </c>
      <c r="P63" s="12"/>
      <c r="Q63" s="12"/>
      <c r="T63" s="1">
        <v>6292</v>
      </c>
    </row>
    <row r="64" spans="2:20" s="1" customFormat="1" x14ac:dyDescent="0.2">
      <c r="B64" s="1" t="s">
        <v>107</v>
      </c>
      <c r="C64" s="12"/>
      <c r="D64" s="12"/>
      <c r="E64" s="12"/>
      <c r="F64" s="12"/>
      <c r="G64" s="12"/>
      <c r="H64" s="12"/>
      <c r="I64" s="12"/>
      <c r="J64" s="12"/>
      <c r="K64" s="12"/>
      <c r="L64" s="12">
        <v>480.6</v>
      </c>
      <c r="M64" s="12">
        <v>354.8</v>
      </c>
      <c r="N64" s="12">
        <v>334.7</v>
      </c>
      <c r="O64" s="12">
        <v>251.3</v>
      </c>
      <c r="P64" s="12"/>
      <c r="Q64" s="12"/>
      <c r="T64" s="1">
        <v>590.6</v>
      </c>
    </row>
    <row r="65" spans="2:21" s="1" customFormat="1" x14ac:dyDescent="0.2">
      <c r="B65" s="1" t="s">
        <v>105</v>
      </c>
      <c r="C65" s="12"/>
      <c r="D65" s="12"/>
      <c r="E65" s="12"/>
      <c r="F65" s="12"/>
      <c r="G65" s="12"/>
      <c r="H65" s="12"/>
      <c r="I65" s="12"/>
      <c r="J65" s="12"/>
      <c r="K65" s="12"/>
      <c r="L65" s="12">
        <v>274.2</v>
      </c>
      <c r="M65" s="12">
        <v>1198.0999999999999</v>
      </c>
      <c r="N65" s="12">
        <v>333</v>
      </c>
      <c r="O65" s="12">
        <v>327</v>
      </c>
      <c r="P65" s="12"/>
      <c r="Q65" s="12"/>
      <c r="T65" s="1">
        <v>367.5</v>
      </c>
    </row>
    <row r="66" spans="2:21" s="1" customFormat="1" x14ac:dyDescent="0.2">
      <c r="B66" s="1" t="s">
        <v>119</v>
      </c>
      <c r="C66" s="12"/>
      <c r="D66" s="12"/>
      <c r="E66" s="12"/>
      <c r="F66" s="12"/>
      <c r="G66" s="12"/>
      <c r="H66" s="12"/>
      <c r="I66" s="12"/>
      <c r="J66" s="12"/>
      <c r="K66" s="12"/>
      <c r="L66" s="12">
        <v>1167.8</v>
      </c>
      <c r="M66" s="12"/>
      <c r="N66" s="12">
        <v>944.2</v>
      </c>
      <c r="O66" s="12">
        <v>935.5</v>
      </c>
      <c r="P66" s="12"/>
      <c r="Q66" s="12"/>
      <c r="T66" s="1">
        <v>556.70000000000005</v>
      </c>
    </row>
    <row r="67" spans="2:21" s="1" customFormat="1" x14ac:dyDescent="0.2">
      <c r="B67" s="1" t="s">
        <v>100</v>
      </c>
      <c r="C67" s="12"/>
      <c r="D67" s="12"/>
      <c r="E67" s="12"/>
      <c r="F67" s="12"/>
      <c r="G67" s="12"/>
      <c r="H67" s="12"/>
      <c r="I67" s="12"/>
      <c r="J67" s="12"/>
      <c r="K67" s="12"/>
      <c r="L67" s="12">
        <v>11863.4</v>
      </c>
      <c r="M67" s="12">
        <v>12766.8</v>
      </c>
      <c r="N67" s="12">
        <v>13388.4</v>
      </c>
      <c r="O67" s="12">
        <v>13787</v>
      </c>
      <c r="P67" s="12"/>
      <c r="Q67" s="12"/>
      <c r="T67" s="1">
        <v>15889.1</v>
      </c>
    </row>
    <row r="68" spans="2:21" s="1" customFormat="1" x14ac:dyDescent="0.2">
      <c r="B68" s="1" t="s">
        <v>99</v>
      </c>
      <c r="C68" s="12"/>
      <c r="D68" s="12"/>
      <c r="E68" s="12"/>
      <c r="F68" s="12"/>
      <c r="G68" s="12"/>
      <c r="H68" s="12"/>
      <c r="I68" s="12"/>
      <c r="J68" s="12"/>
      <c r="K68" s="12"/>
      <c r="L68" s="12">
        <f>SUM(L60:L67)</f>
        <v>25081.4</v>
      </c>
      <c r="M68" s="12">
        <f>SUM(M60:M67)</f>
        <v>24854.199999999997</v>
      </c>
      <c r="N68" s="12">
        <f>SUM(N60:N67)</f>
        <v>24554.1</v>
      </c>
      <c r="O68" s="12">
        <f>SUM(O60:O67)</f>
        <v>24598.399999999998</v>
      </c>
      <c r="P68" s="12">
        <f t="shared" ref="P68:T68" si="94">SUM(P60:P67)</f>
        <v>0</v>
      </c>
      <c r="Q68" s="12">
        <f t="shared" si="94"/>
        <v>0</v>
      </c>
      <c r="R68" s="12">
        <f t="shared" si="94"/>
        <v>0</v>
      </c>
      <c r="S68" s="12">
        <f t="shared" si="94"/>
        <v>0</v>
      </c>
      <c r="T68" s="12">
        <f t="shared" si="94"/>
        <v>26804.100000000002</v>
      </c>
      <c r="U68" s="12"/>
    </row>
  </sheetData>
  <hyperlinks>
    <hyperlink ref="A1" location="Main!A1" display="Main" xr:uid="{B820F574-645F-4D74-9059-6520877C6957}"/>
  </hyperlink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4B8F-8814-4227-BE08-2B6255B47A3D}">
  <dimension ref="A1:I34"/>
  <sheetViews>
    <sheetView zoomScale="160" zoomScaleNormal="160" workbookViewId="0">
      <selection activeCell="C19" sqref="C19"/>
    </sheetView>
  </sheetViews>
  <sheetFormatPr defaultRowHeight="12.75" x14ac:dyDescent="0.2"/>
  <cols>
    <col min="1" max="1" width="5" bestFit="1" customWidth="1"/>
    <col min="2" max="2" width="12.28515625" customWidth="1"/>
  </cols>
  <sheetData>
    <row r="1" spans="1:9" x14ac:dyDescent="0.2">
      <c r="A1" s="11" t="s">
        <v>33</v>
      </c>
    </row>
    <row r="2" spans="1:9" x14ac:dyDescent="0.2">
      <c r="B2" t="s">
        <v>6</v>
      </c>
      <c r="C2" t="s">
        <v>142</v>
      </c>
    </row>
    <row r="3" spans="1:9" x14ac:dyDescent="0.2">
      <c r="B3" t="s">
        <v>143</v>
      </c>
      <c r="C3" t="s">
        <v>144</v>
      </c>
    </row>
    <row r="4" spans="1:9" x14ac:dyDescent="0.2">
      <c r="B4" t="s">
        <v>13</v>
      </c>
      <c r="C4" t="s">
        <v>155</v>
      </c>
    </row>
    <row r="5" spans="1:9" x14ac:dyDescent="0.2">
      <c r="B5" t="s">
        <v>11</v>
      </c>
      <c r="C5" t="s">
        <v>145</v>
      </c>
    </row>
    <row r="6" spans="1:9" x14ac:dyDescent="0.2">
      <c r="B6" t="s">
        <v>146</v>
      </c>
    </row>
    <row r="7" spans="1:9" x14ac:dyDescent="0.2">
      <c r="C7" s="27" t="s">
        <v>147</v>
      </c>
    </row>
    <row r="8" spans="1:9" x14ac:dyDescent="0.2">
      <c r="C8" t="s">
        <v>148</v>
      </c>
    </row>
    <row r="9" spans="1:9" x14ac:dyDescent="0.2">
      <c r="C9" t="s">
        <v>149</v>
      </c>
      <c r="G9" s="17">
        <f>0.45/0.27</f>
        <v>1.6666666666666665</v>
      </c>
      <c r="H9" s="17">
        <f>+G9-0.45</f>
        <v>1.2166666666666666</v>
      </c>
      <c r="I9" t="s">
        <v>150</v>
      </c>
    </row>
    <row r="10" spans="1:9" x14ac:dyDescent="0.2">
      <c r="C10" t="s">
        <v>151</v>
      </c>
      <c r="I10" t="s">
        <v>152</v>
      </c>
    </row>
    <row r="11" spans="1:9" x14ac:dyDescent="0.2">
      <c r="C11" s="28" t="s">
        <v>156</v>
      </c>
    </row>
    <row r="12" spans="1:9" x14ac:dyDescent="0.2">
      <c r="C12" s="28"/>
    </row>
    <row r="13" spans="1:9" x14ac:dyDescent="0.2">
      <c r="C13" s="28" t="s">
        <v>157</v>
      </c>
    </row>
    <row r="14" spans="1:9" x14ac:dyDescent="0.2">
      <c r="C14" s="28" t="s">
        <v>158</v>
      </c>
    </row>
    <row r="15" spans="1:9" x14ac:dyDescent="0.2">
      <c r="C15" s="28"/>
    </row>
    <row r="16" spans="1:9" x14ac:dyDescent="0.2">
      <c r="C16" s="27" t="s">
        <v>153</v>
      </c>
    </row>
    <row r="17" spans="3:3" x14ac:dyDescent="0.2">
      <c r="C17" t="s">
        <v>154</v>
      </c>
    </row>
    <row r="18" spans="3:3" x14ac:dyDescent="0.2">
      <c r="C18" t="s">
        <v>171</v>
      </c>
    </row>
    <row r="20" spans="3:3" x14ac:dyDescent="0.2">
      <c r="C20" s="27" t="s">
        <v>160</v>
      </c>
    </row>
    <row r="21" spans="3:3" x14ac:dyDescent="0.2">
      <c r="C21" s="28" t="s">
        <v>159</v>
      </c>
    </row>
    <row r="22" spans="3:3" x14ac:dyDescent="0.2">
      <c r="C22" t="s">
        <v>165</v>
      </c>
    </row>
    <row r="24" spans="3:3" x14ac:dyDescent="0.2">
      <c r="C24" t="s">
        <v>161</v>
      </c>
    </row>
    <row r="25" spans="3:3" x14ac:dyDescent="0.2">
      <c r="C25" t="s">
        <v>167</v>
      </c>
    </row>
    <row r="26" spans="3:3" x14ac:dyDescent="0.2">
      <c r="C26" t="s">
        <v>162</v>
      </c>
    </row>
    <row r="27" spans="3:3" x14ac:dyDescent="0.2">
      <c r="C27" t="s">
        <v>163</v>
      </c>
    </row>
    <row r="28" spans="3:3" x14ac:dyDescent="0.2">
      <c r="C28" t="s">
        <v>164</v>
      </c>
    </row>
    <row r="29" spans="3:3" x14ac:dyDescent="0.2">
      <c r="C29" t="s">
        <v>168</v>
      </c>
    </row>
    <row r="30" spans="3:3" x14ac:dyDescent="0.2">
      <c r="C30" t="s">
        <v>166</v>
      </c>
    </row>
    <row r="33" spans="3:3" x14ac:dyDescent="0.2">
      <c r="C33" s="27" t="s">
        <v>169</v>
      </c>
    </row>
    <row r="34" spans="3:3" x14ac:dyDescent="0.2">
      <c r="C34" s="28" t="s">
        <v>170</v>
      </c>
    </row>
  </sheetData>
  <hyperlinks>
    <hyperlink ref="A1" location="Main!A1" display="Main" xr:uid="{E1E6991D-9889-4EF1-B64F-B9679673158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Leqembi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2022-10-12T00:37:40Z</dcterms:created>
  <dcterms:modified xsi:type="dcterms:W3CDTF">2024-10-06T16:03:16Z</dcterms:modified>
</cp:coreProperties>
</file>