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27B6C42-D674-47C8-BB21-9FA4EE11E64E}" xr6:coauthVersionLast="47" xr6:coauthVersionMax="47" xr10:uidLastSave="{00000000-0000-0000-0000-000000000000}"/>
  <bookViews>
    <workbookView xWindow="-27015" yWindow="750" windowWidth="26490" windowHeight="19650" activeTab="1" xr2:uid="{1A28BDC2-CB33-447E-AED0-8D4C76155960}"/>
  </bookViews>
  <sheets>
    <sheet name="Main" sheetId="1" r:id="rId1"/>
    <sheet name="Model" sheetId="2" r:id="rId2"/>
    <sheet name="valrox" sheetId="4" r:id="rId3"/>
    <sheet name="Matrix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2" l="1"/>
  <c r="Q25" i="2"/>
  <c r="Q20" i="2"/>
  <c r="N25" i="2"/>
  <c r="N20" i="2"/>
  <c r="R29" i="2"/>
  <c r="R25" i="2"/>
  <c r="R20" i="2"/>
  <c r="R18" i="2"/>
  <c r="N18" i="2"/>
  <c r="S53" i="2"/>
  <c r="R53" i="2"/>
  <c r="Q53" i="2"/>
  <c r="P53" i="2"/>
  <c r="O53" i="2"/>
  <c r="N53" i="2"/>
  <c r="S50" i="2"/>
  <c r="S46" i="2"/>
  <c r="R46" i="2"/>
  <c r="Q46" i="2"/>
  <c r="P46" i="2"/>
  <c r="O46" i="2"/>
  <c r="N46" i="2"/>
  <c r="S43" i="2"/>
  <c r="S38" i="2"/>
  <c r="O29" i="2"/>
  <c r="O25" i="2"/>
  <c r="O20" i="2"/>
  <c r="S29" i="2"/>
  <c r="S25" i="2"/>
  <c r="S20" i="2"/>
  <c r="O18" i="2"/>
  <c r="O33" i="2" s="1"/>
  <c r="S18" i="2"/>
  <c r="P29" i="2"/>
  <c r="T28" i="2"/>
  <c r="P28" i="2"/>
  <c r="T26" i="2"/>
  <c r="P26" i="2"/>
  <c r="P25" i="2"/>
  <c r="T23" i="2"/>
  <c r="T24" i="2" s="1"/>
  <c r="T29" i="2" s="1"/>
  <c r="S23" i="2"/>
  <c r="R23" i="2"/>
  <c r="R24" i="2" s="1"/>
  <c r="R26" i="2" s="1"/>
  <c r="R28" i="2" s="1"/>
  <c r="Q23" i="2"/>
  <c r="Q24" i="2" s="1"/>
  <c r="Q26" i="2" s="1"/>
  <c r="Q28" i="2" s="1"/>
  <c r="P23" i="2"/>
  <c r="P24" i="2" s="1"/>
  <c r="O23" i="2"/>
  <c r="O24" i="2" s="1"/>
  <c r="O26" i="2" s="1"/>
  <c r="O28" i="2" s="1"/>
  <c r="P20" i="2"/>
  <c r="T35" i="2"/>
  <c r="S35" i="2"/>
  <c r="R35" i="2"/>
  <c r="Q35" i="2"/>
  <c r="P35" i="2"/>
  <c r="O35" i="2"/>
  <c r="T34" i="2"/>
  <c r="S34" i="2"/>
  <c r="R34" i="2"/>
  <c r="Q34" i="2"/>
  <c r="P34" i="2"/>
  <c r="O34" i="2"/>
  <c r="T33" i="2"/>
  <c r="P33" i="2"/>
  <c r="T32" i="2"/>
  <c r="P32" i="2"/>
  <c r="T25" i="2"/>
  <c r="T20" i="2"/>
  <c r="T18" i="2"/>
  <c r="R33" i="2"/>
  <c r="Q18" i="2"/>
  <c r="Q33" i="2" s="1"/>
  <c r="P18" i="2"/>
  <c r="L6" i="1"/>
  <c r="L5" i="1"/>
  <c r="N35" i="2"/>
  <c r="L35" i="2"/>
  <c r="M35" i="2"/>
  <c r="M25" i="2"/>
  <c r="M53" i="2"/>
  <c r="M43" i="2"/>
  <c r="M38" i="2"/>
  <c r="M37" i="2" s="1"/>
  <c r="F20" i="4"/>
  <c r="F19" i="4"/>
  <c r="F18" i="4"/>
  <c r="F21" i="4"/>
  <c r="D30" i="4"/>
  <c r="H10" i="3"/>
  <c r="H5" i="3"/>
  <c r="H4" i="3" s="1"/>
  <c r="H8" i="3" s="1"/>
  <c r="G5" i="3"/>
  <c r="G4" i="3"/>
  <c r="G9" i="3"/>
  <c r="G8" i="3"/>
  <c r="G10" i="3"/>
  <c r="AI9" i="2"/>
  <c r="AJ9" i="2" s="1"/>
  <c r="AK9" i="2" s="1"/>
  <c r="AL9" i="2" s="1"/>
  <c r="D28" i="4"/>
  <c r="C28" i="4"/>
  <c r="D24" i="4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C25" i="4"/>
  <c r="D25" i="4" s="1"/>
  <c r="E25" i="4" s="1"/>
  <c r="E26" i="4" s="1"/>
  <c r="F10" i="3"/>
  <c r="E10" i="3"/>
  <c r="D10" i="3"/>
  <c r="C10" i="3"/>
  <c r="F9" i="3"/>
  <c r="E9" i="3"/>
  <c r="D9" i="3"/>
  <c r="C9" i="3"/>
  <c r="E8" i="3"/>
  <c r="D8" i="3"/>
  <c r="C8" i="3"/>
  <c r="F4" i="3"/>
  <c r="F8" i="3" s="1"/>
  <c r="E4" i="3"/>
  <c r="D4" i="3"/>
  <c r="F5" i="3"/>
  <c r="E5" i="3"/>
  <c r="D5" i="3"/>
  <c r="AG14" i="2"/>
  <c r="AH14" i="2" s="1"/>
  <c r="AI14" i="2" s="1"/>
  <c r="AJ14" i="2" s="1"/>
  <c r="AK14" i="2" s="1"/>
  <c r="AL14" i="2" s="1"/>
  <c r="AA25" i="2"/>
  <c r="AA23" i="2"/>
  <c r="AA16" i="2"/>
  <c r="AA18" i="2" s="1"/>
  <c r="AA20" i="2" s="1"/>
  <c r="AA33" i="2" s="1"/>
  <c r="AB35" i="2"/>
  <c r="AB25" i="2"/>
  <c r="AB23" i="2"/>
  <c r="AB34" i="2"/>
  <c r="AB16" i="2"/>
  <c r="AB18" i="2" s="1"/>
  <c r="AD8" i="2"/>
  <c r="AE8" i="2" s="1"/>
  <c r="AC27" i="2"/>
  <c r="AC30" i="2"/>
  <c r="AC22" i="2"/>
  <c r="AC21" i="2"/>
  <c r="AC19" i="2"/>
  <c r="AC17" i="2"/>
  <c r="AC15" i="2"/>
  <c r="AC14" i="2"/>
  <c r="AC13" i="2"/>
  <c r="AC12" i="2"/>
  <c r="AC11" i="2"/>
  <c r="AC10" i="2"/>
  <c r="AC8" i="2"/>
  <c r="AD21" i="2"/>
  <c r="AD14" i="2"/>
  <c r="AD10" i="2"/>
  <c r="AE10" i="2" s="1"/>
  <c r="AF10" i="2" s="1"/>
  <c r="AG10" i="2" s="1"/>
  <c r="AH10" i="2" s="1"/>
  <c r="AI10" i="2" s="1"/>
  <c r="AJ10" i="2" s="1"/>
  <c r="AK10" i="2" s="1"/>
  <c r="AL10" i="2" s="1"/>
  <c r="AD30" i="2"/>
  <c r="AE30" i="2" s="1"/>
  <c r="AF30" i="2" s="1"/>
  <c r="AG30" i="2" s="1"/>
  <c r="AH30" i="2" s="1"/>
  <c r="AI30" i="2" s="1"/>
  <c r="AJ30" i="2" s="1"/>
  <c r="AK30" i="2" s="1"/>
  <c r="AL30" i="2" s="1"/>
  <c r="N23" i="2"/>
  <c r="M34" i="2"/>
  <c r="K34" i="2"/>
  <c r="J34" i="2"/>
  <c r="I34" i="2"/>
  <c r="L34" i="2"/>
  <c r="M16" i="2"/>
  <c r="L16" i="2"/>
  <c r="L18" i="2" s="1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E25" i="2"/>
  <c r="E23" i="2"/>
  <c r="I25" i="2"/>
  <c r="I23" i="2"/>
  <c r="E16" i="2"/>
  <c r="E18" i="2" s="1"/>
  <c r="I16" i="2"/>
  <c r="I18" i="2" s="1"/>
  <c r="I20" i="2" s="1"/>
  <c r="I33" i="2" s="1"/>
  <c r="F25" i="2"/>
  <c r="F23" i="2"/>
  <c r="J25" i="2"/>
  <c r="J23" i="2"/>
  <c r="F16" i="2"/>
  <c r="F18" i="2" s="1"/>
  <c r="F20" i="2" s="1"/>
  <c r="J16" i="2"/>
  <c r="J18" i="2" s="1"/>
  <c r="J20" i="2" s="1"/>
  <c r="J24" i="2" s="1"/>
  <c r="G25" i="2"/>
  <c r="G23" i="2"/>
  <c r="K25" i="2"/>
  <c r="K23" i="2"/>
  <c r="K16" i="2"/>
  <c r="K18" i="2" s="1"/>
  <c r="K20" i="2" s="1"/>
  <c r="K33" i="2" s="1"/>
  <c r="G16" i="2"/>
  <c r="G18" i="2" s="1"/>
  <c r="G20" i="2" s="1"/>
  <c r="H16" i="2"/>
  <c r="H18" i="2" s="1"/>
  <c r="H20" i="2" s="1"/>
  <c r="H25" i="2"/>
  <c r="L23" i="2"/>
  <c r="L25" i="2"/>
  <c r="H23" i="2"/>
  <c r="L4" i="1"/>
  <c r="S24" i="2" l="1"/>
  <c r="S26" i="2" s="1"/>
  <c r="S28" i="2" s="1"/>
  <c r="S33" i="2"/>
  <c r="O32" i="2"/>
  <c r="S32" i="2"/>
  <c r="N34" i="2"/>
  <c r="L37" i="2"/>
  <c r="AD25" i="2"/>
  <c r="AC23" i="2"/>
  <c r="AC34" i="2"/>
  <c r="M18" i="2"/>
  <c r="Q32" i="2" s="1"/>
  <c r="M46" i="2"/>
  <c r="L7" i="1"/>
  <c r="E28" i="4"/>
  <c r="H9" i="3"/>
  <c r="AB32" i="2"/>
  <c r="AB20" i="2"/>
  <c r="AB33" i="2" s="1"/>
  <c r="AE35" i="2"/>
  <c r="AF8" i="2"/>
  <c r="AD22" i="2"/>
  <c r="M23" i="2"/>
  <c r="AD35" i="2"/>
  <c r="AD17" i="2"/>
  <c r="AE17" i="2" s="1"/>
  <c r="AF17" i="2" s="1"/>
  <c r="AG17" i="2" s="1"/>
  <c r="AH17" i="2" s="1"/>
  <c r="AC35" i="2"/>
  <c r="AC16" i="2"/>
  <c r="AC18" i="2" s="1"/>
  <c r="AC20" i="2" s="1"/>
  <c r="AD12" i="2"/>
  <c r="AE12" i="2" s="1"/>
  <c r="AF12" i="2" s="1"/>
  <c r="AG12" i="2" s="1"/>
  <c r="AH12" i="2" s="1"/>
  <c r="AC25" i="2"/>
  <c r="AD13" i="2"/>
  <c r="AE13" i="2" s="1"/>
  <c r="AF13" i="2" s="1"/>
  <c r="AG13" i="2" s="1"/>
  <c r="AH13" i="2" s="1"/>
  <c r="AI13" i="2" s="1"/>
  <c r="AJ13" i="2" s="1"/>
  <c r="AK13" i="2" s="1"/>
  <c r="AL13" i="2" s="1"/>
  <c r="AD15" i="2"/>
  <c r="AE15" i="2" s="1"/>
  <c r="AF15" i="2" s="1"/>
  <c r="AG15" i="2" s="1"/>
  <c r="AH15" i="2" s="1"/>
  <c r="AI15" i="2" s="1"/>
  <c r="AJ15" i="2" s="1"/>
  <c r="AK15" i="2" s="1"/>
  <c r="AL15" i="2" s="1"/>
  <c r="AA24" i="2"/>
  <c r="AA26" i="2" s="1"/>
  <c r="AA28" i="2" s="1"/>
  <c r="AA29" i="2" s="1"/>
  <c r="G24" i="2"/>
  <c r="G26" i="2" s="1"/>
  <c r="G28" i="2" s="1"/>
  <c r="G29" i="2" s="1"/>
  <c r="G33" i="2"/>
  <c r="I32" i="2"/>
  <c r="E20" i="2"/>
  <c r="E33" i="2" s="1"/>
  <c r="J32" i="2"/>
  <c r="J33" i="2"/>
  <c r="I24" i="2"/>
  <c r="I26" i="2" s="1"/>
  <c r="I28" i="2" s="1"/>
  <c r="I29" i="2" s="1"/>
  <c r="F33" i="2"/>
  <c r="F24" i="2"/>
  <c r="F26" i="2" s="1"/>
  <c r="F28" i="2" s="1"/>
  <c r="F29" i="2" s="1"/>
  <c r="J26" i="2"/>
  <c r="J28" i="2" s="1"/>
  <c r="J29" i="2" s="1"/>
  <c r="K32" i="2"/>
  <c r="K24" i="2"/>
  <c r="K26" i="2" s="1"/>
  <c r="K28" i="2" s="1"/>
  <c r="K29" i="2" s="1"/>
  <c r="L32" i="2"/>
  <c r="H33" i="2"/>
  <c r="H24" i="2"/>
  <c r="H26" i="2" s="1"/>
  <c r="H28" i="2" s="1"/>
  <c r="H29" i="2" s="1"/>
  <c r="L20" i="2"/>
  <c r="M32" i="2" l="1"/>
  <c r="M20" i="2"/>
  <c r="M33" i="2"/>
  <c r="AB24" i="2"/>
  <c r="AB26" i="2" s="1"/>
  <c r="AB28" i="2" s="1"/>
  <c r="AB29" i="2" s="1"/>
  <c r="F25" i="4"/>
  <c r="E30" i="4"/>
  <c r="AC24" i="2"/>
  <c r="AC26" i="2" s="1"/>
  <c r="AC28" i="2" s="1"/>
  <c r="AC29" i="2" s="1"/>
  <c r="AC33" i="2"/>
  <c r="AD11" i="2"/>
  <c r="AC32" i="2"/>
  <c r="M24" i="2"/>
  <c r="M26" i="2" s="1"/>
  <c r="AD34" i="2"/>
  <c r="AE22" i="2"/>
  <c r="AD23" i="2"/>
  <c r="AF35" i="2"/>
  <c r="AG8" i="2"/>
  <c r="E24" i="2"/>
  <c r="E26" i="2" s="1"/>
  <c r="E28" i="2" s="1"/>
  <c r="E29" i="2" s="1"/>
  <c r="AI12" i="2"/>
  <c r="AI17" i="2"/>
  <c r="L33" i="2"/>
  <c r="L24" i="2"/>
  <c r="L26" i="2" s="1"/>
  <c r="L28" i="2" s="1"/>
  <c r="L29" i="2" s="1"/>
  <c r="R32" i="2" l="1"/>
  <c r="N32" i="2"/>
  <c r="F26" i="4"/>
  <c r="G25" i="4" s="1"/>
  <c r="G26" i="4" s="1"/>
  <c r="G28" i="4" s="1"/>
  <c r="AG35" i="2"/>
  <c r="AH8" i="2"/>
  <c r="AE23" i="2"/>
  <c r="AE34" i="2"/>
  <c r="AF22" i="2"/>
  <c r="AE11" i="2"/>
  <c r="AD16" i="2"/>
  <c r="AD18" i="2" s="1"/>
  <c r="N33" i="2"/>
  <c r="N24" i="2"/>
  <c r="N26" i="2" s="1"/>
  <c r="AD19" i="2"/>
  <c r="AJ12" i="2"/>
  <c r="AJ17" i="2"/>
  <c r="F28" i="4" l="1"/>
  <c r="F30" i="4"/>
  <c r="G30" i="4"/>
  <c r="H25" i="4"/>
  <c r="H26" i="4" s="1"/>
  <c r="N28" i="2"/>
  <c r="N29" i="2" s="1"/>
  <c r="AD20" i="2"/>
  <c r="AD32" i="2"/>
  <c r="AF11" i="2"/>
  <c r="AE16" i="2"/>
  <c r="AE18" i="2" s="1"/>
  <c r="M28" i="2"/>
  <c r="AF34" i="2"/>
  <c r="AF23" i="2"/>
  <c r="AG22" i="2"/>
  <c r="AI8" i="2"/>
  <c r="AH35" i="2"/>
  <c r="AK12" i="2"/>
  <c r="AK17" i="2"/>
  <c r="AD27" i="2" l="1"/>
  <c r="H28" i="4"/>
  <c r="AJ8" i="2"/>
  <c r="AI35" i="2"/>
  <c r="AG34" i="2"/>
  <c r="AH22" i="2"/>
  <c r="AG23" i="2"/>
  <c r="M29" i="2"/>
  <c r="AD37" i="2"/>
  <c r="AE32" i="2"/>
  <c r="AE19" i="2"/>
  <c r="AE20" i="2" s="1"/>
  <c r="AG11" i="2"/>
  <c r="AF16" i="2"/>
  <c r="AF18" i="2" s="1"/>
  <c r="AD33" i="2"/>
  <c r="AD24" i="2"/>
  <c r="AD26" i="2" s="1"/>
  <c r="AD28" i="2" s="1"/>
  <c r="AD29" i="2" s="1"/>
  <c r="AL12" i="2"/>
  <c r="AL17" i="2"/>
  <c r="H30" i="4" l="1"/>
  <c r="I25" i="4"/>
  <c r="I26" i="4" s="1"/>
  <c r="AE33" i="2"/>
  <c r="AE24" i="2"/>
  <c r="AF32" i="2"/>
  <c r="AF19" i="2"/>
  <c r="AF20" i="2" s="1"/>
  <c r="AH11" i="2"/>
  <c r="AG16" i="2"/>
  <c r="AG18" i="2" s="1"/>
  <c r="AE25" i="2"/>
  <c r="AH34" i="2"/>
  <c r="AI22" i="2"/>
  <c r="AH23" i="2"/>
  <c r="AK8" i="2"/>
  <c r="AJ35" i="2"/>
  <c r="I28" i="4" l="1"/>
  <c r="AF33" i="2"/>
  <c r="AF24" i="2"/>
  <c r="AL8" i="2"/>
  <c r="AK35" i="2"/>
  <c r="AI34" i="2"/>
  <c r="AJ22" i="2"/>
  <c r="AI23" i="2"/>
  <c r="AG32" i="2"/>
  <c r="AG19" i="2"/>
  <c r="AG20" i="2" s="1"/>
  <c r="AI11" i="2"/>
  <c r="AH16" i="2"/>
  <c r="AH18" i="2" s="1"/>
  <c r="AE26" i="2"/>
  <c r="AE27" i="2" s="1"/>
  <c r="AE28" i="2" s="1"/>
  <c r="I30" i="4" l="1"/>
  <c r="J25" i="4"/>
  <c r="J26" i="4" s="1"/>
  <c r="AG33" i="2"/>
  <c r="AG24" i="2"/>
  <c r="AE29" i="2"/>
  <c r="AE37" i="2"/>
  <c r="AH32" i="2"/>
  <c r="AH19" i="2"/>
  <c r="AH20" i="2" s="1"/>
  <c r="AJ11" i="2"/>
  <c r="AI16" i="2"/>
  <c r="AI18" i="2" s="1"/>
  <c r="AK22" i="2"/>
  <c r="AJ34" i="2"/>
  <c r="AJ23" i="2"/>
  <c r="AL35" i="2"/>
  <c r="J28" i="4" l="1"/>
  <c r="AH33" i="2"/>
  <c r="AH24" i="2"/>
  <c r="AL22" i="2"/>
  <c r="AK23" i="2"/>
  <c r="AK34" i="2"/>
  <c r="AI32" i="2"/>
  <c r="AI19" i="2"/>
  <c r="AI20" i="2" s="1"/>
  <c r="AK11" i="2"/>
  <c r="AJ16" i="2"/>
  <c r="AJ18" i="2" s="1"/>
  <c r="AF25" i="2"/>
  <c r="AF26" i="2" s="1"/>
  <c r="AF27" i="2" s="1"/>
  <c r="AF28" i="2" s="1"/>
  <c r="AF29" i="2" s="1"/>
  <c r="J30" i="4" l="1"/>
  <c r="K25" i="4"/>
  <c r="K26" i="4" s="1"/>
  <c r="AF37" i="2"/>
  <c r="AG25" i="2" s="1"/>
  <c r="AG26" i="2" s="1"/>
  <c r="AI33" i="2"/>
  <c r="AI24" i="2"/>
  <c r="AJ19" i="2"/>
  <c r="AJ20" i="2" s="1"/>
  <c r="AJ32" i="2"/>
  <c r="AL11" i="2"/>
  <c r="AK16" i="2"/>
  <c r="AK18" i="2" s="1"/>
  <c r="AL23" i="2"/>
  <c r="AL34" i="2"/>
  <c r="AL16" i="2" l="1"/>
  <c r="AL18" i="2" s="1"/>
  <c r="K28" i="4"/>
  <c r="AJ33" i="2"/>
  <c r="AJ24" i="2"/>
  <c r="AK19" i="2"/>
  <c r="AK20" i="2" s="1"/>
  <c r="AK32" i="2"/>
  <c r="AG27" i="2"/>
  <c r="AG28" i="2" s="1"/>
  <c r="AL32" i="2" l="1"/>
  <c r="AL19" i="2"/>
  <c r="AL20" i="2" s="1"/>
  <c r="K30" i="4"/>
  <c r="L25" i="4"/>
  <c r="L26" i="4" s="1"/>
  <c r="AL33" i="2"/>
  <c r="AL24" i="2"/>
  <c r="AK33" i="2"/>
  <c r="AK24" i="2"/>
  <c r="AG29" i="2"/>
  <c r="AG37" i="2"/>
  <c r="L28" i="4" l="1"/>
  <c r="AH25" i="2"/>
  <c r="AH26" i="2" s="1"/>
  <c r="AH27" i="2" s="1"/>
  <c r="AH28" i="2" s="1"/>
  <c r="AH29" i="2" s="1"/>
  <c r="L30" i="4" l="1"/>
  <c r="M25" i="4"/>
  <c r="M26" i="4" s="1"/>
  <c r="AH37" i="2"/>
  <c r="AI25" i="2" s="1"/>
  <c r="AI26" i="2" s="1"/>
  <c r="AI27" i="2" s="1"/>
  <c r="AI28" i="2" s="1"/>
  <c r="M28" i="4" l="1"/>
  <c r="AI29" i="2"/>
  <c r="AI37" i="2"/>
  <c r="AJ25" i="2" s="1"/>
  <c r="AJ26" i="2" s="1"/>
  <c r="AJ27" i="2" s="1"/>
  <c r="AJ28" i="2" s="1"/>
  <c r="AJ29" i="2" s="1"/>
  <c r="N25" i="4" l="1"/>
  <c r="AJ37" i="2"/>
  <c r="AK25" i="2"/>
  <c r="AK26" i="2" s="1"/>
  <c r="N26" i="4" l="1"/>
  <c r="N28" i="4" s="1"/>
  <c r="AK27" i="2"/>
  <c r="AK28" i="2"/>
  <c r="AK29" i="2" l="1"/>
  <c r="AK37" i="2"/>
  <c r="AL25" i="2" l="1"/>
  <c r="AL26" i="2" s="1"/>
  <c r="AL27" i="2" l="1"/>
  <c r="AL28" i="2" s="1"/>
  <c r="AL29" i="2" l="1"/>
  <c r="AM28" i="2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AO36" i="2" s="1"/>
  <c r="AO37" i="2" s="1"/>
  <c r="AL37" i="2"/>
  <c r="AO38" i="2" l="1"/>
</calcChain>
</file>

<file path=xl/sharedStrings.xml><?xml version="1.0" encoding="utf-8"?>
<sst xmlns="http://schemas.openxmlformats.org/spreadsheetml/2006/main" count="180" uniqueCount="158">
  <si>
    <t>Price</t>
  </si>
  <si>
    <t>Shares</t>
  </si>
  <si>
    <t>MC</t>
  </si>
  <si>
    <t>Cash</t>
  </si>
  <si>
    <t>Debt</t>
  </si>
  <si>
    <t>EV</t>
  </si>
  <si>
    <t>Q222</t>
  </si>
  <si>
    <t>Name</t>
  </si>
  <si>
    <t>Voxzogo (vosoritide)</t>
  </si>
  <si>
    <t>Palynziq (pegvaliase)</t>
  </si>
  <si>
    <t>Brineura (cerliponase)</t>
  </si>
  <si>
    <t>Vimizim (elosulfase)</t>
  </si>
  <si>
    <t>Kuvan (sapropterin)</t>
  </si>
  <si>
    <t>Naglazyme (galsulfase)</t>
  </si>
  <si>
    <t>Aldurazyme (laronidase)</t>
  </si>
  <si>
    <t>Indication</t>
  </si>
  <si>
    <t>Achondroplasia</t>
  </si>
  <si>
    <t>PKU</t>
  </si>
  <si>
    <t>Batten</t>
  </si>
  <si>
    <t>MPS IVA</t>
  </si>
  <si>
    <t>MPS VI</t>
  </si>
  <si>
    <t>MPS I</t>
  </si>
  <si>
    <t>Approved</t>
  </si>
  <si>
    <t>Economics</t>
  </si>
  <si>
    <t>SNY</t>
  </si>
  <si>
    <t>MRK GY</t>
  </si>
  <si>
    <t>Admin</t>
  </si>
  <si>
    <t>IP</t>
  </si>
  <si>
    <t>Oral</t>
  </si>
  <si>
    <t>valoctogene roxaparvovec</t>
  </si>
  <si>
    <t>Phase</t>
  </si>
  <si>
    <t>Hemophilia A</t>
  </si>
  <si>
    <t>IV</t>
  </si>
  <si>
    <t>MOA</t>
  </si>
  <si>
    <t>ERT</t>
  </si>
  <si>
    <t>AAV F8</t>
  </si>
  <si>
    <t>BMN 331</t>
  </si>
  <si>
    <t>I</t>
  </si>
  <si>
    <t>HAE</t>
  </si>
  <si>
    <t>BMN 307</t>
  </si>
  <si>
    <t>PC</t>
  </si>
  <si>
    <t>BMN 255</t>
  </si>
  <si>
    <t>Hyperoxaluria</t>
  </si>
  <si>
    <t>BMN 349</t>
  </si>
  <si>
    <t>A1AT</t>
  </si>
  <si>
    <t>BMN 351</t>
  </si>
  <si>
    <t>DMD</t>
  </si>
  <si>
    <t>BMN 293/DINA-001</t>
  </si>
  <si>
    <t>HCM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</si>
  <si>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</si>
  <si>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</si>
  <si>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</si>
  <si>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</si>
  <si>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</si>
  <si>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</si>
  <si>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</si>
  <si>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</si>
  <si>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</si>
  <si>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</si>
  <si>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</si>
  <si>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</si>
  <si>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</si>
  <si>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Royalty</t>
  </si>
  <si>
    <t>Products</t>
  </si>
  <si>
    <t>COGS</t>
  </si>
  <si>
    <t>Gross Profit</t>
  </si>
  <si>
    <t>Operating Income</t>
  </si>
  <si>
    <t>Operating Expenses</t>
  </si>
  <si>
    <t>R&amp;D</t>
  </si>
  <si>
    <t>SG&amp;A</t>
  </si>
  <si>
    <t>EPS</t>
  </si>
  <si>
    <t>Net Profit</t>
  </si>
  <si>
    <t>Interest Expense</t>
  </si>
  <si>
    <t>Pretax Income</t>
  </si>
  <si>
    <t>Taxes</t>
  </si>
  <si>
    <t>Revenue y/y</t>
  </si>
  <si>
    <t>Gross Margin</t>
  </si>
  <si>
    <t>Vimizim</t>
  </si>
  <si>
    <t>Naglazyme</t>
  </si>
  <si>
    <t>Palynziq</t>
  </si>
  <si>
    <t>Kuvan</t>
  </si>
  <si>
    <t>Brineura</t>
  </si>
  <si>
    <t>Voxzogo</t>
  </si>
  <si>
    <t>Aldurazyme</t>
  </si>
  <si>
    <t>US</t>
  </si>
  <si>
    <t>EU</t>
  </si>
  <si>
    <t>ROW</t>
  </si>
  <si>
    <t>LatAm</t>
  </si>
  <si>
    <t>SG&amp;A y/y</t>
  </si>
  <si>
    <t>Vimizim y/y</t>
  </si>
  <si>
    <t>Discount</t>
  </si>
  <si>
    <t>Maturity</t>
  </si>
  <si>
    <t>NPV</t>
  </si>
  <si>
    <t>Share</t>
  </si>
  <si>
    <t>THREE KEY QUESTIONS</t>
  </si>
  <si>
    <t>1. How big can Voxzogo get? $400m? $600m? $800m?</t>
  </si>
  <si>
    <t>2. What will valrox do? Zero? $500m? $1B+?</t>
  </si>
  <si>
    <t>3. What is the base business growth, if any?</t>
  </si>
  <si>
    <t>4. Is the rest of the pipeline worth anything?</t>
  </si>
  <si>
    <t>Net Cash</t>
  </si>
  <si>
    <t>ROIC</t>
  </si>
  <si>
    <t>Val/Vox</t>
  </si>
  <si>
    <t>ValRox</t>
  </si>
  <si>
    <t>Delta</t>
  </si>
  <si>
    <t>Brand</t>
  </si>
  <si>
    <t>Generic</t>
  </si>
  <si>
    <t>Clinical Trials</t>
  </si>
  <si>
    <t>Regulatory</t>
  </si>
  <si>
    <t>BLA accepted 10/12/2022, PDUFA 3/31/2023</t>
  </si>
  <si>
    <t>No participants have developed inhibitors to Factor VIII, thromboembolic events or malignancy associated with valoctocogene roxaparvovec.</t>
  </si>
  <si>
    <t>ValRox Treated</t>
  </si>
  <si>
    <t>US Patient Pool</t>
  </si>
  <si>
    <t>AAV5 Factor VIII gene therapy</t>
  </si>
  <si>
    <t>Hemophilia A. 1:10,000 people have hemophilia A</t>
  </si>
  <si>
    <t>Roctavian (valoctogene roxaparvovec)</t>
  </si>
  <si>
    <t>CCO: Jeff Ajer</t>
  </si>
  <si>
    <t>EU approved 8/24/22, sales start in Q422</t>
  </si>
  <si>
    <t>20,000 in 70 countries in Europe, 8,000 in "footprint", 3,200 "indicated"</t>
  </si>
  <si>
    <t>Cumulative</t>
  </si>
  <si>
    <t>Manufacturing</t>
  </si>
  <si>
    <t>Baculovirus</t>
  </si>
  <si>
    <t>Phase III "GENEr8-1" n=134 Hemophilia A</t>
  </si>
  <si>
    <t>PE at 104 weeks F8 activity</t>
  </si>
  <si>
    <t>6 months</t>
  </si>
  <si>
    <t>12 months</t>
  </si>
  <si>
    <t>18 months</t>
  </si>
  <si>
    <t>24 months</t>
  </si>
  <si>
    <t>36 months</t>
  </si>
  <si>
    <t>CSA</t>
  </si>
  <si>
    <t>OSA</t>
  </si>
  <si>
    <t>&lt;=5 IU/dL</t>
  </si>
  <si>
    <t>6E13 - 74% of patients had 0 bleeds at 2 years</t>
  </si>
  <si>
    <t>Competition</t>
  </si>
  <si>
    <t xml:space="preserve">  2a. Who else is pursuing hemophilia</t>
  </si>
  <si>
    <t>Belief Biomed BBM 002, DTX201/BAY2599023, ASC Therapeutics ASC 618, SPK-8011 (Roche), PF-07055480, Expression Therapeutics, LLC, SPK-8016 (Roche), Freeline Therapeutics, CSL AMT-061</t>
  </si>
  <si>
    <t>L+SE</t>
  </si>
  <si>
    <t>SE</t>
  </si>
  <si>
    <t>AR</t>
  </si>
  <si>
    <t>Inventory</t>
  </si>
  <si>
    <t>OCA</t>
  </si>
  <si>
    <t>PP&amp;E</t>
  </si>
  <si>
    <t>Goodwill</t>
  </si>
  <si>
    <t>DT</t>
  </si>
  <si>
    <t>Other</t>
  </si>
  <si>
    <t>Assets</t>
  </si>
  <si>
    <t>AP</t>
  </si>
  <si>
    <t>CoCo</t>
  </si>
  <si>
    <t>OLTL</t>
  </si>
  <si>
    <t>Q123</t>
  </si>
  <si>
    <t>Q223</t>
  </si>
  <si>
    <t>Q323</t>
  </si>
  <si>
    <t>Q423</t>
  </si>
  <si>
    <t>3/31/23 PDUFA</t>
  </si>
  <si>
    <t>Q224</t>
  </si>
  <si>
    <t>Q124</t>
  </si>
  <si>
    <t>Q324</t>
  </si>
  <si>
    <t>Q424</t>
  </si>
  <si>
    <t>CFFO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</si>
</sst>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7" xfId="0" applyBorder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0" fontId="3" fillId="0" borderId="0" xfId="0" applyFont="1"/>
    <xf numFmtId="4" fontId="0" fillId="0" borderId="4" xfId="0" applyNumberFormat="1" applyBorder="1"/>
    <xf numFmtId="4" fontId="0" fillId="0" borderId="6" xfId="0" applyNumberFormat="1" applyBorder="1"/>
    <xf numFmtId="4" fontId="0" fillId="0" borderId="10" xfId="0" applyNumberFormat="1" applyBorder="1"/>
    <xf numFmtId="4" fontId="0" fillId="2" borderId="9" xfId="0" applyNumberFormat="1" applyFill="1" applyBorder="1"/>
    <xf numFmtId="9" fontId="1" fillId="2" borderId="0" xfId="0" applyNumberFormat="1" applyFont="1" applyFill="1"/>
    <xf numFmtId="9" fontId="0" fillId="3" borderId="0" xfId="0" applyNumberFormat="1" applyFill="1"/>
    <xf numFmtId="9" fontId="0" fillId="4" borderId="0" xfId="0" applyNumberFormat="1" applyFill="1"/>
    <xf numFmtId="4" fontId="1" fillId="4" borderId="0" xfId="0" applyNumberFormat="1" applyFont="1" applyFill="1"/>
    <xf numFmtId="4" fontId="0" fillId="4" borderId="10" xfId="0" applyNumberFormat="1" applyFill="1" applyBorder="1"/>
    <xf numFmtId="4" fontId="0" fillId="4" borderId="0" xfId="0" applyNumberFormat="1" applyFill="1"/>
    <xf numFmtId="4" fontId="0" fillId="4" borderId="8" xfId="0" applyNumberFormat="1" applyFill="1" applyBorder="1"/>
    <xf numFmtId="9" fontId="1" fillId="3" borderId="0" xfId="0" applyNumberFormat="1" applyFont="1" applyFill="1"/>
    <xf numFmtId="4" fontId="1" fillId="0" borderId="10" xfId="0" applyNumberFormat="1" applyFont="1" applyBorder="1"/>
    <xf numFmtId="4" fontId="1" fillId="0" borderId="0" xfId="0" applyNumberFormat="1" applyFont="1"/>
    <xf numFmtId="4" fontId="1" fillId="0" borderId="7" xfId="0" applyNumberFormat="1" applyFont="1" applyBorder="1"/>
    <xf numFmtId="0" fontId="2" fillId="0" borderId="4" xfId="1" applyBorder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440AA1A-2E44-4A6B-A9B5-22F4070392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21556</xdr:colOff>
      <xdr:row>0</xdr:row>
      <xdr:rowOff>0</xdr:rowOff>
    </xdr:from>
    <xdr:to>
      <xdr:col>20</xdr:col>
      <xdr:colOff>21556</xdr:colOff>
      <xdr:row>56</xdr:row>
      <xdr:rowOff>21168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0948877-654B-BFB3-1647-625114A49D41}"/>
            </a:ext>
          </a:extLst>
        </xdr:cNvPr>
        <xdr:cNvCxnSpPr/>
      </xdr:nvCxnSpPr>
      <xdr:spPr>
        <a:xfrm>
          <a:off x="12493353" y="0"/>
          <a:ext cx="0" cy="90222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31421</xdr:colOff>
      <xdr:row>0</xdr:row>
      <xdr:rowOff>0</xdr:rowOff>
    </xdr:from>
    <xdr:to>
      <xdr:col>29</xdr:col>
      <xdr:colOff>31421</xdr:colOff>
      <xdr:row>45</xdr:row>
      <xdr:rowOff>71437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B76C57-8012-4D5F-8D3D-257B1CBEBF90}"/>
            </a:ext>
          </a:extLst>
        </xdr:cNvPr>
        <xdr:cNvCxnSpPr/>
      </xdr:nvCxnSpPr>
      <xdr:spPr>
        <a:xfrm>
          <a:off x="12503218" y="0"/>
          <a:ext cx="0" cy="7143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D52D-8D10-4D01-9D30-7F79A6792282}">
  <dimension ref="B2:M26"/>
  <sheetViews>
    <sheetView zoomScale="145" zoomScaleNormal="145" workbookViewId="0">
      <selection activeCell="M6" sqref="M6"/>
    </sheetView>
  </sheetViews>
  <sheetFormatPr defaultRowHeight="12.75" x14ac:dyDescent="0.2"/>
  <cols>
    <col min="1" max="1" width="2.7109375" customWidth="1"/>
    <col min="2" max="2" width="35.42578125" customWidth="1"/>
    <col min="3" max="3" width="13.5703125" customWidth="1"/>
    <col min="4" max="4" width="16.28515625" customWidth="1"/>
    <col min="5" max="6" width="12.5703125" customWidth="1"/>
    <col min="9" max="10" width="4.85546875" customWidth="1"/>
    <col min="13" max="13" width="8.42578125" customWidth="1"/>
  </cols>
  <sheetData>
    <row r="2" spans="2:13" x14ac:dyDescent="0.2">
      <c r="B2" s="5" t="s">
        <v>7</v>
      </c>
      <c r="C2" s="6" t="s">
        <v>15</v>
      </c>
      <c r="D2" s="13" t="s">
        <v>22</v>
      </c>
      <c r="E2" s="13" t="s">
        <v>23</v>
      </c>
      <c r="F2" s="13" t="s">
        <v>33</v>
      </c>
      <c r="G2" s="13" t="s">
        <v>26</v>
      </c>
      <c r="H2" s="17" t="s">
        <v>27</v>
      </c>
      <c r="K2" t="s">
        <v>0</v>
      </c>
      <c r="L2" s="1">
        <v>91.21</v>
      </c>
      <c r="M2" s="30"/>
    </row>
    <row r="3" spans="2:13" x14ac:dyDescent="0.2">
      <c r="B3" s="8" t="s">
        <v>8</v>
      </c>
      <c r="C3" t="s">
        <v>16</v>
      </c>
      <c r="D3" s="14">
        <v>44519</v>
      </c>
      <c r="E3" s="16">
        <v>1</v>
      </c>
      <c r="F3" s="16"/>
      <c r="G3" s="3"/>
      <c r="H3" s="18"/>
      <c r="K3" t="s">
        <v>1</v>
      </c>
      <c r="L3" s="2">
        <v>190.382822</v>
      </c>
      <c r="M3" s="3" t="s">
        <v>153</v>
      </c>
    </row>
    <row r="4" spans="2:13" x14ac:dyDescent="0.2">
      <c r="B4" s="8" t="s">
        <v>9</v>
      </c>
      <c r="C4" t="s">
        <v>17</v>
      </c>
      <c r="D4" s="14">
        <v>43244</v>
      </c>
      <c r="E4" s="16">
        <v>1</v>
      </c>
      <c r="F4" s="16"/>
      <c r="G4" s="3"/>
      <c r="H4" s="18"/>
      <c r="K4" t="s">
        <v>2</v>
      </c>
      <c r="L4" s="2">
        <f>+L2*L3</f>
        <v>17364.817194619998</v>
      </c>
    </row>
    <row r="5" spans="2:13" x14ac:dyDescent="0.2">
      <c r="B5" s="8" t="s">
        <v>10</v>
      </c>
      <c r="C5" t="s">
        <v>18</v>
      </c>
      <c r="D5" s="14">
        <v>42852</v>
      </c>
      <c r="E5" s="16">
        <v>1</v>
      </c>
      <c r="F5" s="16"/>
      <c r="G5" s="3"/>
      <c r="H5" s="18"/>
      <c r="K5" t="s">
        <v>3</v>
      </c>
      <c r="L5" s="2">
        <f>972.15+252.201+557.083</f>
        <v>1781.4339999999997</v>
      </c>
      <c r="M5" s="3" t="s">
        <v>153</v>
      </c>
    </row>
    <row r="6" spans="2:13" x14ac:dyDescent="0.2">
      <c r="B6" s="8" t="s">
        <v>11</v>
      </c>
      <c r="C6" t="s">
        <v>19</v>
      </c>
      <c r="D6" s="14">
        <v>41684</v>
      </c>
      <c r="E6" s="16">
        <v>1</v>
      </c>
      <c r="F6" s="16" t="s">
        <v>34</v>
      </c>
      <c r="G6" s="3"/>
      <c r="H6" s="18"/>
      <c r="K6" t="s">
        <v>4</v>
      </c>
      <c r="L6" s="2">
        <f>494.837+594.116</f>
        <v>1088.953</v>
      </c>
      <c r="M6" s="3" t="s">
        <v>153</v>
      </c>
    </row>
    <row r="7" spans="2:13" x14ac:dyDescent="0.2">
      <c r="B7" s="8" t="s">
        <v>12</v>
      </c>
      <c r="C7" t="s">
        <v>17</v>
      </c>
      <c r="D7" s="14">
        <v>39429</v>
      </c>
      <c r="E7" s="3" t="s">
        <v>25</v>
      </c>
      <c r="F7" s="3"/>
      <c r="G7" s="3" t="s">
        <v>28</v>
      </c>
      <c r="H7" s="18"/>
      <c r="K7" t="s">
        <v>5</v>
      </c>
      <c r="L7" s="2">
        <f>+L4-L5+L6</f>
        <v>16672.336194619998</v>
      </c>
    </row>
    <row r="8" spans="2:13" x14ac:dyDescent="0.2">
      <c r="B8" s="8" t="s">
        <v>13</v>
      </c>
      <c r="C8" t="s">
        <v>20</v>
      </c>
      <c r="D8" s="14">
        <v>38503</v>
      </c>
      <c r="E8" s="16">
        <v>1</v>
      </c>
      <c r="F8" s="16" t="s">
        <v>34</v>
      </c>
      <c r="G8" s="3"/>
      <c r="H8" s="18"/>
    </row>
    <row r="9" spans="2:13" x14ac:dyDescent="0.2">
      <c r="B9" s="8" t="s">
        <v>14</v>
      </c>
      <c r="C9" t="s">
        <v>21</v>
      </c>
      <c r="D9" s="14">
        <v>37741</v>
      </c>
      <c r="E9" s="3" t="s">
        <v>24</v>
      </c>
      <c r="F9" s="3" t="s">
        <v>34</v>
      </c>
      <c r="G9" s="3"/>
      <c r="H9" s="18"/>
    </row>
    <row r="10" spans="2:13" x14ac:dyDescent="0.2">
      <c r="B10" s="10"/>
      <c r="C10" s="11"/>
      <c r="D10" s="15"/>
      <c r="E10" s="11"/>
      <c r="F10" s="15"/>
      <c r="G10" s="11"/>
      <c r="H10" s="12"/>
      <c r="K10" t="s">
        <v>115</v>
      </c>
    </row>
    <row r="11" spans="2:13" x14ac:dyDescent="0.2">
      <c r="B11" s="5"/>
      <c r="C11" s="6"/>
      <c r="D11" s="19" t="s">
        <v>30</v>
      </c>
      <c r="E11" s="6"/>
      <c r="F11" s="13"/>
      <c r="G11" s="13"/>
      <c r="H11" s="7"/>
    </row>
    <row r="12" spans="2:13" x14ac:dyDescent="0.2">
      <c r="B12" s="47" t="s">
        <v>114</v>
      </c>
      <c r="C12" t="s">
        <v>31</v>
      </c>
      <c r="D12" s="20" t="s">
        <v>152</v>
      </c>
      <c r="E12" s="30">
        <v>1</v>
      </c>
      <c r="F12" s="16" t="s">
        <v>35</v>
      </c>
      <c r="G12" s="3" t="s">
        <v>32</v>
      </c>
      <c r="H12" s="9"/>
    </row>
    <row r="13" spans="2:13" x14ac:dyDescent="0.2">
      <c r="B13" s="8" t="s">
        <v>36</v>
      </c>
      <c r="C13" t="s">
        <v>38</v>
      </c>
      <c r="D13" s="20" t="s">
        <v>37</v>
      </c>
      <c r="F13" s="3"/>
      <c r="G13" s="3"/>
      <c r="H13" s="9"/>
    </row>
    <row r="14" spans="2:13" x14ac:dyDescent="0.2">
      <c r="B14" s="8" t="s">
        <v>39</v>
      </c>
      <c r="C14" t="s">
        <v>17</v>
      </c>
      <c r="D14" s="20" t="s">
        <v>40</v>
      </c>
      <c r="F14" s="3"/>
      <c r="G14" s="3"/>
      <c r="H14" s="9"/>
    </row>
    <row r="15" spans="2:13" x14ac:dyDescent="0.2">
      <c r="B15" s="8" t="s">
        <v>41</v>
      </c>
      <c r="C15" t="s">
        <v>42</v>
      </c>
      <c r="D15" s="20" t="s">
        <v>40</v>
      </c>
      <c r="F15" s="3"/>
      <c r="G15" s="3"/>
      <c r="H15" s="9"/>
    </row>
    <row r="16" spans="2:13" x14ac:dyDescent="0.2">
      <c r="B16" s="8" t="s">
        <v>43</v>
      </c>
      <c r="C16" t="s">
        <v>44</v>
      </c>
      <c r="D16" s="20" t="s">
        <v>40</v>
      </c>
      <c r="F16" s="3"/>
      <c r="G16" s="3"/>
      <c r="H16" s="9"/>
    </row>
    <row r="17" spans="2:8" x14ac:dyDescent="0.2">
      <c r="B17" s="8" t="s">
        <v>45</v>
      </c>
      <c r="C17" t="s">
        <v>46</v>
      </c>
      <c r="D17" s="20" t="s">
        <v>40</v>
      </c>
      <c r="F17" s="3"/>
      <c r="G17" s="3"/>
      <c r="H17" s="9"/>
    </row>
    <row r="18" spans="2:8" x14ac:dyDescent="0.2">
      <c r="B18" s="10" t="s">
        <v>47</v>
      </c>
      <c r="C18" s="11" t="s">
        <v>48</v>
      </c>
      <c r="D18" s="21" t="s">
        <v>40</v>
      </c>
      <c r="E18" s="11"/>
      <c r="F18" s="15"/>
      <c r="G18" s="15"/>
      <c r="H18" s="12"/>
    </row>
    <row r="20" spans="2:8" x14ac:dyDescent="0.2">
      <c r="B20" s="31" t="s">
        <v>94</v>
      </c>
    </row>
    <row r="21" spans="2:8" x14ac:dyDescent="0.2">
      <c r="B21" t="s">
        <v>95</v>
      </c>
    </row>
    <row r="22" spans="2:8" x14ac:dyDescent="0.2">
      <c r="B22" s="23" t="s">
        <v>96</v>
      </c>
    </row>
    <row r="23" spans="2:8" x14ac:dyDescent="0.2">
      <c r="B23" s="23" t="s">
        <v>133</v>
      </c>
    </row>
    <row r="24" spans="2:8" x14ac:dyDescent="0.2">
      <c r="B24" s="23"/>
    </row>
    <row r="25" spans="2:8" x14ac:dyDescent="0.2">
      <c r="B25" t="s">
        <v>97</v>
      </c>
    </row>
    <row r="26" spans="2:8" x14ac:dyDescent="0.2">
      <c r="B26" t="s">
        <v>98</v>
      </c>
    </row>
  </sheetData>
  <hyperlinks>
    <hyperlink ref="B12" location="valrox!A1" display="Roctavian (valoctogene roxaparvovec)" xr:uid="{E70517BA-A69B-4419-96B8-40614DF47CFE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7BFD-C986-43B5-AFE7-A2D1E0EBF425}">
  <dimension ref="A1:DO55"/>
  <sheetViews>
    <sheetView tabSelected="1" zoomScale="160" zoomScaleNormal="160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Q29" sqref="Q29"/>
    </sheetView>
  </sheetViews>
  <sheetFormatPr defaultRowHeight="12.75" x14ac:dyDescent="0.2"/>
  <cols>
    <col min="1" max="1" width="5" bestFit="1" customWidth="1"/>
    <col min="2" max="2" width="18.140625" bestFit="1" customWidth="1"/>
    <col min="3" max="23" width="9.140625" style="3"/>
    <col min="40" max="40" width="11.140625" bestFit="1" customWidth="1"/>
  </cols>
  <sheetData>
    <row r="1" spans="1:38" x14ac:dyDescent="0.2">
      <c r="A1" s="22" t="s">
        <v>49</v>
      </c>
    </row>
    <row r="2" spans="1:38" x14ac:dyDescent="0.2"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  <c r="H2" s="3" t="s">
        <v>56</v>
      </c>
      <c r="I2" s="3" t="s">
        <v>57</v>
      </c>
      <c r="J2" s="3" t="s">
        <v>58</v>
      </c>
      <c r="K2" s="3" t="s">
        <v>59</v>
      </c>
      <c r="L2" s="3" t="s">
        <v>6</v>
      </c>
      <c r="M2" s="3" t="s">
        <v>60</v>
      </c>
      <c r="N2" s="3" t="s">
        <v>61</v>
      </c>
      <c r="O2" s="3" t="s">
        <v>148</v>
      </c>
      <c r="P2" s="3" t="s">
        <v>149</v>
      </c>
      <c r="Q2" s="3" t="s">
        <v>150</v>
      </c>
      <c r="R2" s="3" t="s">
        <v>151</v>
      </c>
      <c r="S2" s="3" t="s">
        <v>154</v>
      </c>
      <c r="T2" s="3" t="s">
        <v>153</v>
      </c>
      <c r="U2" s="3" t="s">
        <v>155</v>
      </c>
      <c r="V2" s="3" t="s">
        <v>156</v>
      </c>
      <c r="Z2">
        <v>2018</v>
      </c>
      <c r="AA2">
        <f>+Z2+1</f>
        <v>2019</v>
      </c>
      <c r="AB2">
        <f>+AA2+1</f>
        <v>2020</v>
      </c>
      <c r="AC2">
        <f>+AB2+1</f>
        <v>2021</v>
      </c>
      <c r="AD2">
        <f t="shared" ref="AD2:AL2" si="0">+AC2+1</f>
        <v>2022</v>
      </c>
      <c r="AE2">
        <f t="shared" si="0"/>
        <v>2023</v>
      </c>
      <c r="AF2">
        <f t="shared" si="0"/>
        <v>2024</v>
      </c>
      <c r="AG2">
        <f t="shared" si="0"/>
        <v>2025</v>
      </c>
      <c r="AH2">
        <f t="shared" si="0"/>
        <v>2026</v>
      </c>
      <c r="AI2">
        <f t="shared" si="0"/>
        <v>2027</v>
      </c>
      <c r="AJ2">
        <f t="shared" si="0"/>
        <v>2028</v>
      </c>
      <c r="AK2">
        <f t="shared" si="0"/>
        <v>2029</v>
      </c>
      <c r="AL2">
        <f t="shared" si="0"/>
        <v>2030</v>
      </c>
    </row>
    <row r="3" spans="1:38" s="2" customFormat="1" x14ac:dyDescent="0.2">
      <c r="B3" s="2" t="s">
        <v>84</v>
      </c>
      <c r="C3" s="25"/>
      <c r="D3" s="25"/>
      <c r="E3" s="25"/>
      <c r="F3" s="25"/>
      <c r="G3" s="25"/>
      <c r="H3" s="25">
        <v>169.411</v>
      </c>
      <c r="I3" s="25">
        <v>166.554</v>
      </c>
      <c r="J3" s="25"/>
      <c r="K3" s="25"/>
      <c r="L3" s="25">
        <v>169.83799999999999</v>
      </c>
      <c r="M3" s="25">
        <v>176.55199999999999</v>
      </c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38" s="2" customFormat="1" x14ac:dyDescent="0.2">
      <c r="B4" s="2" t="s">
        <v>85</v>
      </c>
      <c r="C4" s="25"/>
      <c r="D4" s="25"/>
      <c r="E4" s="25"/>
      <c r="F4" s="25"/>
      <c r="G4" s="25"/>
      <c r="H4" s="25">
        <v>166.70400000000001</v>
      </c>
      <c r="I4" s="25">
        <v>108.568</v>
      </c>
      <c r="J4" s="25"/>
      <c r="K4" s="25"/>
      <c r="L4" s="25">
        <v>161.22999999999999</v>
      </c>
      <c r="M4" s="25">
        <v>162.583</v>
      </c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38" s="2" customFormat="1" x14ac:dyDescent="0.2">
      <c r="B5" s="2" t="s">
        <v>87</v>
      </c>
      <c r="C5" s="25"/>
      <c r="D5" s="25"/>
      <c r="E5" s="25"/>
      <c r="F5" s="25"/>
      <c r="G5" s="25"/>
      <c r="H5" s="25">
        <v>42.247999999999998</v>
      </c>
      <c r="I5" s="25">
        <v>38.957999999999998</v>
      </c>
      <c r="J5" s="25"/>
      <c r="K5" s="25"/>
      <c r="L5" s="25">
        <v>89.911000000000001</v>
      </c>
      <c r="M5" s="25">
        <v>60.790999999999997</v>
      </c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38" s="2" customFormat="1" x14ac:dyDescent="0.2">
      <c r="B6" s="2" t="s">
        <v>86</v>
      </c>
      <c r="C6" s="25"/>
      <c r="D6" s="25"/>
      <c r="E6" s="25"/>
      <c r="F6" s="25"/>
      <c r="G6" s="25"/>
      <c r="H6" s="25">
        <v>80.179000000000002</v>
      </c>
      <c r="I6" s="25">
        <v>55.38</v>
      </c>
      <c r="J6" s="25"/>
      <c r="K6" s="25"/>
      <c r="L6" s="25">
        <v>59.353999999999999</v>
      </c>
      <c r="M6" s="25">
        <v>64.376000000000005</v>
      </c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38" x14ac:dyDescent="0.2">
      <c r="H7" s="25"/>
      <c r="I7" s="25"/>
      <c r="J7" s="25"/>
      <c r="K7" s="25"/>
      <c r="L7" s="25"/>
    </row>
    <row r="8" spans="1:38" s="2" customFormat="1" x14ac:dyDescent="0.2">
      <c r="B8" s="2" t="s">
        <v>77</v>
      </c>
      <c r="C8" s="25"/>
      <c r="D8" s="25"/>
      <c r="E8" s="25">
        <v>147.9</v>
      </c>
      <c r="F8" s="25">
        <v>142.5</v>
      </c>
      <c r="G8" s="25">
        <v>158.4</v>
      </c>
      <c r="H8" s="25">
        <v>171.655</v>
      </c>
      <c r="I8" s="25">
        <v>136.9</v>
      </c>
      <c r="J8" s="25">
        <v>156.30000000000001</v>
      </c>
      <c r="K8" s="25">
        <v>183</v>
      </c>
      <c r="L8" s="25">
        <v>173.20599999999999</v>
      </c>
      <c r="M8" s="25">
        <v>155.47</v>
      </c>
      <c r="N8" s="25">
        <v>152.1</v>
      </c>
      <c r="O8" s="25">
        <v>189.19200000000001</v>
      </c>
      <c r="P8" s="25">
        <v>177.392</v>
      </c>
      <c r="Q8" s="25">
        <v>158.9</v>
      </c>
      <c r="R8" s="25">
        <v>175.6</v>
      </c>
      <c r="S8" s="25">
        <v>192.52</v>
      </c>
      <c r="T8" s="25">
        <v>178.01599999999999</v>
      </c>
      <c r="U8" s="25"/>
      <c r="V8" s="25"/>
      <c r="W8" s="25"/>
      <c r="AA8" s="2">
        <v>544.29999999999995</v>
      </c>
      <c r="AB8" s="2">
        <v>544.4</v>
      </c>
      <c r="AC8" s="2">
        <f>SUM(G8:J8)</f>
        <v>623.25500000000011</v>
      </c>
      <c r="AD8" s="2">
        <f>SUM(K8:N8)</f>
        <v>663.77600000000007</v>
      </c>
      <c r="AE8" s="2">
        <f>+AD8*1.07</f>
        <v>710.24032000000011</v>
      </c>
      <c r="AF8" s="2">
        <f t="shared" ref="AF8" si="1">+AE8*1.07</f>
        <v>759.95714240000018</v>
      </c>
      <c r="AG8" s="2">
        <f>+AF8*1.04</f>
        <v>790.3554280960002</v>
      </c>
      <c r="AH8" s="2">
        <f t="shared" ref="AH8:AL8" si="2">+AG8*1.04</f>
        <v>821.96964521984023</v>
      </c>
      <c r="AI8" s="2">
        <f t="shared" si="2"/>
        <v>854.84843102863385</v>
      </c>
      <c r="AJ8" s="2">
        <f t="shared" si="2"/>
        <v>889.04236826977922</v>
      </c>
      <c r="AK8" s="2">
        <f t="shared" si="2"/>
        <v>924.60406300057036</v>
      </c>
      <c r="AL8" s="2">
        <f t="shared" si="2"/>
        <v>961.58822552059326</v>
      </c>
    </row>
    <row r="9" spans="1:38" s="2" customFormat="1" x14ac:dyDescent="0.2">
      <c r="B9" s="2" t="s">
        <v>102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>
        <v>0</v>
      </c>
      <c r="N9" s="25">
        <v>0</v>
      </c>
      <c r="O9" s="25">
        <v>0</v>
      </c>
      <c r="P9" s="25">
        <v>0</v>
      </c>
      <c r="Q9" s="25">
        <v>0.8</v>
      </c>
      <c r="R9" s="25">
        <v>2.7</v>
      </c>
      <c r="S9" s="25">
        <v>0.84899999999999998</v>
      </c>
      <c r="T9" s="25">
        <v>7.4320000000000004</v>
      </c>
      <c r="U9" s="25"/>
      <c r="V9" s="25"/>
      <c r="W9" s="25"/>
      <c r="AC9" s="2">
        <v>0</v>
      </c>
      <c r="AD9" s="2">
        <v>0</v>
      </c>
      <c r="AE9" s="2">
        <v>500</v>
      </c>
      <c r="AF9" s="2">
        <v>1000</v>
      </c>
      <c r="AG9" s="2">
        <v>1500</v>
      </c>
      <c r="AH9" s="2">
        <v>2000</v>
      </c>
      <c r="AI9" s="2">
        <f>+AH9*1.2</f>
        <v>2400</v>
      </c>
      <c r="AJ9" s="2">
        <f>+AI9*1.2</f>
        <v>2880</v>
      </c>
      <c r="AK9" s="2">
        <f>+AJ9*1.2</f>
        <v>3456</v>
      </c>
      <c r="AL9" s="2">
        <f>+AK9*1.15</f>
        <v>3974.3999999999996</v>
      </c>
    </row>
    <row r="10" spans="1:38" s="2" customFormat="1" x14ac:dyDescent="0.2">
      <c r="B10" s="2" t="s">
        <v>78</v>
      </c>
      <c r="C10" s="25"/>
      <c r="D10" s="25"/>
      <c r="E10" s="25">
        <v>76.3</v>
      </c>
      <c r="F10" s="25">
        <v>119.7</v>
      </c>
      <c r="G10" s="25">
        <v>107.3</v>
      </c>
      <c r="H10" s="25">
        <v>118.813</v>
      </c>
      <c r="I10" s="25">
        <v>71.2</v>
      </c>
      <c r="J10" s="25">
        <v>83.1</v>
      </c>
      <c r="K10" s="25">
        <v>128</v>
      </c>
      <c r="L10" s="25">
        <v>115.783</v>
      </c>
      <c r="M10" s="25">
        <v>99.506</v>
      </c>
      <c r="N10" s="25">
        <v>100.5</v>
      </c>
      <c r="O10" s="25">
        <v>123.021</v>
      </c>
      <c r="P10" s="25">
        <v>90.102999999999994</v>
      </c>
      <c r="Q10" s="25">
        <v>108.9</v>
      </c>
      <c r="R10" s="25">
        <v>98.3</v>
      </c>
      <c r="S10" s="25">
        <v>105.629</v>
      </c>
      <c r="T10" s="25">
        <v>132.04900000000001</v>
      </c>
      <c r="U10" s="25"/>
      <c r="V10" s="25"/>
      <c r="W10" s="25"/>
      <c r="AA10" s="2">
        <v>374.3</v>
      </c>
      <c r="AB10" s="2">
        <v>391.3</v>
      </c>
      <c r="AC10" s="2">
        <f t="shared" ref="AC10:AC22" si="3">SUM(G10:J10)</f>
        <v>380.41300000000001</v>
      </c>
      <c r="AD10" s="2">
        <f t="shared" ref="AD10:AD22" si="4">SUM(K10:N10)</f>
        <v>443.78899999999999</v>
      </c>
      <c r="AE10" s="2">
        <f>+AD10*1.04</f>
        <v>461.54056000000003</v>
      </c>
      <c r="AF10" s="2">
        <f t="shared" ref="AF10:AL10" si="5">+AE10*1.04</f>
        <v>480.00218240000004</v>
      </c>
      <c r="AG10" s="2">
        <f t="shared" si="5"/>
        <v>499.20226969600003</v>
      </c>
      <c r="AH10" s="2">
        <f t="shared" si="5"/>
        <v>519.17036048384</v>
      </c>
      <c r="AI10" s="2">
        <f t="shared" si="5"/>
        <v>539.93717490319364</v>
      </c>
      <c r="AJ10" s="2">
        <f t="shared" si="5"/>
        <v>561.53466189932135</v>
      </c>
      <c r="AK10" s="2">
        <f t="shared" si="5"/>
        <v>583.99604837529421</v>
      </c>
      <c r="AL10" s="2">
        <f t="shared" si="5"/>
        <v>607.35589031030599</v>
      </c>
    </row>
    <row r="11" spans="1:38" s="2" customFormat="1" x14ac:dyDescent="0.2">
      <c r="B11" s="2" t="s">
        <v>79</v>
      </c>
      <c r="C11" s="25"/>
      <c r="D11" s="25"/>
      <c r="E11" s="25">
        <v>46.1</v>
      </c>
      <c r="F11" s="25">
        <v>49.6</v>
      </c>
      <c r="G11" s="25">
        <v>54</v>
      </c>
      <c r="H11" s="25">
        <v>58.935000000000002</v>
      </c>
      <c r="I11" s="25">
        <v>60.7</v>
      </c>
      <c r="J11" s="25">
        <v>63.8</v>
      </c>
      <c r="K11" s="25">
        <v>54.9</v>
      </c>
      <c r="L11" s="25">
        <v>61.643000000000001</v>
      </c>
      <c r="M11" s="25">
        <v>66.206000000000003</v>
      </c>
      <c r="N11" s="25">
        <v>72.3</v>
      </c>
      <c r="O11" s="25">
        <v>62.351999999999997</v>
      </c>
      <c r="P11" s="25">
        <v>74.867999999999995</v>
      </c>
      <c r="Q11" s="25">
        <v>78.900000000000006</v>
      </c>
      <c r="R11" s="25">
        <v>87.8</v>
      </c>
      <c r="S11" s="25">
        <v>75.709000000000003</v>
      </c>
      <c r="T11" s="25">
        <v>88.290999999999997</v>
      </c>
      <c r="U11" s="25"/>
      <c r="V11" s="25"/>
      <c r="W11" s="25"/>
      <c r="AA11" s="2">
        <v>86.9</v>
      </c>
      <c r="AB11" s="2">
        <v>171</v>
      </c>
      <c r="AC11" s="2">
        <f t="shared" si="3"/>
        <v>237.435</v>
      </c>
      <c r="AD11" s="2">
        <f t="shared" si="4"/>
        <v>255.04900000000004</v>
      </c>
      <c r="AE11" s="2">
        <f>+AD11*1.05</f>
        <v>267.80145000000005</v>
      </c>
      <c r="AF11" s="2">
        <f t="shared" ref="AF11:AL11" si="6">+AE11*1.05</f>
        <v>281.19152250000008</v>
      </c>
      <c r="AG11" s="2">
        <f t="shared" si="6"/>
        <v>295.25109862500011</v>
      </c>
      <c r="AH11" s="2">
        <f t="shared" si="6"/>
        <v>310.01365355625012</v>
      </c>
      <c r="AI11" s="2">
        <f t="shared" si="6"/>
        <v>325.51433623406263</v>
      </c>
      <c r="AJ11" s="2">
        <f t="shared" si="6"/>
        <v>341.79005304576577</v>
      </c>
      <c r="AK11" s="2">
        <f t="shared" si="6"/>
        <v>358.87955569805411</v>
      </c>
      <c r="AL11" s="2">
        <f t="shared" si="6"/>
        <v>376.8235334829568</v>
      </c>
    </row>
    <row r="12" spans="1:38" s="2" customFormat="1" x14ac:dyDescent="0.2">
      <c r="B12" s="2" t="s">
        <v>80</v>
      </c>
      <c r="C12" s="25"/>
      <c r="D12" s="25"/>
      <c r="E12" s="25">
        <v>124.1</v>
      </c>
      <c r="F12" s="25">
        <v>89</v>
      </c>
      <c r="G12" s="25">
        <v>70.8</v>
      </c>
      <c r="H12" s="25">
        <v>78.807000000000002</v>
      </c>
      <c r="I12" s="25">
        <v>67.7</v>
      </c>
      <c r="J12" s="25">
        <v>68.5</v>
      </c>
      <c r="K12" s="25">
        <v>59.3</v>
      </c>
      <c r="L12" s="25">
        <v>57.601999999999997</v>
      </c>
      <c r="M12" s="25">
        <v>57.037999999999997</v>
      </c>
      <c r="N12" s="25">
        <v>53.6</v>
      </c>
      <c r="O12" s="25">
        <v>50.478000000000002</v>
      </c>
      <c r="P12" s="25">
        <v>50.622</v>
      </c>
      <c r="Q12" s="25">
        <v>42.9</v>
      </c>
      <c r="R12" s="25">
        <v>36.700000000000003</v>
      </c>
      <c r="S12" s="25">
        <v>35.909999999999997</v>
      </c>
      <c r="T12" s="25">
        <v>28.550999999999998</v>
      </c>
      <c r="U12" s="25"/>
      <c r="V12" s="25"/>
      <c r="W12" s="25"/>
      <c r="AA12" s="2">
        <v>463.4</v>
      </c>
      <c r="AB12" s="2">
        <v>457.7</v>
      </c>
      <c r="AC12" s="2">
        <f t="shared" si="3"/>
        <v>285.80700000000002</v>
      </c>
      <c r="AD12" s="2">
        <f t="shared" si="4"/>
        <v>227.54</v>
      </c>
      <c r="AE12" s="2">
        <f>+AD12*0.9</f>
        <v>204.786</v>
      </c>
      <c r="AF12" s="2">
        <f t="shared" ref="AF12:AL12" si="7">+AE12*0.9</f>
        <v>184.3074</v>
      </c>
      <c r="AG12" s="2">
        <f t="shared" si="7"/>
        <v>165.87666000000002</v>
      </c>
      <c r="AH12" s="2">
        <f t="shared" si="7"/>
        <v>149.28899400000003</v>
      </c>
      <c r="AI12" s="2">
        <f t="shared" si="7"/>
        <v>134.36009460000002</v>
      </c>
      <c r="AJ12" s="2">
        <f t="shared" si="7"/>
        <v>120.92408514000003</v>
      </c>
      <c r="AK12" s="2">
        <f t="shared" si="7"/>
        <v>108.83167662600003</v>
      </c>
      <c r="AL12" s="2">
        <f t="shared" si="7"/>
        <v>97.94850896340003</v>
      </c>
    </row>
    <row r="13" spans="1:38" s="2" customFormat="1" x14ac:dyDescent="0.2">
      <c r="B13" s="2" t="s">
        <v>81</v>
      </c>
      <c r="C13" s="25"/>
      <c r="D13" s="25"/>
      <c r="E13" s="25">
        <v>25.4</v>
      </c>
      <c r="F13" s="25">
        <v>35</v>
      </c>
      <c r="G13" s="25">
        <v>27.3</v>
      </c>
      <c r="H13" s="25">
        <v>30.332000000000001</v>
      </c>
      <c r="I13" s="25">
        <v>32.9</v>
      </c>
      <c r="J13" s="25">
        <v>37.4</v>
      </c>
      <c r="K13" s="25">
        <v>36.200000000000003</v>
      </c>
      <c r="L13" s="25">
        <v>37.725000000000001</v>
      </c>
      <c r="M13" s="25">
        <v>37.792999999999999</v>
      </c>
      <c r="N13" s="25">
        <v>42.6</v>
      </c>
      <c r="O13" s="25">
        <v>39.143999999999998</v>
      </c>
      <c r="P13" s="25">
        <v>38.058</v>
      </c>
      <c r="Q13" s="25">
        <v>41</v>
      </c>
      <c r="R13" s="25">
        <v>43.6</v>
      </c>
      <c r="S13" s="25">
        <v>39.046999999999997</v>
      </c>
      <c r="T13" s="25">
        <v>45.308999999999997</v>
      </c>
      <c r="U13" s="25"/>
      <c r="V13" s="25"/>
      <c r="W13" s="25"/>
      <c r="AA13" s="2">
        <v>72</v>
      </c>
      <c r="AB13" s="2">
        <v>110.2</v>
      </c>
      <c r="AC13" s="2">
        <f t="shared" si="3"/>
        <v>127.93200000000002</v>
      </c>
      <c r="AD13" s="2">
        <f t="shared" si="4"/>
        <v>154.31800000000001</v>
      </c>
      <c r="AE13" s="2">
        <f>+AD13*1.1</f>
        <v>169.74980000000002</v>
      </c>
      <c r="AF13" s="2">
        <f>+AE13*1.1</f>
        <v>186.72478000000004</v>
      </c>
      <c r="AG13" s="2">
        <f>+AF13*1.05</f>
        <v>196.06101900000004</v>
      </c>
      <c r="AH13" s="2">
        <f t="shared" ref="AH13:AL13" si="8">+AG13*1.05</f>
        <v>205.86406995000004</v>
      </c>
      <c r="AI13" s="2">
        <f t="shared" si="8"/>
        <v>216.15727344750005</v>
      </c>
      <c r="AJ13" s="2">
        <f t="shared" si="8"/>
        <v>226.96513711987507</v>
      </c>
      <c r="AK13" s="2">
        <f t="shared" si="8"/>
        <v>238.31339397586882</v>
      </c>
      <c r="AL13" s="2">
        <f t="shared" si="8"/>
        <v>250.22906367466229</v>
      </c>
    </row>
    <row r="14" spans="1:38" s="2" customFormat="1" x14ac:dyDescent="0.2">
      <c r="B14" s="2" t="s">
        <v>82</v>
      </c>
      <c r="C14" s="25"/>
      <c r="D14" s="25"/>
      <c r="E14" s="25">
        <v>0</v>
      </c>
      <c r="F14" s="25">
        <v>0</v>
      </c>
      <c r="G14" s="25">
        <v>0</v>
      </c>
      <c r="H14" s="25">
        <v>0</v>
      </c>
      <c r="I14" s="25">
        <v>0.1</v>
      </c>
      <c r="J14" s="25">
        <v>5.8</v>
      </c>
      <c r="K14" s="25">
        <v>19.7</v>
      </c>
      <c r="L14" s="25">
        <v>34.374000000000002</v>
      </c>
      <c r="M14" s="25">
        <v>48.289000000000001</v>
      </c>
      <c r="N14" s="25">
        <v>66.8</v>
      </c>
      <c r="O14" s="25">
        <v>87.835999999999999</v>
      </c>
      <c r="P14" s="25">
        <v>113.337</v>
      </c>
      <c r="Q14" s="25">
        <v>123.1</v>
      </c>
      <c r="R14" s="25">
        <v>145.69999999999999</v>
      </c>
      <c r="S14" s="25">
        <v>152.9</v>
      </c>
      <c r="T14" s="25">
        <v>183.923</v>
      </c>
      <c r="U14" s="25"/>
      <c r="V14" s="25"/>
      <c r="W14" s="25"/>
      <c r="AA14" s="2">
        <v>0</v>
      </c>
      <c r="AB14" s="2">
        <v>0</v>
      </c>
      <c r="AC14" s="2">
        <f t="shared" si="3"/>
        <v>5.8999999999999995</v>
      </c>
      <c r="AD14" s="2">
        <f t="shared" si="4"/>
        <v>169.16300000000001</v>
      </c>
      <c r="AE14" s="2">
        <v>320</v>
      </c>
      <c r="AF14" s="2">
        <v>500</v>
      </c>
      <c r="AG14" s="2">
        <f>+AF14*1.08</f>
        <v>540</v>
      </c>
      <c r="AH14" s="2">
        <f t="shared" ref="AH14:AL14" si="9">+AG14*1.08</f>
        <v>583.20000000000005</v>
      </c>
      <c r="AI14" s="2">
        <f t="shared" si="9"/>
        <v>629.85600000000011</v>
      </c>
      <c r="AJ14" s="2">
        <f t="shared" si="9"/>
        <v>680.24448000000018</v>
      </c>
      <c r="AK14" s="2">
        <f t="shared" si="9"/>
        <v>734.66403840000021</v>
      </c>
      <c r="AL14" s="2">
        <f t="shared" si="9"/>
        <v>793.4371614720003</v>
      </c>
    </row>
    <row r="15" spans="1:38" s="2" customFormat="1" x14ac:dyDescent="0.2">
      <c r="B15" s="2" t="s">
        <v>83</v>
      </c>
      <c r="C15" s="25"/>
      <c r="D15" s="25"/>
      <c r="E15" s="25">
        <v>40.9</v>
      </c>
      <c r="F15" s="25">
        <v>1.2</v>
      </c>
      <c r="G15" s="25">
        <v>50</v>
      </c>
      <c r="H15" s="25">
        <v>28.128</v>
      </c>
      <c r="I15" s="25">
        <v>24.4</v>
      </c>
      <c r="J15" s="25">
        <v>20.3</v>
      </c>
      <c r="K15" s="25">
        <v>24.4</v>
      </c>
      <c r="L15" s="25">
        <v>37.326999999999998</v>
      </c>
      <c r="M15" s="25">
        <v>29.045999999999999</v>
      </c>
      <c r="N15" s="25">
        <v>37.6</v>
      </c>
      <c r="O15" s="25">
        <v>34.402999999999999</v>
      </c>
      <c r="P15" s="25">
        <v>40.317999999999998</v>
      </c>
      <c r="Q15" s="25">
        <v>13.8</v>
      </c>
      <c r="R15" s="25">
        <v>42.7</v>
      </c>
      <c r="S15" s="25">
        <v>35.262</v>
      </c>
      <c r="T15" s="25">
        <v>38.558</v>
      </c>
      <c r="U15" s="25"/>
      <c r="V15" s="25"/>
      <c r="W15" s="25"/>
      <c r="AA15" s="2">
        <v>97.8</v>
      </c>
      <c r="AB15" s="2">
        <v>130.1</v>
      </c>
      <c r="AC15" s="2">
        <f t="shared" si="3"/>
        <v>122.82799999999999</v>
      </c>
      <c r="AD15" s="2">
        <f t="shared" si="4"/>
        <v>128.37299999999999</v>
      </c>
      <c r="AE15" s="2">
        <f>+AD15*1.03</f>
        <v>132.22418999999999</v>
      </c>
      <c r="AF15" s="2">
        <f t="shared" ref="AF15:AL15" si="10">+AE15*1.03</f>
        <v>136.19091570000001</v>
      </c>
      <c r="AG15" s="2">
        <f t="shared" si="10"/>
        <v>140.27664317100002</v>
      </c>
      <c r="AH15" s="2">
        <f t="shared" si="10"/>
        <v>144.48494246613004</v>
      </c>
      <c r="AI15" s="2">
        <f t="shared" si="10"/>
        <v>148.81949074011393</v>
      </c>
      <c r="AJ15" s="2">
        <f t="shared" si="10"/>
        <v>153.28407546231736</v>
      </c>
      <c r="AK15" s="2">
        <f t="shared" si="10"/>
        <v>157.88259772618687</v>
      </c>
      <c r="AL15" s="2">
        <f t="shared" si="10"/>
        <v>162.61907565797247</v>
      </c>
    </row>
    <row r="16" spans="1:38" s="2" customFormat="1" x14ac:dyDescent="0.2">
      <c r="B16" s="2" t="s">
        <v>63</v>
      </c>
      <c r="C16" s="25"/>
      <c r="D16" s="25"/>
      <c r="E16" s="25">
        <f t="shared" ref="E16:L16" si="11">SUM(E8:E15)</f>
        <v>460.69999999999993</v>
      </c>
      <c r="F16" s="25">
        <f t="shared" si="11"/>
        <v>437</v>
      </c>
      <c r="G16" s="25">
        <f t="shared" si="11"/>
        <v>467.8</v>
      </c>
      <c r="H16" s="25">
        <f t="shared" si="11"/>
        <v>486.67</v>
      </c>
      <c r="I16" s="25">
        <f t="shared" si="11"/>
        <v>393.9</v>
      </c>
      <c r="J16" s="25">
        <f t="shared" si="11"/>
        <v>435.2</v>
      </c>
      <c r="K16" s="25">
        <f t="shared" si="11"/>
        <v>505.49999999999994</v>
      </c>
      <c r="L16" s="25">
        <f t="shared" si="11"/>
        <v>517.66</v>
      </c>
      <c r="M16" s="25">
        <f t="shared" ref="M16:N16" si="12">SUM(M8:M15)</f>
        <v>493.34800000000001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AA16" s="2">
        <f>SUM(AA8:AA15)</f>
        <v>1638.6999999999998</v>
      </c>
      <c r="AB16" s="2">
        <f>SUM(AB8:AB15)</f>
        <v>1804.7</v>
      </c>
      <c r="AC16" s="2">
        <f>SUM(AC8:AC15)</f>
        <v>1783.5700000000002</v>
      </c>
      <c r="AD16" s="2">
        <f>SUM(AD8:AD15)</f>
        <v>2042.008</v>
      </c>
      <c r="AE16" s="2">
        <f t="shared" ref="AE16:AK16" si="13">SUM(AE8:AE15)</f>
        <v>2766.3423200000002</v>
      </c>
      <c r="AF16" s="2">
        <f t="shared" si="13"/>
        <v>3528.3739430000005</v>
      </c>
      <c r="AG16" s="2">
        <f t="shared" si="13"/>
        <v>4127.0231185880002</v>
      </c>
      <c r="AH16" s="2">
        <f t="shared" si="13"/>
        <v>4733.9916656760606</v>
      </c>
      <c r="AI16" s="2">
        <f t="shared" si="13"/>
        <v>5249.4928009535033</v>
      </c>
      <c r="AJ16" s="2">
        <f t="shared" si="13"/>
        <v>5853.7848609370594</v>
      </c>
      <c r="AK16" s="2">
        <f t="shared" si="13"/>
        <v>6563.1713738019744</v>
      </c>
      <c r="AL16" s="2">
        <f>SUM(AL8:AL15)</f>
        <v>7224.4014590818906</v>
      </c>
    </row>
    <row r="17" spans="2:119" s="2" customFormat="1" x14ac:dyDescent="0.2">
      <c r="B17" s="2" t="s">
        <v>62</v>
      </c>
      <c r="C17" s="25"/>
      <c r="D17" s="25"/>
      <c r="E17" s="25">
        <v>16.042999999999999</v>
      </c>
      <c r="F17" s="25">
        <v>15.071999999999999</v>
      </c>
      <c r="G17" s="25">
        <v>18.260999999999999</v>
      </c>
      <c r="H17" s="25">
        <v>15.023</v>
      </c>
      <c r="I17" s="25">
        <v>14.901999999999999</v>
      </c>
      <c r="J17" s="25">
        <v>14.590999999999999</v>
      </c>
      <c r="K17" s="25">
        <v>13.834</v>
      </c>
      <c r="L17" s="25">
        <v>16.138000000000002</v>
      </c>
      <c r="M17" s="25">
        <v>11.996</v>
      </c>
      <c r="N17" s="25">
        <v>12.045999999999999</v>
      </c>
      <c r="O17" s="25">
        <v>9.9890000000000008</v>
      </c>
      <c r="P17" s="25">
        <v>10.577</v>
      </c>
      <c r="Q17" s="25">
        <v>13.063000000000001</v>
      </c>
      <c r="R17" s="25">
        <v>13.058999999999999</v>
      </c>
      <c r="S17" s="25">
        <v>11.018000000000001</v>
      </c>
      <c r="T17" s="25">
        <v>9.9</v>
      </c>
      <c r="U17" s="25"/>
      <c r="V17" s="25"/>
      <c r="W17" s="25"/>
      <c r="AA17" s="2">
        <v>43.005000000000003</v>
      </c>
      <c r="AB17" s="2">
        <v>54.594000000000001</v>
      </c>
      <c r="AC17" s="2">
        <f t="shared" si="3"/>
        <v>62.777000000000001</v>
      </c>
      <c r="AD17" s="2">
        <f t="shared" si="4"/>
        <v>54.014000000000003</v>
      </c>
      <c r="AE17" s="2">
        <f>+AD17</f>
        <v>54.014000000000003</v>
      </c>
      <c r="AF17" s="2">
        <f t="shared" ref="AF17:AL17" si="14">+AE17</f>
        <v>54.014000000000003</v>
      </c>
      <c r="AG17" s="2">
        <f t="shared" si="14"/>
        <v>54.014000000000003</v>
      </c>
      <c r="AH17" s="2">
        <f t="shared" si="14"/>
        <v>54.014000000000003</v>
      </c>
      <c r="AI17" s="2">
        <f t="shared" si="14"/>
        <v>54.014000000000003</v>
      </c>
      <c r="AJ17" s="2">
        <f t="shared" si="14"/>
        <v>54.014000000000003</v>
      </c>
      <c r="AK17" s="2">
        <f t="shared" si="14"/>
        <v>54.014000000000003</v>
      </c>
      <c r="AL17" s="2">
        <f t="shared" si="14"/>
        <v>54.014000000000003</v>
      </c>
    </row>
    <row r="18" spans="2:119" s="4" customFormat="1" x14ac:dyDescent="0.2">
      <c r="B18" s="4" t="s">
        <v>50</v>
      </c>
      <c r="C18" s="26"/>
      <c r="D18" s="26"/>
      <c r="E18" s="26">
        <f t="shared" ref="E18:L18" si="15">+E16+E17</f>
        <v>476.74299999999994</v>
      </c>
      <c r="F18" s="26">
        <f t="shared" si="15"/>
        <v>452.072</v>
      </c>
      <c r="G18" s="26">
        <f t="shared" si="15"/>
        <v>486.06100000000004</v>
      </c>
      <c r="H18" s="26">
        <f t="shared" si="15"/>
        <v>501.69300000000004</v>
      </c>
      <c r="I18" s="26">
        <f t="shared" si="15"/>
        <v>408.80199999999996</v>
      </c>
      <c r="J18" s="26">
        <f t="shared" si="15"/>
        <v>449.791</v>
      </c>
      <c r="K18" s="26">
        <f t="shared" si="15"/>
        <v>519.33399999999995</v>
      </c>
      <c r="L18" s="26">
        <f t="shared" si="15"/>
        <v>533.798</v>
      </c>
      <c r="M18" s="26">
        <f t="shared" ref="M18:T18" si="16">+M16+M17</f>
        <v>505.34399999999999</v>
      </c>
      <c r="N18" s="26">
        <f>SUM(N8:N17)</f>
        <v>537.54600000000005</v>
      </c>
      <c r="O18" s="26">
        <f>SUM(O8:O17)</f>
        <v>596.41500000000008</v>
      </c>
      <c r="P18" s="26">
        <f>SUM(P8:P17)</f>
        <v>595.27499999999998</v>
      </c>
      <c r="Q18" s="26">
        <f>SUM(Q8:Q17)</f>
        <v>581.36299999999994</v>
      </c>
      <c r="R18" s="26">
        <f>SUM(R8:R17)</f>
        <v>646.15899999999999</v>
      </c>
      <c r="S18" s="26">
        <f>SUM(S8:S17)</f>
        <v>648.84400000000005</v>
      </c>
      <c r="T18" s="26">
        <f>SUM(T8:T17)</f>
        <v>712.02899999999988</v>
      </c>
      <c r="U18" s="26"/>
      <c r="V18" s="26"/>
      <c r="W18" s="26"/>
      <c r="AA18" s="4">
        <f>+AA16+AA17</f>
        <v>1681.7049999999999</v>
      </c>
      <c r="AB18" s="4">
        <f>+AB16+AB17</f>
        <v>1859.2940000000001</v>
      </c>
      <c r="AC18" s="4">
        <f>+AC16+AC17</f>
        <v>1846.3470000000002</v>
      </c>
      <c r="AD18" s="4">
        <f>+AD16+AD17</f>
        <v>2096.0219999999999</v>
      </c>
      <c r="AE18" s="4">
        <f t="shared" ref="AE18:AL18" si="17">+AE16+AE17</f>
        <v>2820.3563200000003</v>
      </c>
      <c r="AF18" s="4">
        <f t="shared" si="17"/>
        <v>3582.3879430000006</v>
      </c>
      <c r="AG18" s="4">
        <f t="shared" si="17"/>
        <v>4181.0371185880003</v>
      </c>
      <c r="AH18" s="4">
        <f t="shared" si="17"/>
        <v>4788.0056656760607</v>
      </c>
      <c r="AI18" s="4">
        <f t="shared" si="17"/>
        <v>5303.5068009535034</v>
      </c>
      <c r="AJ18" s="4">
        <f t="shared" si="17"/>
        <v>5907.7988609370595</v>
      </c>
      <c r="AK18" s="4">
        <f t="shared" si="17"/>
        <v>6617.1853738019745</v>
      </c>
      <c r="AL18" s="4">
        <f t="shared" si="17"/>
        <v>7278.4154590818907</v>
      </c>
    </row>
    <row r="19" spans="2:119" s="2" customFormat="1" x14ac:dyDescent="0.2">
      <c r="B19" s="2" t="s">
        <v>64</v>
      </c>
      <c r="C19" s="25"/>
      <c r="D19" s="25"/>
      <c r="E19" s="25">
        <v>188.79300000000001</v>
      </c>
      <c r="F19" s="25">
        <v>126.13800000000001</v>
      </c>
      <c r="G19" s="25">
        <v>120.166</v>
      </c>
      <c r="H19" s="25">
        <v>127.062</v>
      </c>
      <c r="I19" s="25">
        <v>103.53700000000001</v>
      </c>
      <c r="J19" s="25">
        <v>119.75</v>
      </c>
      <c r="K19" s="25">
        <v>116.965</v>
      </c>
      <c r="L19" s="25">
        <v>123.126</v>
      </c>
      <c r="M19" s="25">
        <v>116.288</v>
      </c>
      <c r="N19" s="25">
        <v>127.29</v>
      </c>
      <c r="O19" s="25">
        <v>135.47200000000001</v>
      </c>
      <c r="P19" s="25">
        <v>65.566000000000003</v>
      </c>
      <c r="Q19" s="25">
        <v>124.745</v>
      </c>
      <c r="R19" s="25">
        <v>135.47800000000001</v>
      </c>
      <c r="S19" s="25">
        <v>125.18</v>
      </c>
      <c r="T19" s="25">
        <v>130.459</v>
      </c>
      <c r="U19" s="25"/>
      <c r="V19" s="25"/>
      <c r="W19" s="25"/>
      <c r="AA19" s="2">
        <v>359.46600000000001</v>
      </c>
      <c r="AB19" s="2">
        <v>524.27200000000005</v>
      </c>
      <c r="AC19" s="2">
        <f t="shared" si="3"/>
        <v>470.51499999999999</v>
      </c>
      <c r="AD19" s="2">
        <f t="shared" si="4"/>
        <v>483.66900000000004</v>
      </c>
      <c r="AE19" s="2">
        <f>+AE18*0.21</f>
        <v>592.2748272</v>
      </c>
      <c r="AF19" s="2">
        <f t="shared" ref="AF19:AL19" si="18">+AF18*0.21</f>
        <v>752.30146803000014</v>
      </c>
      <c r="AG19" s="2">
        <f t="shared" si="18"/>
        <v>878.01779490348008</v>
      </c>
      <c r="AH19" s="2">
        <f t="shared" si="18"/>
        <v>1005.4811897919727</v>
      </c>
      <c r="AI19" s="2">
        <f t="shared" si="18"/>
        <v>1113.7364282002357</v>
      </c>
      <c r="AJ19" s="2">
        <f t="shared" si="18"/>
        <v>1240.6377607967825</v>
      </c>
      <c r="AK19" s="2">
        <f t="shared" si="18"/>
        <v>1389.6089284984146</v>
      </c>
      <c r="AL19" s="2">
        <f t="shared" si="18"/>
        <v>1528.4672464071971</v>
      </c>
    </row>
    <row r="20" spans="2:119" s="2" customFormat="1" x14ac:dyDescent="0.2">
      <c r="B20" s="2" t="s">
        <v>65</v>
      </c>
      <c r="C20" s="25"/>
      <c r="D20" s="25"/>
      <c r="E20" s="25">
        <f t="shared" ref="E20:L20" si="19">+E18-E19</f>
        <v>287.94999999999993</v>
      </c>
      <c r="F20" s="25">
        <f t="shared" si="19"/>
        <v>325.93399999999997</v>
      </c>
      <c r="G20" s="25">
        <f t="shared" si="19"/>
        <v>365.89500000000004</v>
      </c>
      <c r="H20" s="25">
        <f t="shared" si="19"/>
        <v>374.63100000000003</v>
      </c>
      <c r="I20" s="25">
        <f t="shared" si="19"/>
        <v>305.26499999999999</v>
      </c>
      <c r="J20" s="25">
        <f t="shared" si="19"/>
        <v>330.041</v>
      </c>
      <c r="K20" s="25">
        <f t="shared" si="19"/>
        <v>402.36899999999991</v>
      </c>
      <c r="L20" s="25">
        <f t="shared" si="19"/>
        <v>410.67200000000003</v>
      </c>
      <c r="M20" s="25">
        <f>+M18-M19</f>
        <v>389.05599999999998</v>
      </c>
      <c r="N20" s="25">
        <f>+N18-N19</f>
        <v>410.25600000000003</v>
      </c>
      <c r="O20" s="25">
        <f>+O18-O19</f>
        <v>460.9430000000001</v>
      </c>
      <c r="P20" s="25">
        <f>+P18-P19</f>
        <v>529.70899999999995</v>
      </c>
      <c r="Q20" s="25">
        <f>+Q18-Q19</f>
        <v>456.61799999999994</v>
      </c>
      <c r="R20" s="25">
        <f>+R18-R19</f>
        <v>510.68099999999998</v>
      </c>
      <c r="S20" s="25">
        <f>+S18-S19</f>
        <v>523.66399999999999</v>
      </c>
      <c r="T20" s="25">
        <f>+T18-T19</f>
        <v>581.56999999999994</v>
      </c>
      <c r="U20" s="25"/>
      <c r="V20" s="25"/>
      <c r="W20" s="25"/>
      <c r="AA20" s="2">
        <f>+AA18-AA19</f>
        <v>1322.239</v>
      </c>
      <c r="AB20" s="2">
        <f>+AB18-AB19</f>
        <v>1335.0219999999999</v>
      </c>
      <c r="AC20" s="2">
        <f>+AC18-AC19</f>
        <v>1375.8320000000003</v>
      </c>
      <c r="AD20" s="2">
        <f>+AD18-AD19</f>
        <v>1612.3529999999998</v>
      </c>
      <c r="AE20" s="2">
        <f>+AE18-AE19</f>
        <v>2228.0814928000004</v>
      </c>
      <c r="AF20" s="2">
        <f t="shared" ref="AF20:AL20" si="20">+AF18-AF19</f>
        <v>2830.0864749700004</v>
      </c>
      <c r="AG20" s="2">
        <f t="shared" si="20"/>
        <v>3303.0193236845203</v>
      </c>
      <c r="AH20" s="2">
        <f t="shared" si="20"/>
        <v>3782.5244758840881</v>
      </c>
      <c r="AI20" s="2">
        <f t="shared" si="20"/>
        <v>4189.770372753268</v>
      </c>
      <c r="AJ20" s="2">
        <f t="shared" si="20"/>
        <v>4667.1611001402771</v>
      </c>
      <c r="AK20" s="2">
        <f t="shared" si="20"/>
        <v>5227.5764453035599</v>
      </c>
      <c r="AL20" s="2">
        <f t="shared" si="20"/>
        <v>5749.9482126746934</v>
      </c>
    </row>
    <row r="21" spans="2:119" s="2" customFormat="1" x14ac:dyDescent="0.2">
      <c r="B21" s="2" t="s">
        <v>68</v>
      </c>
      <c r="C21" s="25"/>
      <c r="D21" s="25"/>
      <c r="E21" s="25">
        <v>147.053</v>
      </c>
      <c r="F21" s="25">
        <v>156.667</v>
      </c>
      <c r="G21" s="25">
        <v>148.72499999999999</v>
      </c>
      <c r="H21" s="25">
        <v>161.107</v>
      </c>
      <c r="I21" s="25">
        <v>157.869</v>
      </c>
      <c r="J21" s="25">
        <v>161.09200000000001</v>
      </c>
      <c r="K21" s="25">
        <v>160.83600000000001</v>
      </c>
      <c r="L21" s="25">
        <v>158.19</v>
      </c>
      <c r="M21" s="25">
        <v>157.82900000000001</v>
      </c>
      <c r="N21" s="25">
        <v>172.751</v>
      </c>
      <c r="O21" s="25">
        <v>171.846</v>
      </c>
      <c r="P21" s="25">
        <v>177.363</v>
      </c>
      <c r="Q21" s="25">
        <v>191.31399999999999</v>
      </c>
      <c r="R21" s="25">
        <v>206.25</v>
      </c>
      <c r="S21" s="25">
        <v>204.98699999999999</v>
      </c>
      <c r="T21" s="25">
        <v>183.78700000000001</v>
      </c>
      <c r="U21" s="25"/>
      <c r="V21" s="25"/>
      <c r="W21" s="25"/>
      <c r="AA21" s="2">
        <v>715.00699999999995</v>
      </c>
      <c r="AB21" s="2">
        <v>628.11599999999999</v>
      </c>
      <c r="AC21" s="2">
        <f t="shared" si="3"/>
        <v>628.79300000000001</v>
      </c>
      <c r="AD21" s="2">
        <f t="shared" si="4"/>
        <v>649.60599999999999</v>
      </c>
    </row>
    <row r="22" spans="2:119" s="2" customFormat="1" x14ac:dyDescent="0.2">
      <c r="B22" s="2" t="s">
        <v>69</v>
      </c>
      <c r="C22" s="25"/>
      <c r="D22" s="25"/>
      <c r="E22" s="25">
        <v>179.45</v>
      </c>
      <c r="F22" s="25">
        <v>195.512</v>
      </c>
      <c r="G22" s="25">
        <v>174.31800000000001</v>
      </c>
      <c r="H22" s="25">
        <v>184.161</v>
      </c>
      <c r="I22" s="25">
        <v>183.333</v>
      </c>
      <c r="J22" s="25">
        <v>217.56299999999999</v>
      </c>
      <c r="K22" s="25">
        <v>194.619</v>
      </c>
      <c r="L22" s="25">
        <v>196.83500000000001</v>
      </c>
      <c r="M22" s="25">
        <v>216.816</v>
      </c>
      <c r="N22" s="25">
        <v>245.739</v>
      </c>
      <c r="O22" s="25">
        <v>211.023</v>
      </c>
      <c r="P22" s="25">
        <v>206.10300000000001</v>
      </c>
      <c r="Q22" s="25">
        <v>223.928</v>
      </c>
      <c r="R22" s="25">
        <v>275.024</v>
      </c>
      <c r="S22" s="25">
        <v>225.90600000000001</v>
      </c>
      <c r="T22" s="25">
        <v>263.03199999999998</v>
      </c>
      <c r="U22" s="25"/>
      <c r="V22" s="25"/>
      <c r="W22" s="25"/>
      <c r="AA22" s="2">
        <v>680.92399999999998</v>
      </c>
      <c r="AB22" s="2">
        <v>737.66899999999998</v>
      </c>
      <c r="AC22" s="2">
        <f t="shared" si="3"/>
        <v>759.375</v>
      </c>
      <c r="AD22" s="2">
        <f t="shared" si="4"/>
        <v>854.00900000000001</v>
      </c>
      <c r="AE22" s="2">
        <f>+AD22*1.04</f>
        <v>888.1693600000001</v>
      </c>
      <c r="AF22" s="2">
        <f t="shared" ref="AF22:AL22" si="21">+AE22*1.04</f>
        <v>923.69613440000012</v>
      </c>
      <c r="AG22" s="2">
        <f t="shared" si="21"/>
        <v>960.64397977600015</v>
      </c>
      <c r="AH22" s="2">
        <f t="shared" si="21"/>
        <v>999.06973896704017</v>
      </c>
      <c r="AI22" s="2">
        <f t="shared" si="21"/>
        <v>1039.0325285257218</v>
      </c>
      <c r="AJ22" s="2">
        <f t="shared" si="21"/>
        <v>1080.5938296667507</v>
      </c>
      <c r="AK22" s="2">
        <f t="shared" si="21"/>
        <v>1123.8175828534208</v>
      </c>
      <c r="AL22" s="2">
        <f t="shared" si="21"/>
        <v>1168.7702861675577</v>
      </c>
    </row>
    <row r="23" spans="2:119" s="2" customFormat="1" x14ac:dyDescent="0.2">
      <c r="B23" s="2" t="s">
        <v>67</v>
      </c>
      <c r="C23" s="25"/>
      <c r="D23" s="25"/>
      <c r="E23" s="25">
        <f t="shared" ref="E23:L23" si="22">+E21+E22</f>
        <v>326.50299999999999</v>
      </c>
      <c r="F23" s="25">
        <f t="shared" si="22"/>
        <v>352.17899999999997</v>
      </c>
      <c r="G23" s="25">
        <f t="shared" si="22"/>
        <v>323.04300000000001</v>
      </c>
      <c r="H23" s="25">
        <f t="shared" si="22"/>
        <v>345.26800000000003</v>
      </c>
      <c r="I23" s="25">
        <f t="shared" si="22"/>
        <v>341.202</v>
      </c>
      <c r="J23" s="25">
        <f t="shared" si="22"/>
        <v>378.65499999999997</v>
      </c>
      <c r="K23" s="25">
        <f t="shared" si="22"/>
        <v>355.45500000000004</v>
      </c>
      <c r="L23" s="25">
        <f t="shared" si="22"/>
        <v>355.02499999999998</v>
      </c>
      <c r="M23" s="25">
        <f t="shared" ref="M23:N23" si="23">+M21+M22</f>
        <v>374.64499999999998</v>
      </c>
      <c r="N23" s="25">
        <f t="shared" si="23"/>
        <v>418.49</v>
      </c>
      <c r="O23" s="25">
        <f t="shared" ref="O23:T23" si="24">+O21+O22</f>
        <v>382.86900000000003</v>
      </c>
      <c r="P23" s="25">
        <f t="shared" si="24"/>
        <v>383.46600000000001</v>
      </c>
      <c r="Q23" s="25">
        <f t="shared" si="24"/>
        <v>415.24199999999996</v>
      </c>
      <c r="R23" s="25">
        <f t="shared" si="24"/>
        <v>481.274</v>
      </c>
      <c r="S23" s="25">
        <f t="shared" si="24"/>
        <v>430.89300000000003</v>
      </c>
      <c r="T23" s="25">
        <f t="shared" si="24"/>
        <v>446.81899999999996</v>
      </c>
      <c r="U23" s="25"/>
      <c r="V23" s="25"/>
      <c r="W23" s="25"/>
      <c r="AA23" s="2">
        <f>+AA22+AA21</f>
        <v>1395.931</v>
      </c>
      <c r="AB23" s="2">
        <f>+AB22+AB21</f>
        <v>1365.7849999999999</v>
      </c>
      <c r="AC23" s="2">
        <f>+AC22+AC21</f>
        <v>1388.1680000000001</v>
      </c>
      <c r="AD23" s="2">
        <f>+AD22+AD21</f>
        <v>1503.615</v>
      </c>
      <c r="AE23" s="2">
        <f t="shared" ref="AE23:AL23" si="25">+AE22+AE21</f>
        <v>888.1693600000001</v>
      </c>
      <c r="AF23" s="2">
        <f t="shared" si="25"/>
        <v>923.69613440000012</v>
      </c>
      <c r="AG23" s="2">
        <f t="shared" si="25"/>
        <v>960.64397977600015</v>
      </c>
      <c r="AH23" s="2">
        <f t="shared" si="25"/>
        <v>999.06973896704017</v>
      </c>
      <c r="AI23" s="2">
        <f t="shared" si="25"/>
        <v>1039.0325285257218</v>
      </c>
      <c r="AJ23" s="2">
        <f t="shared" si="25"/>
        <v>1080.5938296667507</v>
      </c>
      <c r="AK23" s="2">
        <f t="shared" si="25"/>
        <v>1123.8175828534208</v>
      </c>
      <c r="AL23" s="2">
        <f t="shared" si="25"/>
        <v>1168.7702861675577</v>
      </c>
    </row>
    <row r="24" spans="2:119" s="2" customFormat="1" x14ac:dyDescent="0.2">
      <c r="B24" s="2" t="s">
        <v>66</v>
      </c>
      <c r="C24" s="25"/>
      <c r="D24" s="25"/>
      <c r="E24" s="25">
        <f t="shared" ref="E24:L24" si="26">+E20-E23</f>
        <v>-38.553000000000054</v>
      </c>
      <c r="F24" s="25">
        <f t="shared" si="26"/>
        <v>-26.245000000000005</v>
      </c>
      <c r="G24" s="25">
        <f t="shared" si="26"/>
        <v>42.852000000000032</v>
      </c>
      <c r="H24" s="25">
        <f t="shared" si="26"/>
        <v>29.363</v>
      </c>
      <c r="I24" s="25">
        <f t="shared" si="26"/>
        <v>-35.937000000000012</v>
      </c>
      <c r="J24" s="25">
        <f t="shared" si="26"/>
        <v>-48.613999999999976</v>
      </c>
      <c r="K24" s="25">
        <f t="shared" si="26"/>
        <v>46.913999999999874</v>
      </c>
      <c r="L24" s="25">
        <f t="shared" si="26"/>
        <v>55.647000000000048</v>
      </c>
      <c r="M24" s="25">
        <f t="shared" ref="M24:N24" si="27">+M20-M23</f>
        <v>14.411000000000001</v>
      </c>
      <c r="N24" s="25">
        <f t="shared" si="27"/>
        <v>-8.2339999999999804</v>
      </c>
      <c r="O24" s="25">
        <f t="shared" ref="O24:T24" si="28">+O20-O23</f>
        <v>78.074000000000069</v>
      </c>
      <c r="P24" s="25">
        <f t="shared" si="28"/>
        <v>146.24299999999994</v>
      </c>
      <c r="Q24" s="25">
        <f t="shared" si="28"/>
        <v>41.375999999999976</v>
      </c>
      <c r="R24" s="25">
        <f t="shared" si="28"/>
        <v>29.406999999999982</v>
      </c>
      <c r="S24" s="25">
        <f t="shared" si="28"/>
        <v>92.770999999999958</v>
      </c>
      <c r="T24" s="25">
        <f t="shared" si="28"/>
        <v>134.75099999999998</v>
      </c>
      <c r="U24" s="25"/>
      <c r="V24" s="25"/>
      <c r="W24" s="25"/>
      <c r="AA24" s="2">
        <f>+AA20-AA23</f>
        <v>-73.692000000000007</v>
      </c>
      <c r="AB24" s="2">
        <f>+AB20-AB23</f>
        <v>-30.76299999999992</v>
      </c>
      <c r="AC24" s="2">
        <f>+AC20-AC23</f>
        <v>-12.335999999999785</v>
      </c>
      <c r="AD24" s="2">
        <f>+AD20-AD23</f>
        <v>108.73799999999983</v>
      </c>
      <c r="AE24" s="2">
        <f t="shared" ref="AE24:AL24" si="29">+AE20-AE23</f>
        <v>1339.9121328000003</v>
      </c>
      <c r="AF24" s="2">
        <f t="shared" si="29"/>
        <v>1906.3903405700003</v>
      </c>
      <c r="AG24" s="2">
        <f t="shared" si="29"/>
        <v>2342.3753439085203</v>
      </c>
      <c r="AH24" s="2">
        <f t="shared" si="29"/>
        <v>2783.4547369170477</v>
      </c>
      <c r="AI24" s="2">
        <f t="shared" si="29"/>
        <v>3150.7378442275462</v>
      </c>
      <c r="AJ24" s="2">
        <f t="shared" si="29"/>
        <v>3586.5672704735262</v>
      </c>
      <c r="AK24" s="2">
        <f t="shared" si="29"/>
        <v>4103.7588624501386</v>
      </c>
      <c r="AL24" s="2">
        <f t="shared" si="29"/>
        <v>4581.1779265071355</v>
      </c>
    </row>
    <row r="25" spans="2:119" s="2" customFormat="1" x14ac:dyDescent="0.2">
      <c r="B25" s="2" t="s">
        <v>72</v>
      </c>
      <c r="C25" s="25"/>
      <c r="D25" s="25"/>
      <c r="E25" s="25">
        <f>-0.921+4.004-9.597+1.239</f>
        <v>-5.2750000000000004</v>
      </c>
      <c r="F25" s="25">
        <f>3.071-4.749+6.333</f>
        <v>4.6550000000000011</v>
      </c>
      <c r="G25" s="25">
        <f>2.439-3.804-0.493</f>
        <v>-1.8579999999999997</v>
      </c>
      <c r="H25" s="25">
        <f>4.471-3.817+1.83</f>
        <v>2.484</v>
      </c>
      <c r="I25" s="25">
        <f>0.177+1.827-3.87+8.925</f>
        <v>7.0590000000000011</v>
      </c>
      <c r="J25" s="25">
        <f>1.745-3.846+1.407</f>
        <v>-0.69399999999999995</v>
      </c>
      <c r="K25" s="25">
        <f>1.82-3.806-1.154</f>
        <v>-3.1399999999999997</v>
      </c>
      <c r="L25" s="25">
        <f>2.505-3.859-2.947</f>
        <v>-4.3010000000000002</v>
      </c>
      <c r="M25" s="25">
        <f>4.999-4.679+0.193</f>
        <v>0.51299999999999946</v>
      </c>
      <c r="N25" s="25">
        <f>8.71-3.626+1.858</f>
        <v>6.9420000000000019</v>
      </c>
      <c r="O25" s="25">
        <f>11.943-3.703-13.887</f>
        <v>-5.6470000000000002</v>
      </c>
      <c r="P25" s="25">
        <f>12.612-3.755-3.613</f>
        <v>5.2439999999999998</v>
      </c>
      <c r="Q25" s="25">
        <f>15.74-3.779+4.047</f>
        <v>16.007999999999999</v>
      </c>
      <c r="R25" s="25">
        <f>18.044-6.098-6.838</f>
        <v>5.1080000000000014</v>
      </c>
      <c r="S25" s="25">
        <f>19.365-3.547+1.267</f>
        <v>17.084999999999997</v>
      </c>
      <c r="T25" s="25">
        <f>19.785-3.574-4.527</f>
        <v>11.683999999999997</v>
      </c>
      <c r="U25" s="25"/>
      <c r="V25" s="25"/>
      <c r="W25" s="25"/>
      <c r="AA25" s="2">
        <f>-0.587+22.748-23.46+6.945</f>
        <v>5.6460000000000008</v>
      </c>
      <c r="AB25" s="2">
        <f>16.61-29.309+7.142</f>
        <v>-5.5570000000000013</v>
      </c>
      <c r="AC25" s="2">
        <f t="shared" ref="AC25" si="30">SUM(G25:J25)</f>
        <v>6.9910000000000014</v>
      </c>
      <c r="AD25" s="2">
        <f t="shared" ref="AD25:AD27" si="31">SUM(K25:N25)</f>
        <v>1.4000000000001123E-2</v>
      </c>
      <c r="AE25" s="2">
        <f>+AD37*$AO$35</f>
        <v>0</v>
      </c>
      <c r="AF25" s="2">
        <f t="shared" ref="AF25:AL25" si="32">+AE37*$AO$35</f>
        <v>26.798242656000006</v>
      </c>
      <c r="AG25" s="2">
        <f t="shared" si="32"/>
        <v>65.462014320520012</v>
      </c>
      <c r="AH25" s="2">
        <f t="shared" si="32"/>
        <v>108.80308676864276</v>
      </c>
      <c r="AI25" s="2">
        <f t="shared" si="32"/>
        <v>155.0792119476138</v>
      </c>
      <c r="AJ25" s="2">
        <f t="shared" si="32"/>
        <v>207.97228484641639</v>
      </c>
      <c r="AK25" s="2">
        <f t="shared" si="32"/>
        <v>268.68491773153545</v>
      </c>
      <c r="AL25" s="2">
        <f t="shared" si="32"/>
        <v>338.64401821444227</v>
      </c>
    </row>
    <row r="26" spans="2:119" s="2" customFormat="1" x14ac:dyDescent="0.2">
      <c r="B26" s="2" t="s">
        <v>73</v>
      </c>
      <c r="C26" s="25"/>
      <c r="D26" s="25"/>
      <c r="E26" s="25">
        <f t="shared" ref="E26:T26" si="33">+E24+E25</f>
        <v>-43.828000000000053</v>
      </c>
      <c r="F26" s="25">
        <f t="shared" si="33"/>
        <v>-21.590000000000003</v>
      </c>
      <c r="G26" s="25">
        <f t="shared" si="33"/>
        <v>40.994000000000035</v>
      </c>
      <c r="H26" s="25">
        <f t="shared" si="33"/>
        <v>31.847000000000001</v>
      </c>
      <c r="I26" s="25">
        <f t="shared" si="33"/>
        <v>-28.878000000000011</v>
      </c>
      <c r="J26" s="25">
        <f t="shared" si="33"/>
        <v>-49.307999999999979</v>
      </c>
      <c r="K26" s="25">
        <f t="shared" si="33"/>
        <v>43.773999999999873</v>
      </c>
      <c r="L26" s="25">
        <f t="shared" si="33"/>
        <v>51.346000000000046</v>
      </c>
      <c r="M26" s="25">
        <f t="shared" si="33"/>
        <v>14.924000000000001</v>
      </c>
      <c r="N26" s="25">
        <f t="shared" si="33"/>
        <v>-1.2919999999999785</v>
      </c>
      <c r="O26" s="25">
        <f t="shared" si="33"/>
        <v>72.427000000000064</v>
      </c>
      <c r="P26" s="25">
        <f t="shared" si="33"/>
        <v>151.48699999999994</v>
      </c>
      <c r="Q26" s="25">
        <f t="shared" si="33"/>
        <v>57.383999999999972</v>
      </c>
      <c r="R26" s="25">
        <f t="shared" si="33"/>
        <v>34.514999999999986</v>
      </c>
      <c r="S26" s="25">
        <f t="shared" si="33"/>
        <v>109.85599999999995</v>
      </c>
      <c r="T26" s="25">
        <f t="shared" si="33"/>
        <v>146.43499999999997</v>
      </c>
      <c r="U26" s="25"/>
      <c r="V26" s="25"/>
      <c r="W26" s="25"/>
      <c r="AA26" s="2">
        <f>+AA24+AA25</f>
        <v>-68.046000000000006</v>
      </c>
      <c r="AB26" s="2">
        <f>+AB24+AB25</f>
        <v>-36.319999999999922</v>
      </c>
      <c r="AC26" s="2">
        <f>+AC24+AC25</f>
        <v>-5.3449999999997839</v>
      </c>
      <c r="AD26" s="2">
        <f>+AD24+AD25</f>
        <v>108.75199999999982</v>
      </c>
      <c r="AE26" s="2">
        <f t="shared" ref="AE26:AL26" si="34">+AE24+AE25</f>
        <v>1339.9121328000003</v>
      </c>
      <c r="AF26" s="2">
        <f t="shared" si="34"/>
        <v>1933.1885832260002</v>
      </c>
      <c r="AG26" s="2">
        <f t="shared" si="34"/>
        <v>2407.8373582290405</v>
      </c>
      <c r="AH26" s="2">
        <f t="shared" si="34"/>
        <v>2892.2578236856907</v>
      </c>
      <c r="AI26" s="2">
        <f t="shared" si="34"/>
        <v>3305.8170561751599</v>
      </c>
      <c r="AJ26" s="2">
        <f t="shared" si="34"/>
        <v>3794.5395553199423</v>
      </c>
      <c r="AK26" s="2">
        <f t="shared" si="34"/>
        <v>4372.4437801816739</v>
      </c>
      <c r="AL26" s="2">
        <f t="shared" si="34"/>
        <v>4919.8219447215779</v>
      </c>
    </row>
    <row r="27" spans="2:119" s="2" customFormat="1" x14ac:dyDescent="0.2">
      <c r="B27" s="2" t="s">
        <v>74</v>
      </c>
      <c r="C27" s="25"/>
      <c r="D27" s="25"/>
      <c r="E27" s="25">
        <v>0</v>
      </c>
      <c r="F27" s="25">
        <v>0</v>
      </c>
      <c r="G27" s="25">
        <v>5.8570000000000002</v>
      </c>
      <c r="H27" s="25">
        <v>1.2150000000000001</v>
      </c>
      <c r="I27" s="25">
        <v>-9.6660000000000004</v>
      </c>
      <c r="J27" s="25">
        <v>-8.6760000000000002</v>
      </c>
      <c r="K27" s="25">
        <v>13.388999999999999</v>
      </c>
      <c r="L27" s="25">
        <v>7.1870000000000003</v>
      </c>
      <c r="M27" s="25">
        <v>4.7480000000000002</v>
      </c>
      <c r="N27" s="25">
        <v>-17.309000000000001</v>
      </c>
      <c r="O27" s="25">
        <v>5.9050000000000002</v>
      </c>
      <c r="P27" s="25">
        <v>14.77</v>
      </c>
      <c r="Q27" s="25">
        <v>1.2909999999999999</v>
      </c>
      <c r="R27" s="25">
        <v>-1.048</v>
      </c>
      <c r="S27" s="25">
        <v>16.885000000000002</v>
      </c>
      <c r="T27" s="25">
        <v>24.962</v>
      </c>
      <c r="U27" s="25"/>
      <c r="V27" s="25"/>
      <c r="W27" s="25"/>
      <c r="AA27" s="2">
        <v>0</v>
      </c>
      <c r="AB27" s="2">
        <v>0</v>
      </c>
      <c r="AC27" s="2">
        <f t="shared" ref="AC27" si="35">SUM(G27:J27)</f>
        <v>-11.27</v>
      </c>
      <c r="AD27" s="2">
        <f t="shared" si="31"/>
        <v>8.0150000000000006</v>
      </c>
      <c r="AE27" s="2">
        <f>+AE26*0</f>
        <v>0</v>
      </c>
      <c r="AF27" s="2">
        <f>+AF26*0</f>
        <v>0</v>
      </c>
      <c r="AG27" s="2">
        <f>+AG26*0.1</f>
        <v>240.78373582290408</v>
      </c>
      <c r="AH27" s="2">
        <f>+AH26*0.2</f>
        <v>578.45156473713814</v>
      </c>
      <c r="AI27" s="2">
        <f t="shared" ref="AI27:AL27" si="36">+AI26*0.2</f>
        <v>661.16341123503207</v>
      </c>
      <c r="AJ27" s="2">
        <f t="shared" si="36"/>
        <v>758.90791106398854</v>
      </c>
      <c r="AK27" s="2">
        <f t="shared" si="36"/>
        <v>874.48875603633485</v>
      </c>
      <c r="AL27" s="2">
        <f t="shared" si="36"/>
        <v>983.9643889443156</v>
      </c>
    </row>
    <row r="28" spans="2:119" s="2" customFormat="1" x14ac:dyDescent="0.2">
      <c r="B28" s="2" t="s">
        <v>71</v>
      </c>
      <c r="C28" s="25"/>
      <c r="D28" s="25"/>
      <c r="E28" s="25">
        <f t="shared" ref="E28:T28" si="37">+E26-E27</f>
        <v>-43.828000000000053</v>
      </c>
      <c r="F28" s="25">
        <f t="shared" si="37"/>
        <v>-21.590000000000003</v>
      </c>
      <c r="G28" s="25">
        <f t="shared" si="37"/>
        <v>35.137000000000036</v>
      </c>
      <c r="H28" s="25">
        <f t="shared" si="37"/>
        <v>30.632000000000001</v>
      </c>
      <c r="I28" s="25">
        <f t="shared" si="37"/>
        <v>-19.21200000000001</v>
      </c>
      <c r="J28" s="25">
        <f t="shared" si="37"/>
        <v>-40.631999999999977</v>
      </c>
      <c r="K28" s="25">
        <f t="shared" si="37"/>
        <v>30.384999999999874</v>
      </c>
      <c r="L28" s="25">
        <f t="shared" si="37"/>
        <v>44.159000000000049</v>
      </c>
      <c r="M28" s="25">
        <f t="shared" si="37"/>
        <v>10.176000000000002</v>
      </c>
      <c r="N28" s="25">
        <f t="shared" si="37"/>
        <v>16.017000000000024</v>
      </c>
      <c r="O28" s="25">
        <f t="shared" si="37"/>
        <v>66.522000000000062</v>
      </c>
      <c r="P28" s="25">
        <f t="shared" si="37"/>
        <v>136.71699999999993</v>
      </c>
      <c r="Q28" s="25">
        <f t="shared" si="37"/>
        <v>56.092999999999975</v>
      </c>
      <c r="R28" s="25">
        <f t="shared" si="37"/>
        <v>35.562999999999988</v>
      </c>
      <c r="S28" s="25">
        <f t="shared" si="37"/>
        <v>92.970999999999947</v>
      </c>
      <c r="T28" s="25">
        <f t="shared" si="37"/>
        <v>121.47299999999997</v>
      </c>
      <c r="U28" s="25"/>
      <c r="V28" s="25"/>
      <c r="W28" s="25"/>
      <c r="AA28" s="2">
        <f>+AA26-AA27</f>
        <v>-68.046000000000006</v>
      </c>
      <c r="AB28" s="2">
        <f>+AB26-AB27</f>
        <v>-36.319999999999922</v>
      </c>
      <c r="AC28" s="2">
        <f>+AC26-AC27</f>
        <v>5.9250000000002156</v>
      </c>
      <c r="AD28" s="2">
        <f>+AD26-AD27</f>
        <v>100.73699999999982</v>
      </c>
      <c r="AE28" s="2">
        <f t="shared" ref="AE28:AL28" si="38">+AE26-AE27</f>
        <v>1339.9121328000003</v>
      </c>
      <c r="AF28" s="2">
        <f t="shared" si="38"/>
        <v>1933.1885832260002</v>
      </c>
      <c r="AG28" s="2">
        <f t="shared" si="38"/>
        <v>2167.0536224061366</v>
      </c>
      <c r="AH28" s="2">
        <f t="shared" si="38"/>
        <v>2313.8062589485526</v>
      </c>
      <c r="AI28" s="2">
        <f t="shared" si="38"/>
        <v>2644.6536449401278</v>
      </c>
      <c r="AJ28" s="2">
        <f t="shared" si="38"/>
        <v>3035.6316442559537</v>
      </c>
      <c r="AK28" s="2">
        <f t="shared" si="38"/>
        <v>3497.9550241453389</v>
      </c>
      <c r="AL28" s="2">
        <f t="shared" si="38"/>
        <v>3935.8575557772624</v>
      </c>
      <c r="AM28" s="2">
        <f>+AL28*(1+$AO$34)</f>
        <v>3896.4989802194896</v>
      </c>
      <c r="AN28" s="2">
        <f t="shared" ref="AN28:CY28" si="39">+AM28*(1+$AO$34)</f>
        <v>3857.5339904172947</v>
      </c>
      <c r="AO28" s="2">
        <f t="shared" si="39"/>
        <v>3818.9586505131219</v>
      </c>
      <c r="AP28" s="2">
        <f t="shared" si="39"/>
        <v>3780.7690640079909</v>
      </c>
      <c r="AQ28" s="2">
        <f t="shared" si="39"/>
        <v>3742.9613733679112</v>
      </c>
      <c r="AR28" s="2">
        <f t="shared" si="39"/>
        <v>3705.531759634232</v>
      </c>
      <c r="AS28" s="2">
        <f t="shared" si="39"/>
        <v>3668.4764420378897</v>
      </c>
      <c r="AT28" s="2">
        <f t="shared" si="39"/>
        <v>3631.7916776175107</v>
      </c>
      <c r="AU28" s="2">
        <f t="shared" si="39"/>
        <v>3595.4737608413357</v>
      </c>
      <c r="AV28" s="2">
        <f t="shared" si="39"/>
        <v>3559.5190232329223</v>
      </c>
      <c r="AW28" s="2">
        <f t="shared" si="39"/>
        <v>3523.9238330005933</v>
      </c>
      <c r="AX28" s="2">
        <f t="shared" si="39"/>
        <v>3488.6845946705871</v>
      </c>
      <c r="AY28" s="2">
        <f t="shared" si="39"/>
        <v>3453.7977487238813</v>
      </c>
      <c r="AZ28" s="2">
        <f t="shared" si="39"/>
        <v>3419.2597712366423</v>
      </c>
      <c r="BA28" s="2">
        <f t="shared" si="39"/>
        <v>3385.0671735242759</v>
      </c>
      <c r="BB28" s="2">
        <f t="shared" si="39"/>
        <v>3351.2165017890329</v>
      </c>
      <c r="BC28" s="2">
        <f t="shared" si="39"/>
        <v>3317.7043367711426</v>
      </c>
      <c r="BD28" s="2">
        <f t="shared" si="39"/>
        <v>3284.527293403431</v>
      </c>
      <c r="BE28" s="2">
        <f t="shared" si="39"/>
        <v>3251.6820204693968</v>
      </c>
      <c r="BF28" s="2">
        <f t="shared" si="39"/>
        <v>3219.1652002647029</v>
      </c>
      <c r="BG28" s="2">
        <f t="shared" si="39"/>
        <v>3186.9735482620558</v>
      </c>
      <c r="BH28" s="2">
        <f t="shared" si="39"/>
        <v>3155.1038127794354</v>
      </c>
      <c r="BI28" s="2">
        <f t="shared" si="39"/>
        <v>3123.5527746516409</v>
      </c>
      <c r="BJ28" s="2">
        <f t="shared" si="39"/>
        <v>3092.3172469051246</v>
      </c>
      <c r="BK28" s="2">
        <f t="shared" si="39"/>
        <v>3061.3940744360734</v>
      </c>
      <c r="BL28" s="2">
        <f t="shared" si="39"/>
        <v>3030.7801336917128</v>
      </c>
      <c r="BM28" s="2">
        <f t="shared" si="39"/>
        <v>3000.4723323547955</v>
      </c>
      <c r="BN28" s="2">
        <f t="shared" si="39"/>
        <v>2970.4676090312473</v>
      </c>
      <c r="BO28" s="2">
        <f t="shared" si="39"/>
        <v>2940.7629329409347</v>
      </c>
      <c r="BP28" s="2">
        <f t="shared" si="39"/>
        <v>2911.3553036115254</v>
      </c>
      <c r="BQ28" s="2">
        <f t="shared" si="39"/>
        <v>2882.2417505754102</v>
      </c>
      <c r="BR28" s="2">
        <f t="shared" si="39"/>
        <v>2853.4193330696562</v>
      </c>
      <c r="BS28" s="2">
        <f t="shared" si="39"/>
        <v>2824.8851397389594</v>
      </c>
      <c r="BT28" s="2">
        <f t="shared" si="39"/>
        <v>2796.63628834157</v>
      </c>
      <c r="BU28" s="2">
        <f t="shared" si="39"/>
        <v>2768.6699254581545</v>
      </c>
      <c r="BV28" s="2">
        <f t="shared" si="39"/>
        <v>2740.9832262035729</v>
      </c>
      <c r="BW28" s="2">
        <f t="shared" si="39"/>
        <v>2713.5733939415372</v>
      </c>
      <c r="BX28" s="2">
        <f t="shared" si="39"/>
        <v>2686.4376600021219</v>
      </c>
      <c r="BY28" s="2">
        <f t="shared" si="39"/>
        <v>2659.5732834021005</v>
      </c>
      <c r="BZ28" s="2">
        <f t="shared" si="39"/>
        <v>2632.9775505680796</v>
      </c>
      <c r="CA28" s="2">
        <f t="shared" si="39"/>
        <v>2606.6477750623985</v>
      </c>
      <c r="CB28" s="2">
        <f t="shared" si="39"/>
        <v>2580.5812973117745</v>
      </c>
      <c r="CC28" s="2">
        <f t="shared" si="39"/>
        <v>2554.775484338657</v>
      </c>
      <c r="CD28" s="2">
        <f t="shared" si="39"/>
        <v>2529.2277294952705</v>
      </c>
      <c r="CE28" s="2">
        <f t="shared" si="39"/>
        <v>2503.9354522003177</v>
      </c>
      <c r="CF28" s="2">
        <f t="shared" si="39"/>
        <v>2478.8960976783146</v>
      </c>
      <c r="CG28" s="2">
        <f t="shared" si="39"/>
        <v>2454.1071367015315</v>
      </c>
      <c r="CH28" s="2">
        <f t="shared" si="39"/>
        <v>2429.5660653345162</v>
      </c>
      <c r="CI28" s="2">
        <f t="shared" si="39"/>
        <v>2405.2704046811709</v>
      </c>
      <c r="CJ28" s="2">
        <f t="shared" si="39"/>
        <v>2381.2177006343591</v>
      </c>
      <c r="CK28" s="2">
        <f t="shared" si="39"/>
        <v>2357.4055236280155</v>
      </c>
      <c r="CL28" s="2">
        <f t="shared" si="39"/>
        <v>2333.8314683917351</v>
      </c>
      <c r="CM28" s="2">
        <f t="shared" si="39"/>
        <v>2310.4931537078178</v>
      </c>
      <c r="CN28" s="2">
        <f t="shared" si="39"/>
        <v>2287.3882221707395</v>
      </c>
      <c r="CO28" s="2">
        <f t="shared" si="39"/>
        <v>2264.5143399490321</v>
      </c>
      <c r="CP28" s="2">
        <f t="shared" si="39"/>
        <v>2241.8691965495418</v>
      </c>
      <c r="CQ28" s="2">
        <f t="shared" si="39"/>
        <v>2219.4505045840465</v>
      </c>
      <c r="CR28" s="2">
        <f t="shared" si="39"/>
        <v>2197.2559995382062</v>
      </c>
      <c r="CS28" s="2">
        <f t="shared" si="39"/>
        <v>2175.283439542824</v>
      </c>
      <c r="CT28" s="2">
        <f t="shared" si="39"/>
        <v>2153.5306051473958</v>
      </c>
      <c r="CU28" s="2">
        <f t="shared" si="39"/>
        <v>2131.9952990959218</v>
      </c>
      <c r="CV28" s="2">
        <f t="shared" si="39"/>
        <v>2110.6753461049625</v>
      </c>
      <c r="CW28" s="2">
        <f t="shared" si="39"/>
        <v>2089.5685926439128</v>
      </c>
      <c r="CX28" s="2">
        <f t="shared" si="39"/>
        <v>2068.6729067174738</v>
      </c>
      <c r="CY28" s="2">
        <f t="shared" si="39"/>
        <v>2047.9861776502989</v>
      </c>
      <c r="CZ28" s="2">
        <f t="shared" ref="CZ28:DO28" si="40">+CY28*(1+$AO$34)</f>
        <v>2027.506315873796</v>
      </c>
      <c r="DA28" s="2">
        <f t="shared" si="40"/>
        <v>2007.231252715058</v>
      </c>
      <c r="DB28" s="2">
        <f t="shared" si="40"/>
        <v>1987.1589401879073</v>
      </c>
      <c r="DC28" s="2">
        <f t="shared" si="40"/>
        <v>1967.2873507860281</v>
      </c>
      <c r="DD28" s="2">
        <f t="shared" si="40"/>
        <v>1947.6144772781679</v>
      </c>
      <c r="DE28" s="2">
        <f t="shared" si="40"/>
        <v>1928.1383325053862</v>
      </c>
      <c r="DF28" s="2">
        <f t="shared" si="40"/>
        <v>1908.8569491803323</v>
      </c>
      <c r="DG28" s="2">
        <f t="shared" si="40"/>
        <v>1889.768379688529</v>
      </c>
      <c r="DH28" s="2">
        <f t="shared" si="40"/>
        <v>1870.8706958916437</v>
      </c>
      <c r="DI28" s="2">
        <f t="shared" si="40"/>
        <v>1852.1619889327271</v>
      </c>
      <c r="DJ28" s="2">
        <f t="shared" si="40"/>
        <v>1833.6403690433999</v>
      </c>
      <c r="DK28" s="2">
        <f t="shared" si="40"/>
        <v>1815.3039653529659</v>
      </c>
      <c r="DL28" s="2">
        <f t="shared" si="40"/>
        <v>1797.1509256994361</v>
      </c>
      <c r="DM28" s="2">
        <f t="shared" si="40"/>
        <v>1779.1794164424418</v>
      </c>
      <c r="DN28" s="2">
        <f t="shared" si="40"/>
        <v>1761.3876222780175</v>
      </c>
      <c r="DO28" s="2">
        <f t="shared" si="40"/>
        <v>1743.7737460552373</v>
      </c>
    </row>
    <row r="29" spans="2:119" x14ac:dyDescent="0.2">
      <c r="B29" t="s">
        <v>70</v>
      </c>
      <c r="E29" s="27">
        <f t="shared" ref="E29:Q29" si="41">+E28/E30</f>
        <v>-0.22171858716877307</v>
      </c>
      <c r="F29" s="27">
        <f t="shared" si="41"/>
        <v>-0.11703419414991655</v>
      </c>
      <c r="G29" s="27">
        <f t="shared" si="41"/>
        <v>0.19058389607571954</v>
      </c>
      <c r="H29" s="27">
        <f t="shared" si="41"/>
        <v>0.16519708564556404</v>
      </c>
      <c r="I29" s="27">
        <f t="shared" si="41"/>
        <v>-0.10486098223934857</v>
      </c>
      <c r="J29" s="27">
        <f t="shared" si="41"/>
        <v>-0.22136265077306938</v>
      </c>
      <c r="K29" s="27">
        <f t="shared" si="41"/>
        <v>0.15591166117627678</v>
      </c>
      <c r="L29" s="27">
        <f t="shared" si="41"/>
        <v>0.23558000085357031</v>
      </c>
      <c r="M29" s="27">
        <f t="shared" si="41"/>
        <v>5.4828472442981308E-2</v>
      </c>
      <c r="N29" s="27">
        <f t="shared" si="41"/>
        <v>8.6099941944223587E-2</v>
      </c>
      <c r="O29" s="27">
        <f t="shared" si="41"/>
        <v>0.34225649943662151</v>
      </c>
      <c r="P29" s="27">
        <f t="shared" si="41"/>
        <v>0.70112001148729697</v>
      </c>
      <c r="Q29" s="27">
        <f t="shared" si="41"/>
        <v>0.29341486506985803</v>
      </c>
      <c r="R29" s="27">
        <f>R28/R30</f>
        <v>0.1853803730230715</v>
      </c>
      <c r="S29" s="27">
        <f>S28/S30</f>
        <v>0.46657666790456759</v>
      </c>
      <c r="T29" s="27">
        <f>T28/T30</f>
        <v>0.60583526595346737</v>
      </c>
      <c r="U29" s="27"/>
      <c r="V29" s="27"/>
      <c r="W29" s="27"/>
      <c r="AA29" s="1">
        <f>+AA28/AA30</f>
        <v>-0.3800624444953335</v>
      </c>
      <c r="AB29" s="1">
        <f>+AB28/AB30</f>
        <v>-0.18948444787612517</v>
      </c>
      <c r="AC29" s="1">
        <f>+AC28/AC30</f>
        <v>3.2176604757251086E-2</v>
      </c>
      <c r="AD29" s="1">
        <f>+AD28/AD30</f>
        <v>0.53444285431966365</v>
      </c>
      <c r="AE29" s="1">
        <f t="shared" ref="AE29:AL29" si="42">+AE28/AE30</f>
        <v>7.1086737225764276</v>
      </c>
      <c r="AF29" s="1">
        <f t="shared" si="42"/>
        <v>10.256200049212225</v>
      </c>
      <c r="AG29" s="1">
        <f t="shared" si="42"/>
        <v>11.496930853832298</v>
      </c>
      <c r="AH29" s="1">
        <f t="shared" si="42"/>
        <v>12.275501765738202</v>
      </c>
      <c r="AI29" s="1">
        <f t="shared" si="42"/>
        <v>14.030755756958284</v>
      </c>
      <c r="AJ29" s="1">
        <f t="shared" si="42"/>
        <v>16.105022391169566</v>
      </c>
      <c r="AK29" s="1">
        <f t="shared" si="42"/>
        <v>18.557799690144098</v>
      </c>
      <c r="AL29" s="1">
        <f t="shared" si="42"/>
        <v>20.881016372387688</v>
      </c>
    </row>
    <row r="30" spans="2:119" x14ac:dyDescent="0.2">
      <c r="B30" t="s">
        <v>1</v>
      </c>
      <c r="E30" s="25">
        <v>197.67400000000001</v>
      </c>
      <c r="F30" s="25">
        <v>184.476</v>
      </c>
      <c r="G30" s="25">
        <v>184.36500000000001</v>
      </c>
      <c r="H30" s="25">
        <v>185.42699999999999</v>
      </c>
      <c r="I30" s="25">
        <v>183.214</v>
      </c>
      <c r="J30" s="25">
        <v>183.554</v>
      </c>
      <c r="K30" s="25">
        <v>194.886</v>
      </c>
      <c r="L30" s="25">
        <v>187.44800000000001</v>
      </c>
      <c r="M30" s="25">
        <v>185.59700000000001</v>
      </c>
      <c r="N30" s="25">
        <v>186.02799999999999</v>
      </c>
      <c r="O30" s="25">
        <v>194.363</v>
      </c>
      <c r="P30" s="25">
        <v>194.99799999999999</v>
      </c>
      <c r="Q30" s="25">
        <v>191.173</v>
      </c>
      <c r="R30" s="25">
        <v>191.83799999999999</v>
      </c>
      <c r="S30" s="25">
        <v>199.262</v>
      </c>
      <c r="T30" s="25">
        <v>200.505</v>
      </c>
      <c r="U30" s="25"/>
      <c r="V30" s="25"/>
      <c r="W30" s="25"/>
      <c r="AA30" s="2">
        <v>179.03899999999999</v>
      </c>
      <c r="AB30" s="2">
        <v>191.678</v>
      </c>
      <c r="AC30" s="2">
        <f>AVERAGE(G30:J30)</f>
        <v>184.14000000000001</v>
      </c>
      <c r="AD30" s="2">
        <f>AVERAGE(K30:N30)</f>
        <v>188.48975000000002</v>
      </c>
      <c r="AE30" s="2">
        <f>+AD30</f>
        <v>188.48975000000002</v>
      </c>
      <c r="AF30" s="2">
        <f t="shared" ref="AF30:AL30" si="43">+AE30</f>
        <v>188.48975000000002</v>
      </c>
      <c r="AG30" s="2">
        <f t="shared" si="43"/>
        <v>188.48975000000002</v>
      </c>
      <c r="AH30" s="2">
        <f t="shared" si="43"/>
        <v>188.48975000000002</v>
      </c>
      <c r="AI30" s="2">
        <f t="shared" si="43"/>
        <v>188.48975000000002</v>
      </c>
      <c r="AJ30" s="2">
        <f t="shared" si="43"/>
        <v>188.48975000000002</v>
      </c>
      <c r="AK30" s="2">
        <f t="shared" si="43"/>
        <v>188.48975000000002</v>
      </c>
      <c r="AL30" s="2">
        <f t="shared" si="43"/>
        <v>188.48975000000002</v>
      </c>
    </row>
    <row r="32" spans="2:119" s="23" customFormat="1" x14ac:dyDescent="0.2">
      <c r="B32" s="23" t="s">
        <v>75</v>
      </c>
      <c r="C32" s="24"/>
      <c r="D32" s="24"/>
      <c r="E32" s="24"/>
      <c r="F32" s="24"/>
      <c r="G32" s="24"/>
      <c r="H32" s="24"/>
      <c r="I32" s="28">
        <f t="shared" ref="I32:N32" si="44">+I18/E18-1</f>
        <v>-0.14251074478282844</v>
      </c>
      <c r="J32" s="28">
        <f t="shared" si="44"/>
        <v>-5.0456564441062612E-3</v>
      </c>
      <c r="K32" s="28">
        <f t="shared" si="44"/>
        <v>6.8454370953439758E-2</v>
      </c>
      <c r="L32" s="28">
        <f t="shared" si="44"/>
        <v>6.3993318623142059E-2</v>
      </c>
      <c r="M32" s="28">
        <f t="shared" si="44"/>
        <v>0.23615833582027501</v>
      </c>
      <c r="N32" s="28">
        <f t="shared" si="44"/>
        <v>0.19510172502339995</v>
      </c>
      <c r="O32" s="28">
        <f t="shared" ref="O32" si="45">+O18/K18-1</f>
        <v>0.14842278764725614</v>
      </c>
      <c r="P32" s="28">
        <f t="shared" ref="P32" si="46">+P18/L18-1</f>
        <v>0.11516903397914557</v>
      </c>
      <c r="Q32" s="28">
        <f t="shared" ref="Q32" si="47">+Q18/M18-1</f>
        <v>0.15043020200101309</v>
      </c>
      <c r="R32" s="28">
        <f t="shared" ref="R32" si="48">+R18/N18-1</f>
        <v>0.2020534056620269</v>
      </c>
      <c r="S32" s="28">
        <f t="shared" ref="S32" si="49">+S18/O18-1</f>
        <v>8.7906910456645004E-2</v>
      </c>
      <c r="T32" s="28">
        <f t="shared" ref="T32" si="50">+T18/P18-1</f>
        <v>0.1961345596573012</v>
      </c>
      <c r="U32" s="28"/>
      <c r="V32" s="28"/>
      <c r="W32" s="28"/>
      <c r="AB32" s="29">
        <f>+AB18/AA18-1</f>
        <v>0.10560056609215063</v>
      </c>
      <c r="AC32" s="29">
        <f>+AC18/AB18-1</f>
        <v>-6.9633957835607552E-3</v>
      </c>
      <c r="AD32" s="29">
        <f>+AD18/AC18-1</f>
        <v>0.13522647692985101</v>
      </c>
      <c r="AE32" s="29">
        <f t="shared" ref="AE32:AL32" si="51">+AE18/AD18-1</f>
        <v>0.34557572391892855</v>
      </c>
      <c r="AF32" s="29">
        <f t="shared" si="51"/>
        <v>0.27018984005538704</v>
      </c>
      <c r="AG32" s="29">
        <f t="shared" si="51"/>
        <v>0.16710897454804208</v>
      </c>
      <c r="AH32" s="29">
        <f t="shared" si="51"/>
        <v>0.14517176716504321</v>
      </c>
      <c r="AI32" s="29">
        <f t="shared" si="51"/>
        <v>0.10766510553087549</v>
      </c>
      <c r="AJ32" s="29">
        <f t="shared" si="51"/>
        <v>0.11394197889496671</v>
      </c>
      <c r="AK32" s="29">
        <f t="shared" si="51"/>
        <v>0.12007628044946617</v>
      </c>
      <c r="AL32" s="29">
        <f t="shared" si="51"/>
        <v>9.9926184310596078E-2</v>
      </c>
    </row>
    <row r="33" spans="2:41" x14ac:dyDescent="0.2">
      <c r="B33" t="s">
        <v>76</v>
      </c>
      <c r="E33" s="16">
        <f t="shared" ref="E33:L33" si="52">+E20/E18</f>
        <v>0.6039941855465103</v>
      </c>
      <c r="F33" s="16">
        <f t="shared" si="52"/>
        <v>0.72097807428905125</v>
      </c>
      <c r="G33" s="16">
        <f t="shared" si="52"/>
        <v>0.75277588615420699</v>
      </c>
      <c r="H33" s="16">
        <f t="shared" si="52"/>
        <v>0.74673356016528036</v>
      </c>
      <c r="I33" s="16">
        <f t="shared" si="52"/>
        <v>0.74673069114143276</v>
      </c>
      <c r="J33" s="16">
        <f t="shared" si="52"/>
        <v>0.73376523763258938</v>
      </c>
      <c r="K33" s="16">
        <f t="shared" si="52"/>
        <v>0.77477885137503022</v>
      </c>
      <c r="L33" s="16">
        <f t="shared" si="52"/>
        <v>0.7693397127752446</v>
      </c>
      <c r="M33" s="16">
        <f t="shared" ref="M33:N33" si="53">+M20/M18</f>
        <v>0.76988348530901718</v>
      </c>
      <c r="N33" s="16">
        <f t="shared" si="53"/>
        <v>0.7632016608811153</v>
      </c>
      <c r="O33" s="16">
        <f t="shared" ref="O33:T33" si="54">+O20/O18</f>
        <v>0.77285614882254816</v>
      </c>
      <c r="P33" s="16">
        <f t="shared" si="54"/>
        <v>0.88985594893116626</v>
      </c>
      <c r="Q33" s="16">
        <f t="shared" si="54"/>
        <v>0.78542666113942572</v>
      </c>
      <c r="R33" s="16">
        <f t="shared" si="54"/>
        <v>0.79033333900789127</v>
      </c>
      <c r="S33" s="16">
        <f t="shared" si="54"/>
        <v>0.80707227006799775</v>
      </c>
      <c r="T33" s="16">
        <f t="shared" si="54"/>
        <v>0.81677853008795998</v>
      </c>
      <c r="U33" s="16"/>
      <c r="V33" s="16"/>
      <c r="W33" s="16"/>
      <c r="AA33" s="16">
        <f>+AA20/AA18</f>
        <v>0.78624907459988524</v>
      </c>
      <c r="AB33" s="16">
        <f>+AB20/AB18</f>
        <v>0.71802630460809314</v>
      </c>
      <c r="AC33" s="16">
        <f>+AC20/AC18</f>
        <v>0.74516437051106876</v>
      </c>
      <c r="AD33" s="16">
        <f>+AD20/AD18</f>
        <v>0.76924431136696081</v>
      </c>
      <c r="AE33" s="16">
        <f t="shared" ref="AE33:AL33" si="55">+AE20/AE18</f>
        <v>0.79</v>
      </c>
      <c r="AF33" s="16">
        <f t="shared" si="55"/>
        <v>0.78999999999999992</v>
      </c>
      <c r="AG33" s="16">
        <f t="shared" si="55"/>
        <v>0.79</v>
      </c>
      <c r="AH33" s="16">
        <f t="shared" si="55"/>
        <v>0.79</v>
      </c>
      <c r="AI33" s="16">
        <f t="shared" si="55"/>
        <v>0.79</v>
      </c>
      <c r="AJ33" s="16">
        <f t="shared" si="55"/>
        <v>0.79</v>
      </c>
      <c r="AK33" s="16">
        <f t="shared" si="55"/>
        <v>0.79</v>
      </c>
      <c r="AL33" s="16">
        <f t="shared" si="55"/>
        <v>0.78999999999999992</v>
      </c>
      <c r="AN33" t="s">
        <v>90</v>
      </c>
      <c r="AO33" s="30">
        <v>0.08</v>
      </c>
    </row>
    <row r="34" spans="2:41" x14ac:dyDescent="0.2">
      <c r="B34" t="s">
        <v>88</v>
      </c>
      <c r="H34" s="16"/>
      <c r="I34" s="16">
        <f t="shared" ref="I34:K34" si="56">+I22/E22-1</f>
        <v>2.1638339370298132E-2</v>
      </c>
      <c r="J34" s="16">
        <f t="shared" si="56"/>
        <v>0.11278591595400789</v>
      </c>
      <c r="K34" s="16">
        <f t="shared" si="56"/>
        <v>0.11645957388221517</v>
      </c>
      <c r="L34" s="16">
        <f>+L22/H22-1</f>
        <v>6.8820217092652625E-2</v>
      </c>
      <c r="M34" s="16">
        <f t="shared" ref="M34:N34" si="57">+M22/I22-1</f>
        <v>0.18263487751795915</v>
      </c>
      <c r="N34" s="16">
        <f t="shared" si="57"/>
        <v>0.12950731512251634</v>
      </c>
      <c r="O34" s="16">
        <f t="shared" ref="O34" si="58">+O22/K22-1</f>
        <v>8.4287762243151931E-2</v>
      </c>
      <c r="P34" s="16">
        <f t="shared" ref="P34" si="59">+P22/L22-1</f>
        <v>4.7085122056544915E-2</v>
      </c>
      <c r="Q34" s="16">
        <f t="shared" ref="Q34" si="60">+Q22/M22-1</f>
        <v>3.2802007231938601E-2</v>
      </c>
      <c r="R34" s="16">
        <f t="shared" ref="R34" si="61">+R22/N22-1</f>
        <v>0.11917115313401605</v>
      </c>
      <c r="S34" s="16">
        <f t="shared" ref="S34" si="62">+S22/O22-1</f>
        <v>7.0527857153011908E-2</v>
      </c>
      <c r="T34" s="16">
        <f t="shared" ref="T34" si="63">+T22/P22-1</f>
        <v>0.27621626080163786</v>
      </c>
      <c r="U34" s="16"/>
      <c r="V34" s="16"/>
      <c r="W34" s="16"/>
      <c r="X34" s="16"/>
      <c r="AB34" s="16">
        <f>+AB22/AA22-1</f>
        <v>8.3335291456902771E-2</v>
      </c>
      <c r="AC34" s="16">
        <f>+AC22/AB22-1</f>
        <v>2.9425121565363366E-2</v>
      </c>
      <c r="AD34" s="16">
        <f>+AD22/AC22-1</f>
        <v>0.1246209053497942</v>
      </c>
      <c r="AE34" s="16">
        <f t="shared" ref="AE34:AL34" si="64">+AE22/AD22-1</f>
        <v>4.0000000000000036E-2</v>
      </c>
      <c r="AF34" s="16">
        <f t="shared" si="64"/>
        <v>4.0000000000000036E-2</v>
      </c>
      <c r="AG34" s="16">
        <f t="shared" si="64"/>
        <v>4.0000000000000036E-2</v>
      </c>
      <c r="AH34" s="16">
        <f t="shared" si="64"/>
        <v>4.0000000000000036E-2</v>
      </c>
      <c r="AI34" s="16">
        <f t="shared" si="64"/>
        <v>4.0000000000000036E-2</v>
      </c>
      <c r="AJ34" s="16">
        <f t="shared" si="64"/>
        <v>4.0000000000000036E-2</v>
      </c>
      <c r="AK34" s="16">
        <f t="shared" si="64"/>
        <v>4.0000000000000036E-2</v>
      </c>
      <c r="AL34" s="16">
        <f t="shared" si="64"/>
        <v>4.0000000000000036E-2</v>
      </c>
      <c r="AN34" t="s">
        <v>91</v>
      </c>
      <c r="AO34" s="30">
        <v>-0.01</v>
      </c>
    </row>
    <row r="35" spans="2:41" x14ac:dyDescent="0.2">
      <c r="B35" t="s">
        <v>89</v>
      </c>
      <c r="L35" s="16">
        <f>+L8/H8-1</f>
        <v>9.0355655238705257E-3</v>
      </c>
      <c r="M35" s="16">
        <f>+M8/I8-1</f>
        <v>0.13564645726807889</v>
      </c>
      <c r="N35" s="16">
        <f>+N8/J8-1</f>
        <v>-2.6871401151631558E-2</v>
      </c>
      <c r="O35" s="16">
        <f t="shared" ref="O35:T35" si="65">+O8/K8-1</f>
        <v>3.3836065573770613E-2</v>
      </c>
      <c r="P35" s="16">
        <f t="shared" si="65"/>
        <v>2.4167754003902919E-2</v>
      </c>
      <c r="Q35" s="16">
        <f t="shared" si="65"/>
        <v>2.2062134173795656E-2</v>
      </c>
      <c r="R35" s="16">
        <f t="shared" si="65"/>
        <v>0.15450361604207763</v>
      </c>
      <c r="S35" s="16">
        <f t="shared" si="65"/>
        <v>1.7590595796862507E-2</v>
      </c>
      <c r="T35" s="16">
        <f t="shared" si="65"/>
        <v>3.5176332641833064E-3</v>
      </c>
      <c r="AB35" s="30">
        <f>+AB8/AA8-1</f>
        <v>1.8372221201556904E-4</v>
      </c>
      <c r="AC35" s="30">
        <f>+AC8/AB8-1</f>
        <v>0.14484753857457777</v>
      </c>
      <c r="AD35" s="30">
        <f>+AD8/AC8-1</f>
        <v>6.5015122221241617E-2</v>
      </c>
      <c r="AE35" s="30">
        <f t="shared" ref="AE35:AL35" si="66">+AE8/AD8-1</f>
        <v>7.0000000000000062E-2</v>
      </c>
      <c r="AF35" s="30">
        <f t="shared" si="66"/>
        <v>7.0000000000000062E-2</v>
      </c>
      <c r="AG35" s="30">
        <f t="shared" si="66"/>
        <v>4.0000000000000036E-2</v>
      </c>
      <c r="AH35" s="30">
        <f t="shared" si="66"/>
        <v>4.0000000000000036E-2</v>
      </c>
      <c r="AI35" s="30">
        <f t="shared" si="66"/>
        <v>4.0000000000000036E-2</v>
      </c>
      <c r="AJ35" s="30">
        <f t="shared" si="66"/>
        <v>4.0000000000000036E-2</v>
      </c>
      <c r="AK35" s="30">
        <f t="shared" si="66"/>
        <v>4.0000000000000036E-2</v>
      </c>
      <c r="AL35" s="30">
        <f t="shared" si="66"/>
        <v>4.0000000000000036E-2</v>
      </c>
      <c r="AN35" t="s">
        <v>100</v>
      </c>
      <c r="AO35" s="30">
        <v>0.02</v>
      </c>
    </row>
    <row r="36" spans="2:41" x14ac:dyDescent="0.2">
      <c r="AN36" t="s">
        <v>92</v>
      </c>
      <c r="AO36" s="2">
        <f>NPV(AO33,AE28:DO28)+Main!L5-Main!L6</f>
        <v>38262.149555882228</v>
      </c>
    </row>
    <row r="37" spans="2:41" x14ac:dyDescent="0.2">
      <c r="B37" t="s">
        <v>99</v>
      </c>
      <c r="L37" s="25">
        <f>+Main!L5-Main!L6</f>
        <v>692.48099999999977</v>
      </c>
      <c r="M37" s="25">
        <f>+M38-M50</f>
        <v>564.03700000000026</v>
      </c>
      <c r="N37" s="25"/>
      <c r="O37" s="25"/>
      <c r="P37" s="25"/>
      <c r="Q37" s="25"/>
      <c r="R37" s="25"/>
      <c r="S37" s="25"/>
      <c r="T37" s="25"/>
      <c r="U37" s="25"/>
      <c r="V37" s="25"/>
      <c r="W37" s="25"/>
      <c r="AD37" s="2">
        <f>+N37</f>
        <v>0</v>
      </c>
      <c r="AE37" s="2">
        <f>+AD37+AE28</f>
        <v>1339.9121328000003</v>
      </c>
      <c r="AF37" s="2">
        <f t="shared" ref="AF37:AL37" si="67">+AE37+AF28</f>
        <v>3273.1007160260006</v>
      </c>
      <c r="AG37" s="2">
        <f t="shared" si="67"/>
        <v>5440.1543384321376</v>
      </c>
      <c r="AH37" s="2">
        <f t="shared" si="67"/>
        <v>7753.9605973806902</v>
      </c>
      <c r="AI37" s="2">
        <f t="shared" si="67"/>
        <v>10398.614242320818</v>
      </c>
      <c r="AJ37" s="2">
        <f t="shared" si="67"/>
        <v>13434.245886576773</v>
      </c>
      <c r="AK37" s="2">
        <f t="shared" si="67"/>
        <v>16932.200910722113</v>
      </c>
      <c r="AL37" s="2">
        <f t="shared" si="67"/>
        <v>20868.058466499377</v>
      </c>
      <c r="AN37" t="s">
        <v>93</v>
      </c>
      <c r="AO37" s="1">
        <f>+AO36/Main!L3</f>
        <v>200.97479990018337</v>
      </c>
    </row>
    <row r="38" spans="2:41" s="2" customFormat="1" x14ac:dyDescent="0.2">
      <c r="B38" s="2" t="s">
        <v>3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>
        <f>761.515+512.253+372.302</f>
        <v>1646.0700000000002</v>
      </c>
      <c r="N38" s="25"/>
      <c r="O38" s="25"/>
      <c r="P38" s="25"/>
      <c r="Q38" s="25"/>
      <c r="R38" s="25"/>
      <c r="S38" s="25">
        <f>746.996+299.584+620.551</f>
        <v>1667.1309999999999</v>
      </c>
      <c r="T38" s="25"/>
      <c r="U38" s="25"/>
      <c r="V38" s="25"/>
      <c r="W38" s="25"/>
      <c r="AO38" s="2">
        <f>+AO37/Main!L2-1</f>
        <v>1.2034294474310205</v>
      </c>
    </row>
    <row r="39" spans="2:41" s="2" customFormat="1" x14ac:dyDescent="0.2">
      <c r="B39" s="2" t="s">
        <v>137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>
        <v>419.62200000000001</v>
      </c>
      <c r="N39" s="25"/>
      <c r="O39" s="25"/>
      <c r="P39" s="25"/>
      <c r="Q39" s="25"/>
      <c r="R39" s="25"/>
      <c r="S39" s="25">
        <v>637.16300000000001</v>
      </c>
      <c r="T39" s="25"/>
      <c r="U39" s="25"/>
      <c r="V39" s="25"/>
      <c r="W39" s="25"/>
    </row>
    <row r="40" spans="2:41" s="2" customFormat="1" x14ac:dyDescent="0.2">
      <c r="B40" s="2" t="s">
        <v>138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>
        <v>839.46</v>
      </c>
      <c r="N40" s="25"/>
      <c r="O40" s="25"/>
      <c r="P40" s="25"/>
      <c r="Q40" s="25"/>
      <c r="R40" s="25"/>
      <c r="S40" s="25">
        <v>1137.982</v>
      </c>
      <c r="T40" s="25"/>
      <c r="U40" s="25"/>
      <c r="V40" s="25"/>
      <c r="W40" s="25"/>
    </row>
    <row r="41" spans="2:41" s="2" customFormat="1" x14ac:dyDescent="0.2">
      <c r="B41" s="2" t="s">
        <v>139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>
        <v>149.851</v>
      </c>
      <c r="N41" s="25"/>
      <c r="O41" s="25"/>
      <c r="P41" s="25"/>
      <c r="Q41" s="25"/>
      <c r="R41" s="25"/>
      <c r="S41" s="25">
        <v>163.28700000000001</v>
      </c>
      <c r="T41" s="25"/>
      <c r="U41" s="25"/>
      <c r="V41" s="25"/>
      <c r="W41" s="25"/>
    </row>
    <row r="42" spans="2:41" s="2" customFormat="1" x14ac:dyDescent="0.2">
      <c r="B42" s="2" t="s">
        <v>140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>
        <v>1051.8209999999999</v>
      </c>
      <c r="N42" s="25"/>
      <c r="O42" s="25"/>
      <c r="P42" s="25"/>
      <c r="Q42" s="25"/>
      <c r="R42" s="25"/>
      <c r="S42" s="25">
        <v>1060.425</v>
      </c>
      <c r="T42" s="25"/>
      <c r="U42" s="25"/>
      <c r="V42" s="25"/>
      <c r="W42" s="25"/>
    </row>
    <row r="43" spans="2:41" s="2" customFormat="1" x14ac:dyDescent="0.2">
      <c r="B43" s="2" t="s">
        <v>141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>
        <f>354.024+196.199</f>
        <v>550.22299999999996</v>
      </c>
      <c r="N43" s="25"/>
      <c r="O43" s="25"/>
      <c r="P43" s="25"/>
      <c r="Q43" s="25"/>
      <c r="R43" s="25"/>
      <c r="S43" s="25">
        <f>279.653+196.199</f>
        <v>475.85200000000003</v>
      </c>
      <c r="T43" s="25"/>
      <c r="U43" s="25"/>
      <c r="V43" s="25"/>
      <c r="W43" s="25"/>
    </row>
    <row r="44" spans="2:41" s="2" customFormat="1" x14ac:dyDescent="0.2">
      <c r="B44" s="2" t="s">
        <v>142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>
        <v>1455.2049999999999</v>
      </c>
      <c r="N44" s="25"/>
      <c r="O44" s="25"/>
      <c r="P44" s="25"/>
      <c r="Q44" s="25"/>
      <c r="R44" s="25"/>
      <c r="S44" s="25">
        <v>1546.0429999999999</v>
      </c>
      <c r="T44" s="25"/>
      <c r="U44" s="25"/>
      <c r="V44" s="25"/>
      <c r="W44" s="25"/>
    </row>
    <row r="45" spans="2:41" s="2" customFormat="1" x14ac:dyDescent="0.2">
      <c r="B45" s="2" t="s">
        <v>143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>
        <v>151.78800000000001</v>
      </c>
      <c r="N45" s="25"/>
      <c r="O45" s="25"/>
      <c r="P45" s="25"/>
      <c r="Q45" s="25"/>
      <c r="R45" s="25"/>
      <c r="S45" s="25">
        <v>184.79</v>
      </c>
      <c r="T45" s="25"/>
      <c r="U45" s="25"/>
      <c r="V45" s="25"/>
      <c r="W45" s="25"/>
    </row>
    <row r="46" spans="2:41" s="2" customFormat="1" x14ac:dyDescent="0.2">
      <c r="B46" s="2" t="s">
        <v>144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>
        <f>SUM(M38:M45)</f>
        <v>6264.0400000000009</v>
      </c>
      <c r="N46" s="25">
        <f t="shared" ref="N46:S46" si="68">SUM(N38:N45)</f>
        <v>0</v>
      </c>
      <c r="O46" s="25">
        <f t="shared" si="68"/>
        <v>0</v>
      </c>
      <c r="P46" s="25">
        <f t="shared" si="68"/>
        <v>0</v>
      </c>
      <c r="Q46" s="25">
        <f t="shared" si="68"/>
        <v>0</v>
      </c>
      <c r="R46" s="25">
        <f t="shared" si="68"/>
        <v>0</v>
      </c>
      <c r="S46" s="25">
        <f t="shared" si="68"/>
        <v>6872.6729999999989</v>
      </c>
      <c r="T46" s="25"/>
      <c r="U46" s="25"/>
      <c r="V46" s="25"/>
      <c r="W46" s="25"/>
    </row>
    <row r="48" spans="2:41" s="2" customFormat="1" x14ac:dyDescent="0.2">
      <c r="B48" s="2" t="s">
        <v>145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>
        <v>492.71699999999998</v>
      </c>
      <c r="N48" s="25"/>
      <c r="O48" s="25"/>
      <c r="P48" s="25"/>
      <c r="Q48" s="25"/>
      <c r="R48" s="25"/>
      <c r="S48" s="25">
        <v>593.54300000000001</v>
      </c>
      <c r="T48" s="25"/>
      <c r="U48" s="25"/>
      <c r="V48" s="25"/>
      <c r="W48" s="25"/>
    </row>
    <row r="49" spans="2:23" s="2" customFormat="1" x14ac:dyDescent="0.2">
      <c r="B49" s="2" t="s">
        <v>146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>
        <v>28.303000000000001</v>
      </c>
      <c r="N49" s="25"/>
      <c r="O49" s="25"/>
      <c r="P49" s="25"/>
      <c r="Q49" s="25"/>
      <c r="R49" s="25"/>
      <c r="S49" s="25">
        <v>0</v>
      </c>
      <c r="T49" s="25"/>
      <c r="U49" s="25"/>
      <c r="V49" s="25"/>
      <c r="W49" s="25"/>
    </row>
    <row r="50" spans="2:23" s="2" customFormat="1" x14ac:dyDescent="0.2">
      <c r="B50" s="2" t="s">
        <v>4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>
        <v>1082.0329999999999</v>
      </c>
      <c r="N50" s="25"/>
      <c r="O50" s="25"/>
      <c r="P50" s="25"/>
      <c r="Q50" s="25"/>
      <c r="R50" s="25"/>
      <c r="S50" s="25">
        <f>494.357+593.605</f>
        <v>1087.962</v>
      </c>
      <c r="T50" s="25"/>
      <c r="U50" s="25"/>
      <c r="V50" s="25"/>
      <c r="W50" s="25"/>
    </row>
    <row r="51" spans="2:23" s="2" customFormat="1" x14ac:dyDescent="0.2">
      <c r="B51" s="2" t="s">
        <v>147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>
        <v>92.472999999999999</v>
      </c>
      <c r="N51" s="25"/>
      <c r="O51" s="25"/>
      <c r="P51" s="25"/>
      <c r="Q51" s="25"/>
      <c r="R51" s="25"/>
      <c r="S51" s="25">
        <v>117.352</v>
      </c>
      <c r="T51" s="25"/>
      <c r="U51" s="25"/>
      <c r="V51" s="25"/>
      <c r="W51" s="25"/>
    </row>
    <row r="52" spans="2:23" s="2" customFormat="1" x14ac:dyDescent="0.2">
      <c r="B52" s="2" t="s">
        <v>136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>
        <v>4568.5140000000001</v>
      </c>
      <c r="N52" s="25"/>
      <c r="O52" s="25"/>
      <c r="P52" s="25"/>
      <c r="Q52" s="25"/>
      <c r="R52" s="25"/>
      <c r="S52" s="25">
        <v>5073.8159999999998</v>
      </c>
      <c r="T52" s="25"/>
      <c r="U52" s="25"/>
      <c r="V52" s="25"/>
      <c r="W52" s="25"/>
    </row>
    <row r="53" spans="2:23" s="2" customFormat="1" x14ac:dyDescent="0.2">
      <c r="B53" s="2" t="s">
        <v>135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>
        <f>SUM(M48:M52)</f>
        <v>6264.04</v>
      </c>
      <c r="N53" s="25">
        <f t="shared" ref="N53:S53" si="69">SUM(N48:N52)</f>
        <v>0</v>
      </c>
      <c r="O53" s="25">
        <f t="shared" si="69"/>
        <v>0</v>
      </c>
      <c r="P53" s="25">
        <f t="shared" si="69"/>
        <v>0</v>
      </c>
      <c r="Q53" s="25">
        <f t="shared" si="69"/>
        <v>0</v>
      </c>
      <c r="R53" s="25">
        <f t="shared" si="69"/>
        <v>0</v>
      </c>
      <c r="S53" s="25">
        <f t="shared" si="69"/>
        <v>6872.6729999999998</v>
      </c>
      <c r="T53" s="25"/>
      <c r="U53" s="25"/>
      <c r="V53" s="25"/>
      <c r="W53" s="25"/>
    </row>
    <row r="55" spans="2:23" x14ac:dyDescent="0.2">
      <c r="B55" s="2" t="s">
        <v>157</v>
      </c>
      <c r="O55" s="3">
        <v>-73.932000000000002</v>
      </c>
      <c r="S55" s="3">
        <v>46.970999999999997</v>
      </c>
    </row>
  </sheetData>
  <hyperlinks>
    <hyperlink ref="A1" location="Main!A1" display="Main" xr:uid="{A55303B1-EC0E-4753-B9F5-82325FA3A6D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E64F-F7F4-44D8-89AE-BB5BF258514B}">
  <dimension ref="A1:N30"/>
  <sheetViews>
    <sheetView zoomScale="160" zoomScaleNormal="160" workbookViewId="0">
      <selection activeCell="D17" sqref="D17"/>
    </sheetView>
  </sheetViews>
  <sheetFormatPr defaultRowHeight="12.75" x14ac:dyDescent="0.2"/>
  <cols>
    <col min="1" max="1" width="5" bestFit="1" customWidth="1"/>
    <col min="2" max="2" width="14.42578125" customWidth="1"/>
    <col min="3" max="9" width="9.7109375" customWidth="1"/>
    <col min="10" max="11" width="9.85546875" customWidth="1"/>
    <col min="12" max="12" width="10.28515625" customWidth="1"/>
    <col min="13" max="13" width="9.85546875" customWidth="1"/>
    <col min="14" max="14" width="10.42578125" customWidth="1"/>
  </cols>
  <sheetData>
    <row r="1" spans="1:9" x14ac:dyDescent="0.2">
      <c r="A1" s="22" t="s">
        <v>49</v>
      </c>
    </row>
    <row r="2" spans="1:9" x14ac:dyDescent="0.2">
      <c r="B2" t="s">
        <v>104</v>
      </c>
    </row>
    <row r="3" spans="1:9" x14ac:dyDescent="0.2">
      <c r="B3" t="s">
        <v>105</v>
      </c>
      <c r="C3" t="s">
        <v>29</v>
      </c>
    </row>
    <row r="4" spans="1:9" x14ac:dyDescent="0.2">
      <c r="B4" t="s">
        <v>15</v>
      </c>
      <c r="C4" t="s">
        <v>113</v>
      </c>
    </row>
    <row r="5" spans="1:9" x14ac:dyDescent="0.2">
      <c r="C5" t="s">
        <v>117</v>
      </c>
    </row>
    <row r="6" spans="1:9" x14ac:dyDescent="0.2">
      <c r="B6" t="s">
        <v>33</v>
      </c>
      <c r="C6" t="s">
        <v>112</v>
      </c>
      <c r="I6" s="2"/>
    </row>
    <row r="7" spans="1:9" x14ac:dyDescent="0.2">
      <c r="B7" t="s">
        <v>107</v>
      </c>
      <c r="C7" t="s">
        <v>108</v>
      </c>
    </row>
    <row r="8" spans="1:9" x14ac:dyDescent="0.2">
      <c r="C8" t="s">
        <v>116</v>
      </c>
    </row>
    <row r="9" spans="1:9" x14ac:dyDescent="0.2">
      <c r="B9" t="s">
        <v>132</v>
      </c>
      <c r="C9" t="s">
        <v>134</v>
      </c>
    </row>
    <row r="10" spans="1:9" x14ac:dyDescent="0.2">
      <c r="B10" t="s">
        <v>119</v>
      </c>
      <c r="C10" t="s">
        <v>120</v>
      </c>
    </row>
    <row r="11" spans="1:9" x14ac:dyDescent="0.2">
      <c r="B11" t="s">
        <v>106</v>
      </c>
    </row>
    <row r="12" spans="1:9" x14ac:dyDescent="0.2">
      <c r="C12" s="31" t="s">
        <v>121</v>
      </c>
    </row>
    <row r="13" spans="1:9" x14ac:dyDescent="0.2">
      <c r="C13" t="s">
        <v>109</v>
      </c>
    </row>
    <row r="14" spans="1:9" x14ac:dyDescent="0.2">
      <c r="C14" s="48" t="s">
        <v>131</v>
      </c>
    </row>
    <row r="15" spans="1:9" x14ac:dyDescent="0.2">
      <c r="C15" t="s">
        <v>122</v>
      </c>
    </row>
    <row r="16" spans="1:9" x14ac:dyDescent="0.2">
      <c r="D16" s="3" t="s">
        <v>128</v>
      </c>
      <c r="E16" s="3" t="s">
        <v>129</v>
      </c>
      <c r="G16" t="s">
        <v>130</v>
      </c>
      <c r="H16" s="3" t="s">
        <v>128</v>
      </c>
      <c r="I16" s="3" t="s">
        <v>129</v>
      </c>
    </row>
    <row r="17" spans="2:14" x14ac:dyDescent="0.2">
      <c r="C17" t="s">
        <v>123</v>
      </c>
      <c r="D17" s="3">
        <v>52.6</v>
      </c>
      <c r="E17" s="3">
        <v>80.8</v>
      </c>
      <c r="H17" s="3"/>
      <c r="I17" s="3"/>
    </row>
    <row r="18" spans="2:14" x14ac:dyDescent="0.2">
      <c r="C18" t="s">
        <v>124</v>
      </c>
      <c r="D18" s="3">
        <v>42.4</v>
      </c>
      <c r="E18" s="3">
        <v>63.4</v>
      </c>
      <c r="F18" s="30">
        <f t="shared" ref="F18:F20" si="0">+E18/E17-1</f>
        <v>-0.21534653465346532</v>
      </c>
      <c r="H18" s="16">
        <v>0.12</v>
      </c>
      <c r="I18" s="16">
        <v>7.0000000000000007E-2</v>
      </c>
    </row>
    <row r="19" spans="2:14" x14ac:dyDescent="0.2">
      <c r="C19" t="s">
        <v>125</v>
      </c>
      <c r="D19" s="3">
        <v>26.1</v>
      </c>
      <c r="E19" s="3">
        <v>38.6</v>
      </c>
      <c r="F19" s="30">
        <f t="shared" si="0"/>
        <v>-0.39116719242902209</v>
      </c>
      <c r="H19" s="3"/>
      <c r="I19" s="3"/>
    </row>
    <row r="20" spans="2:14" x14ac:dyDescent="0.2">
      <c r="C20" t="s">
        <v>126</v>
      </c>
      <c r="D20" s="3">
        <v>22.7</v>
      </c>
      <c r="E20" s="3">
        <v>35.6</v>
      </c>
      <c r="F20" s="30">
        <f t="shared" si="0"/>
        <v>-7.7720207253885953E-2</v>
      </c>
      <c r="H20" s="16">
        <v>0.25</v>
      </c>
      <c r="I20" s="16">
        <v>0.15</v>
      </c>
    </row>
    <row r="21" spans="2:14" x14ac:dyDescent="0.2">
      <c r="C21" t="s">
        <v>127</v>
      </c>
      <c r="D21" s="3">
        <v>15.2</v>
      </c>
      <c r="E21" s="3">
        <v>24.6</v>
      </c>
      <c r="F21" s="30">
        <f>+E21/E20-1</f>
        <v>-0.3089887640449438</v>
      </c>
      <c r="H21" s="16">
        <v>0.37</v>
      </c>
      <c r="I21" s="16">
        <v>0.27</v>
      </c>
    </row>
    <row r="24" spans="2:14" x14ac:dyDescent="0.2">
      <c r="C24">
        <v>2023</v>
      </c>
      <c r="D24">
        <f>+C24+1</f>
        <v>2024</v>
      </c>
      <c r="E24">
        <f t="shared" ref="E24:N24" si="1">+D24+1</f>
        <v>2025</v>
      </c>
      <c r="F24">
        <f t="shared" si="1"/>
        <v>2026</v>
      </c>
      <c r="G24">
        <f t="shared" si="1"/>
        <v>2027</v>
      </c>
      <c r="H24">
        <f t="shared" si="1"/>
        <v>2028</v>
      </c>
      <c r="I24">
        <f t="shared" si="1"/>
        <v>2029</v>
      </c>
      <c r="J24">
        <f t="shared" si="1"/>
        <v>2030</v>
      </c>
      <c r="K24">
        <f t="shared" si="1"/>
        <v>2031</v>
      </c>
      <c r="L24">
        <f t="shared" si="1"/>
        <v>2032</v>
      </c>
      <c r="M24">
        <f t="shared" si="1"/>
        <v>2033</v>
      </c>
      <c r="N24">
        <f t="shared" si="1"/>
        <v>2034</v>
      </c>
    </row>
    <row r="25" spans="2:14" x14ac:dyDescent="0.2">
      <c r="B25" t="s">
        <v>111</v>
      </c>
      <c r="C25" s="2">
        <f>330000000/10000</f>
        <v>33000</v>
      </c>
      <c r="D25" s="2">
        <f>+C25-C26</f>
        <v>32700</v>
      </c>
      <c r="E25" s="2">
        <f>+D25-D26</f>
        <v>32100</v>
      </c>
      <c r="F25" s="2">
        <f t="shared" ref="F25:G25" si="2">+E25-E26</f>
        <v>31137</v>
      </c>
      <c r="G25" s="2">
        <f t="shared" si="2"/>
        <v>30202.89</v>
      </c>
      <c r="H25" s="2">
        <f t="shared" ref="H25:I25" si="3">+G25-G26</f>
        <v>29296.8033</v>
      </c>
      <c r="I25" s="2">
        <f t="shared" si="3"/>
        <v>28417.899201</v>
      </c>
      <c r="J25" s="2">
        <f t="shared" ref="J25:L25" si="4">+I25-I26</f>
        <v>27565.362224969998</v>
      </c>
      <c r="K25" s="2">
        <f t="shared" si="4"/>
        <v>26738.401358220897</v>
      </c>
      <c r="L25" s="2">
        <f t="shared" si="4"/>
        <v>25936.24931747427</v>
      </c>
      <c r="M25" s="2">
        <f t="shared" ref="M25:N25" si="5">+L25-L26</f>
        <v>25158.161837950043</v>
      </c>
      <c r="N25" s="2">
        <f t="shared" si="5"/>
        <v>24403.416982811541</v>
      </c>
    </row>
    <row r="26" spans="2:14" x14ac:dyDescent="0.2">
      <c r="B26" t="s">
        <v>110</v>
      </c>
      <c r="C26" s="2">
        <v>300</v>
      </c>
      <c r="D26" s="2">
        <v>600</v>
      </c>
      <c r="E26" s="2">
        <f>+E25*0.03</f>
        <v>963</v>
      </c>
      <c r="F26" s="2">
        <f t="shared" ref="F26:N26" si="6">+F25*0.03</f>
        <v>934.11</v>
      </c>
      <c r="G26" s="2">
        <f t="shared" si="6"/>
        <v>906.08669999999995</v>
      </c>
      <c r="H26" s="2">
        <f t="shared" si="6"/>
        <v>878.90409899999997</v>
      </c>
      <c r="I26" s="2">
        <f t="shared" si="6"/>
        <v>852.53697603000001</v>
      </c>
      <c r="J26" s="2">
        <f t="shared" si="6"/>
        <v>826.96086674909986</v>
      </c>
      <c r="K26" s="2">
        <f t="shared" si="6"/>
        <v>802.15204074662688</v>
      </c>
      <c r="L26" s="2">
        <f t="shared" si="6"/>
        <v>778.08747952422812</v>
      </c>
      <c r="M26" s="2">
        <f t="shared" si="6"/>
        <v>754.74485513850129</v>
      </c>
      <c r="N26" s="2">
        <f t="shared" si="6"/>
        <v>732.10250948434623</v>
      </c>
    </row>
    <row r="27" spans="2:14" x14ac:dyDescent="0.2">
      <c r="B27" t="s">
        <v>0</v>
      </c>
      <c r="C27" s="2">
        <v>2000</v>
      </c>
      <c r="D27" s="2">
        <v>2000</v>
      </c>
      <c r="E27" s="2">
        <v>2000</v>
      </c>
      <c r="F27" s="2">
        <v>2000</v>
      </c>
      <c r="G27" s="2">
        <v>2000</v>
      </c>
      <c r="H27" s="2">
        <v>2000</v>
      </c>
      <c r="I27" s="2">
        <v>2000</v>
      </c>
      <c r="J27" s="2">
        <v>2000</v>
      </c>
      <c r="K27" s="2">
        <v>2000</v>
      </c>
      <c r="L27" s="2">
        <v>2000</v>
      </c>
      <c r="M27" s="2">
        <v>2000</v>
      </c>
      <c r="N27" s="2">
        <v>2000</v>
      </c>
    </row>
    <row r="28" spans="2:14" s="23" customFormat="1" x14ac:dyDescent="0.2">
      <c r="B28" s="23" t="s">
        <v>50</v>
      </c>
      <c r="C28" s="4">
        <f>+C26*C27</f>
        <v>600000</v>
      </c>
      <c r="D28" s="4">
        <f t="shared" ref="D28:I28" si="7">+D26*D27</f>
        <v>1200000</v>
      </c>
      <c r="E28" s="4">
        <f t="shared" si="7"/>
        <v>1926000</v>
      </c>
      <c r="F28" s="4">
        <f t="shared" si="7"/>
        <v>1868220</v>
      </c>
      <c r="G28" s="4">
        <f t="shared" si="7"/>
        <v>1812173.4</v>
      </c>
      <c r="H28" s="4">
        <f t="shared" si="7"/>
        <v>1757808.1979999999</v>
      </c>
      <c r="I28" s="4">
        <f t="shared" si="7"/>
        <v>1705073.95206</v>
      </c>
      <c r="J28" s="4">
        <f t="shared" ref="J28" si="8">+J26*J27</f>
        <v>1653921.7334981998</v>
      </c>
      <c r="K28" s="4">
        <f t="shared" ref="K28" si="9">+K26*K27</f>
        <v>1604304.0814932538</v>
      </c>
      <c r="L28" s="4">
        <f t="shared" ref="L28" si="10">+L26*L27</f>
        <v>1556174.9590484563</v>
      </c>
      <c r="M28" s="4">
        <f t="shared" ref="M28" si="11">+M26*M27</f>
        <v>1509489.7102770025</v>
      </c>
      <c r="N28" s="4">
        <f t="shared" ref="N28" si="12">+N26*N27</f>
        <v>1464205.0189686925</v>
      </c>
    </row>
    <row r="30" spans="2:14" x14ac:dyDescent="0.2">
      <c r="B30" t="s">
        <v>118</v>
      </c>
      <c r="D30" s="2">
        <f>D26+C26</f>
        <v>900</v>
      </c>
      <c r="E30" s="2">
        <f>+D30+E26</f>
        <v>1863</v>
      </c>
      <c r="F30" s="2">
        <f t="shared" ref="F30:L30" si="13">+E30+F26</f>
        <v>2797.11</v>
      </c>
      <c r="G30" s="2">
        <f t="shared" si="13"/>
        <v>3703.1967</v>
      </c>
      <c r="H30" s="2">
        <f t="shared" si="13"/>
        <v>4582.1007989999998</v>
      </c>
      <c r="I30" s="2">
        <f t="shared" si="13"/>
        <v>5434.6377750299998</v>
      </c>
      <c r="J30" s="2">
        <f t="shared" si="13"/>
        <v>6261.5986417791</v>
      </c>
      <c r="K30" s="2">
        <f t="shared" si="13"/>
        <v>7063.7506825257269</v>
      </c>
      <c r="L30" s="2">
        <f t="shared" si="13"/>
        <v>7841.8381620499549</v>
      </c>
    </row>
  </sheetData>
  <hyperlinks>
    <hyperlink ref="A1" location="Main!A1" display="Main" xr:uid="{C51FEB2E-034C-40F6-8038-95D6F02F18C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0A15-29A8-4F13-9FCA-9B377E9F471D}">
  <dimension ref="A1:H10"/>
  <sheetViews>
    <sheetView zoomScale="250" zoomScaleNormal="250" workbookViewId="0">
      <selection activeCell="D5" sqref="D5"/>
    </sheetView>
  </sheetViews>
  <sheetFormatPr defaultRowHeight="12.75" x14ac:dyDescent="0.2"/>
  <cols>
    <col min="1" max="1" width="5" bestFit="1" customWidth="1"/>
  </cols>
  <sheetData>
    <row r="1" spans="1:8" x14ac:dyDescent="0.2">
      <c r="A1" s="22" t="s">
        <v>49</v>
      </c>
    </row>
    <row r="3" spans="1:8" x14ac:dyDescent="0.2">
      <c r="B3" s="3" t="s">
        <v>101</v>
      </c>
      <c r="C3">
        <v>0</v>
      </c>
      <c r="D3" s="4">
        <v>500</v>
      </c>
      <c r="E3" s="2">
        <v>1000</v>
      </c>
      <c r="F3" s="2">
        <v>2000</v>
      </c>
      <c r="G3" s="2">
        <v>3000</v>
      </c>
      <c r="H3" s="2">
        <v>4000</v>
      </c>
    </row>
    <row r="4" spans="1:8" x14ac:dyDescent="0.2">
      <c r="B4">
        <v>400</v>
      </c>
      <c r="C4" s="35">
        <v>68</v>
      </c>
      <c r="D4" s="44">
        <f>+D5-7</f>
        <v>86</v>
      </c>
      <c r="E4" s="34">
        <f t="shared" ref="E4:F4" si="0">+E5-7</f>
        <v>104</v>
      </c>
      <c r="F4" s="40">
        <f t="shared" si="0"/>
        <v>141</v>
      </c>
      <c r="G4" s="40">
        <f t="shared" ref="G4" si="1">+G5-7</f>
        <v>167</v>
      </c>
      <c r="H4" s="40">
        <f t="shared" ref="H4" si="2">+H5-7</f>
        <v>196</v>
      </c>
    </row>
    <row r="5" spans="1:8" x14ac:dyDescent="0.2">
      <c r="B5">
        <v>600</v>
      </c>
      <c r="C5" s="32">
        <v>75</v>
      </c>
      <c r="D5" s="45">
        <f>+D6-6</f>
        <v>93</v>
      </c>
      <c r="E5" s="1">
        <f t="shared" ref="E5:F5" si="3">+E6-6</f>
        <v>111</v>
      </c>
      <c r="F5" s="41">
        <f t="shared" si="3"/>
        <v>148</v>
      </c>
      <c r="G5" s="41">
        <f t="shared" ref="G5" si="4">+G6-6</f>
        <v>174</v>
      </c>
      <c r="H5" s="41">
        <f t="shared" ref="H5" si="5">+H6-6</f>
        <v>203</v>
      </c>
    </row>
    <row r="6" spans="1:8" x14ac:dyDescent="0.2">
      <c r="B6">
        <v>800</v>
      </c>
      <c r="C6" s="33">
        <v>81</v>
      </c>
      <c r="D6" s="46">
        <v>99</v>
      </c>
      <c r="E6" s="42">
        <v>117</v>
      </c>
      <c r="F6" s="39">
        <v>154</v>
      </c>
      <c r="G6" s="39">
        <v>180</v>
      </c>
      <c r="H6" s="39">
        <v>209</v>
      </c>
    </row>
    <row r="7" spans="1:8" x14ac:dyDescent="0.2">
      <c r="D7" s="23"/>
    </row>
    <row r="8" spans="1:8" x14ac:dyDescent="0.2">
      <c r="B8" s="3" t="s">
        <v>103</v>
      </c>
      <c r="C8" s="36">
        <f>+C4/90-1</f>
        <v>-0.24444444444444446</v>
      </c>
      <c r="D8" s="43">
        <f t="shared" ref="D8:F8" si="6">+D4/90-1</f>
        <v>-4.4444444444444398E-2</v>
      </c>
      <c r="E8" s="30">
        <f t="shared" si="6"/>
        <v>0.15555555555555545</v>
      </c>
      <c r="F8" s="38">
        <f t="shared" si="6"/>
        <v>0.56666666666666665</v>
      </c>
      <c r="G8" s="38">
        <f t="shared" ref="G8:H8" si="7">+G4/90-1</f>
        <v>0.85555555555555562</v>
      </c>
      <c r="H8" s="38">
        <f t="shared" si="7"/>
        <v>1.1777777777777776</v>
      </c>
    </row>
    <row r="9" spans="1:8" x14ac:dyDescent="0.2">
      <c r="C9" s="37">
        <f t="shared" ref="C9:F9" si="8">+C5/90-1</f>
        <v>-0.16666666666666663</v>
      </c>
      <c r="D9" s="29">
        <f t="shared" si="8"/>
        <v>3.3333333333333437E-2</v>
      </c>
      <c r="E9" s="30">
        <f t="shared" si="8"/>
        <v>0.23333333333333339</v>
      </c>
      <c r="F9" s="38">
        <f t="shared" si="8"/>
        <v>0.64444444444444438</v>
      </c>
      <c r="G9" s="38">
        <f t="shared" ref="G9:H9" si="9">+G5/90-1</f>
        <v>0.93333333333333335</v>
      </c>
      <c r="H9" s="38">
        <f t="shared" si="9"/>
        <v>1.2555555555555555</v>
      </c>
    </row>
    <row r="10" spans="1:8" x14ac:dyDescent="0.2">
      <c r="C10" s="37">
        <f t="shared" ref="C10:G10" si="10">+C6/90-1</f>
        <v>-9.9999999999999978E-2</v>
      </c>
      <c r="D10" s="29">
        <f t="shared" si="10"/>
        <v>0.10000000000000009</v>
      </c>
      <c r="E10" s="38">
        <f t="shared" si="10"/>
        <v>0.30000000000000004</v>
      </c>
      <c r="F10" s="38">
        <f t="shared" si="10"/>
        <v>0.71111111111111103</v>
      </c>
      <c r="G10" s="38">
        <f t="shared" si="10"/>
        <v>1</v>
      </c>
      <c r="H10" s="38">
        <f t="shared" ref="H10" si="11">+H6/90-1</f>
        <v>1.3222222222222224</v>
      </c>
    </row>
  </sheetData>
  <hyperlinks>
    <hyperlink ref="A1" location="Main!A1" display="Main" xr:uid="{6A390398-FFC2-4430-9FE1-6766737CC2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valrox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2022-10-24T19:25:36Z</dcterms:created>
  <dcterms:modified xsi:type="dcterms:W3CDTF">2024-09-02T21:45:12Z</dcterms:modified>
</cp:coreProperties>
</file>