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77C241A-3995-4D31-993A-8189169B75E7}" xr6:coauthVersionLast="47" xr6:coauthVersionMax="47" xr10:uidLastSave="{00000000-0000-0000-0000-000000000000}"/>
  <bookViews>
    <workbookView xWindow="-30975" yWindow="1335" windowWidth="27045" windowHeight="17700" xr2:uid="{199AB9C4-FD24-4AC4-AB86-6077BB40875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7" i="2" l="1"/>
  <c r="O22" i="2"/>
  <c r="N22" i="2"/>
  <c r="M22" i="2"/>
  <c r="L22" i="2"/>
  <c r="K22" i="2"/>
  <c r="J22" i="2"/>
  <c r="I22" i="2"/>
  <c r="P22" i="2"/>
  <c r="M14" i="2"/>
  <c r="M12" i="2"/>
  <c r="K20" i="2"/>
  <c r="L20" i="2"/>
  <c r="M20" i="2"/>
  <c r="H12" i="2"/>
  <c r="H9" i="2"/>
  <c r="H11" i="2" s="1"/>
  <c r="H13" i="2" s="1"/>
  <c r="H15" i="2" s="1"/>
  <c r="H16" i="2" s="1"/>
  <c r="G14" i="2"/>
  <c r="G12" i="2"/>
  <c r="G9" i="2"/>
  <c r="G21" i="2" s="1"/>
  <c r="AB7" i="2"/>
  <c r="AC7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R7" i="2"/>
  <c r="R20" i="2" s="1"/>
  <c r="Q7" i="2"/>
  <c r="Q21" i="2" s="1"/>
  <c r="M9" i="2"/>
  <c r="M11" i="2" s="1"/>
  <c r="M23" i="2" s="1"/>
  <c r="I9" i="2"/>
  <c r="I11" i="2" s="1"/>
  <c r="I13" i="2" s="1"/>
  <c r="I15" i="2" s="1"/>
  <c r="I16" i="2" s="1"/>
  <c r="G11" i="2" l="1"/>
  <c r="G13" i="2" s="1"/>
  <c r="M13" i="2"/>
  <c r="M15" i="2" s="1"/>
  <c r="M16" i="2" s="1"/>
  <c r="H21" i="2"/>
  <c r="M21" i="2"/>
  <c r="G15" i="2"/>
  <c r="G16" i="2" s="1"/>
  <c r="I21" i="2"/>
  <c r="R21" i="2"/>
  <c r="Q20" i="2"/>
  <c r="AD7" i="2"/>
  <c r="AE7" i="2" s="1"/>
  <c r="AF7" i="2" s="1"/>
  <c r="J9" i="2"/>
  <c r="N20" i="2"/>
  <c r="N9" i="2"/>
  <c r="N11" i="2" s="1"/>
  <c r="K12" i="2"/>
  <c r="K9" i="2"/>
  <c r="K11" i="2" s="1"/>
  <c r="O20" i="2"/>
  <c r="O12" i="2"/>
  <c r="O9" i="2"/>
  <c r="O21" i="2" s="1"/>
  <c r="P20" i="2"/>
  <c r="L12" i="2"/>
  <c r="L9" i="2"/>
  <c r="L11" i="2" s="1"/>
  <c r="L23" i="2" s="1"/>
  <c r="P12" i="2"/>
  <c r="P9" i="2"/>
  <c r="P11" i="2" s="1"/>
  <c r="P23" i="2" s="1"/>
  <c r="K4" i="1"/>
  <c r="K7" i="1" s="1"/>
  <c r="K13" i="2" l="1"/>
  <c r="K23" i="2"/>
  <c r="N13" i="2"/>
  <c r="N15" i="2" s="1"/>
  <c r="N16" i="2" s="1"/>
  <c r="N23" i="2"/>
  <c r="AF9" i="2"/>
  <c r="AF8" i="2"/>
  <c r="AF10" i="2"/>
  <c r="AF11" i="2" s="1"/>
  <c r="AF13" i="2" s="1"/>
  <c r="J11" i="2"/>
  <c r="J21" i="2"/>
  <c r="P13" i="2"/>
  <c r="P15" i="2" s="1"/>
  <c r="P16" i="2" s="1"/>
  <c r="L21" i="2"/>
  <c r="P21" i="2"/>
  <c r="K21" i="2"/>
  <c r="N21" i="2"/>
  <c r="K15" i="2"/>
  <c r="K16" i="2" s="1"/>
  <c r="O11" i="2"/>
  <c r="L13" i="2"/>
  <c r="L15" i="2" s="1"/>
  <c r="L16" i="2" s="1"/>
  <c r="O13" i="2" l="1"/>
  <c r="O15" i="2" s="1"/>
  <c r="O16" i="2" s="1"/>
  <c r="O23" i="2"/>
  <c r="AF14" i="2"/>
  <c r="AF15" i="2" s="1"/>
  <c r="AF16" i="2" s="1"/>
  <c r="J13" i="2"/>
  <c r="J15" i="2" s="1"/>
  <c r="J16" i="2" s="1"/>
  <c r="J23" i="2"/>
</calcChain>
</file>

<file path=xl/sharedStrings.xml><?xml version="1.0" encoding="utf-8"?>
<sst xmlns="http://schemas.openxmlformats.org/spreadsheetml/2006/main" count="43" uniqueCount="39">
  <si>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</si>
  <si>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</si>
  <si>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</si>
  <si>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</si>
  <si>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</si>
  <si>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</si>
  <si>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</si>
  <si>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</si>
  <si>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</si>
  <si>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</si>
  <si>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</si>
  <si>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</si>
  <si>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</si>
  <si>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</si>
  <si>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</si>
  <si>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</si>
  <si>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Net Income</t>
  </si>
  <si>
    <t>Taxes</t>
  </si>
  <si>
    <t>Pretax Income</t>
  </si>
  <si>
    <t>Interest Income</t>
  </si>
  <si>
    <t>Operating Income</t>
  </si>
  <si>
    <t>SG&amp;A</t>
  </si>
  <si>
    <t>Gross Profit</t>
  </si>
  <si>
    <t>COGS</t>
  </si>
  <si>
    <t>EPS</t>
  </si>
  <si>
    <t>Revenue y/y</t>
  </si>
  <si>
    <t>Q122</t>
  </si>
  <si>
    <t>Q222</t>
  </si>
  <si>
    <t>Q322</t>
  </si>
  <si>
    <t>Q422</t>
  </si>
  <si>
    <t>Q121</t>
  </si>
  <si>
    <t>Q221</t>
  </si>
  <si>
    <t>Q321</t>
  </si>
  <si>
    <t>Q421</t>
  </si>
  <si>
    <t>Gross Margin</t>
  </si>
  <si>
    <t>Monster</t>
  </si>
  <si>
    <t>SG&amp;A % of sales</t>
  </si>
  <si>
    <t>Operating Margin</t>
  </si>
  <si>
    <t>Red Bull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</si>
</sst>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0A48C7D-55BE-498E-BBA3-4FCF4C49EE4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323868</xdr:colOff>
      <xdr:row>0</xdr:row>
      <xdr:rowOff>135355</xdr:rowOff>
    </xdr:from>
    <xdr:to>
      <xdr:col>7</xdr:col>
      <xdr:colOff>544879</xdr:colOff>
      <xdr:row>25</xdr:row>
      <xdr:rowOff>142219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808AD1-E5EC-C708-C446-05C81B824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68" y="135355"/>
          <a:ext cx="4502248" cy="4017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54428</xdr:colOff>
      <xdr:row>0</xdr:row>
      <xdr:rowOff>0</xdr:rowOff>
    </xdr:from>
    <xdr:to>
      <xdr:col>16</xdr:col>
      <xdr:colOff>54428</xdr:colOff>
      <xdr:row>37</xdr:row>
      <xdr:rowOff>141513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B426979-B8DE-0DA7-0C16-183F205A7E82}"/>
            </a:ext>
          </a:extLst>
        </xdr:cNvPr>
        <xdr:cNvCxnSpPr/>
      </xdr:nvCxnSpPr>
      <xdr:spPr>
        <a:xfrm>
          <a:off x="9971314" y="0"/>
          <a:ext cx="0" cy="6019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27214</xdr:colOff>
      <xdr:row>0</xdr:row>
      <xdr:rowOff>48986</xdr:rowOff>
    </xdr:from>
    <xdr:to>
      <xdr:col>12</xdr:col>
      <xdr:colOff>27214</xdr:colOff>
      <xdr:row>38</xdr:row>
      <xdr:rowOff>27214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AEA635E-E5CE-4A9E-AE34-8458BB9EC3A5}"/>
            </a:ext>
          </a:extLst>
        </xdr:cNvPr>
        <xdr:cNvCxnSpPr/>
      </xdr:nvCxnSpPr>
      <xdr:spPr>
        <a:xfrm>
          <a:off x="7505700" y="48986"/>
          <a:ext cx="0" cy="6019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59871</xdr:colOff>
      <xdr:row>0</xdr:row>
      <xdr:rowOff>0</xdr:rowOff>
    </xdr:from>
    <xdr:to>
      <xdr:col>29</xdr:col>
      <xdr:colOff>59871</xdr:colOff>
      <xdr:row>37</xdr:row>
      <xdr:rowOff>141513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EB530B1-E8BE-4DC1-B5CD-512FF281B447}"/>
            </a:ext>
          </a:extLst>
        </xdr:cNvPr>
        <xdr:cNvCxnSpPr/>
      </xdr:nvCxnSpPr>
      <xdr:spPr>
        <a:xfrm>
          <a:off x="17901557" y="0"/>
          <a:ext cx="0" cy="60197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AAB6-5D05-4CC9-9199-6AA590F4929D}">
  <dimension ref="J2:L7"/>
  <sheetViews>
    <sheetView tabSelected="1" zoomScale="190" zoomScaleNormal="190" workbookViewId="0">
      <selection activeCell="L8" sqref="L8"/>
    </sheetView>
  </sheetViews>
  <sheetFormatPr defaultRowHeight="12.75" x14ac:dyDescent="0.2"/>
  <sheetData>
    <row r="2" spans="10:12" x14ac:dyDescent="0.2">
      <c r="J2" t="s">
        <v>0</v>
      </c>
      <c r="K2" s="1">
        <v>26</v>
      </c>
    </row>
    <row r="3" spans="10:12" x14ac:dyDescent="0.2">
      <c r="J3" t="s">
        <v>1</v>
      </c>
      <c r="K3" s="2">
        <v>233.34437700000001</v>
      </c>
      <c r="L3" s="3" t="s">
        <v>6</v>
      </c>
    </row>
    <row r="4" spans="10:12" x14ac:dyDescent="0.2">
      <c r="J4" t="s">
        <v>2</v>
      </c>
      <c r="K4" s="2">
        <f>+K2*K3</f>
        <v>6066.953802</v>
      </c>
    </row>
    <row r="5" spans="10:12" x14ac:dyDescent="0.2">
      <c r="J5" t="s">
        <v>3</v>
      </c>
      <c r="K5" s="2">
        <v>903.21</v>
      </c>
      <c r="L5" s="3" t="s">
        <v>6</v>
      </c>
    </row>
    <row r="6" spans="10:12" x14ac:dyDescent="0.2">
      <c r="J6" t="s">
        <v>4</v>
      </c>
      <c r="K6" s="2">
        <v>0</v>
      </c>
      <c r="L6" s="3" t="s">
        <v>6</v>
      </c>
    </row>
    <row r="7" spans="10:12" x14ac:dyDescent="0.2">
      <c r="J7" t="s">
        <v>5</v>
      </c>
      <c r="K7" s="2">
        <f>+K4-K5+K6</f>
        <v>5163.743802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C31A-C92F-4AC3-83E6-1987F83B4153}">
  <dimension ref="A1:AH23"/>
  <sheetViews>
    <sheetView zoomScale="175" zoomScaleNormal="175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F15" sqref="AF15"/>
    </sheetView>
  </sheetViews>
  <sheetFormatPr defaultRowHeight="12.75" x14ac:dyDescent="0.2"/>
  <cols>
    <col min="1" max="1" width="5" bestFit="1" customWidth="1"/>
    <col min="2" max="2" width="15.7109375" bestFit="1" customWidth="1"/>
    <col min="3" max="18" width="9.140625" style="3"/>
  </cols>
  <sheetData>
    <row r="1" spans="1:34" x14ac:dyDescent="0.2">
      <c r="A1" t="s">
        <v>7</v>
      </c>
    </row>
    <row r="2" spans="1:34" x14ac:dyDescent="0.2">
      <c r="C2" s="3" t="s">
        <v>30</v>
      </c>
      <c r="D2" s="3" t="s">
        <v>31</v>
      </c>
      <c r="E2" s="3" t="s">
        <v>32</v>
      </c>
      <c r="F2" s="3" t="s">
        <v>33</v>
      </c>
      <c r="G2" s="3" t="s">
        <v>26</v>
      </c>
      <c r="H2" s="3" t="s">
        <v>27</v>
      </c>
      <c r="I2" s="3" t="s">
        <v>28</v>
      </c>
      <c r="J2" s="3" t="s">
        <v>29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6</v>
      </c>
      <c r="Q2" s="3" t="s">
        <v>14</v>
      </c>
      <c r="R2" s="3" t="s">
        <v>15</v>
      </c>
      <c r="U2">
        <v>2015</v>
      </c>
      <c r="V2">
        <f>+U2+1</f>
        <v>2016</v>
      </c>
      <c r="W2">
        <f t="shared" ref="W2:AH2" si="0">+V2+1</f>
        <v>2017</v>
      </c>
      <c r="X2">
        <f t="shared" si="0"/>
        <v>2018</v>
      </c>
      <c r="Y2">
        <f t="shared" si="0"/>
        <v>2019</v>
      </c>
      <c r="Z2">
        <f t="shared" si="0"/>
        <v>2020</v>
      </c>
      <c r="AA2">
        <f t="shared" si="0"/>
        <v>2021</v>
      </c>
      <c r="AB2">
        <f t="shared" si="0"/>
        <v>2022</v>
      </c>
      <c r="AC2">
        <f t="shared" si="0"/>
        <v>2023</v>
      </c>
      <c r="AD2">
        <f t="shared" si="0"/>
        <v>2024</v>
      </c>
      <c r="AE2">
        <f t="shared" si="0"/>
        <v>2025</v>
      </c>
      <c r="AF2">
        <f t="shared" si="0"/>
        <v>2026</v>
      </c>
      <c r="AG2">
        <f t="shared" si="0"/>
        <v>2027</v>
      </c>
      <c r="AH2">
        <f t="shared" si="0"/>
        <v>2028</v>
      </c>
    </row>
    <row r="3" spans="1:34" s="2" customFormat="1" x14ac:dyDescent="0.2">
      <c r="B3" s="2" t="s">
        <v>38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U3" s="2">
        <v>5900</v>
      </c>
      <c r="V3" s="2">
        <v>6030</v>
      </c>
      <c r="W3" s="2">
        <v>6280</v>
      </c>
      <c r="X3" s="2">
        <v>5540</v>
      </c>
      <c r="Y3" s="2">
        <v>6070</v>
      </c>
      <c r="Z3" s="2">
        <v>7160</v>
      </c>
      <c r="AA3" s="2">
        <v>7820</v>
      </c>
      <c r="AB3" s="2">
        <v>9680</v>
      </c>
      <c r="AC3" s="2">
        <v>10550</v>
      </c>
    </row>
    <row r="4" spans="1:34" s="2" customFormat="1" x14ac:dyDescent="0.2">
      <c r="B4" s="2" t="s">
        <v>35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Y4" s="2">
        <v>4200.8190000000004</v>
      </c>
      <c r="Z4" s="2">
        <v>4598.6379999999999</v>
      </c>
      <c r="AA4" s="2">
        <v>5541.3519999999999</v>
      </c>
      <c r="AB4" s="2">
        <v>6311.05</v>
      </c>
      <c r="AC4" s="2">
        <v>7140.027</v>
      </c>
    </row>
    <row r="7" spans="1:34" s="6" customFormat="1" x14ac:dyDescent="0.2">
      <c r="B7" s="6" t="s">
        <v>8</v>
      </c>
      <c r="C7" s="7"/>
      <c r="D7" s="7"/>
      <c r="E7" s="7"/>
      <c r="F7" s="7"/>
      <c r="G7" s="7">
        <v>133.38800000000001</v>
      </c>
      <c r="H7" s="7">
        <v>154.02000000000001</v>
      </c>
      <c r="I7" s="7">
        <v>188.233</v>
      </c>
      <c r="J7" s="7">
        <v>177.964</v>
      </c>
      <c r="K7" s="7">
        <v>259.93900000000002</v>
      </c>
      <c r="L7" s="7">
        <v>325.88299999999998</v>
      </c>
      <c r="M7" s="7">
        <v>384.75700000000001</v>
      </c>
      <c r="N7" s="7">
        <v>347.435</v>
      </c>
      <c r="O7" s="7">
        <v>355.70800000000003</v>
      </c>
      <c r="P7" s="7">
        <v>401.97699999999998</v>
      </c>
      <c r="Q7" s="7">
        <f>154*1.3+120</f>
        <v>320.20000000000005</v>
      </c>
      <c r="R7" s="7">
        <f>+N7*1.2</f>
        <v>416.92199999999997</v>
      </c>
      <c r="AB7" s="6">
        <f>SUM(G7:J7)</f>
        <v>653.60500000000002</v>
      </c>
      <c r="AC7" s="6">
        <f>SUM(K7:N7)</f>
        <v>1318.0139999999999</v>
      </c>
      <c r="AD7" s="6">
        <f>SUM(O7:R7)</f>
        <v>1494.807</v>
      </c>
      <c r="AE7" s="6">
        <f>+AD7*1.2</f>
        <v>1793.7683999999999</v>
      </c>
      <c r="AF7" s="6">
        <f>+AE7*1.2</f>
        <v>2152.5220799999997</v>
      </c>
    </row>
    <row r="8" spans="1:34" s="2" customFormat="1" x14ac:dyDescent="0.2">
      <c r="B8" s="2" t="s">
        <v>23</v>
      </c>
      <c r="C8" s="4"/>
      <c r="D8" s="4"/>
      <c r="E8" s="4"/>
      <c r="F8" s="4"/>
      <c r="G8" s="4">
        <v>79.494</v>
      </c>
      <c r="H8" s="4">
        <v>94.700999999999993</v>
      </c>
      <c r="I8" s="4">
        <v>109.583</v>
      </c>
      <c r="J8" s="4">
        <v>98.956999999999994</v>
      </c>
      <c r="K8" s="4">
        <v>146.12100000000001</v>
      </c>
      <c r="L8" s="4">
        <v>166.88900000000001</v>
      </c>
      <c r="M8" s="4">
        <v>190.67500000000001</v>
      </c>
      <c r="N8" s="4">
        <v>181.19</v>
      </c>
      <c r="O8" s="4">
        <v>192.87899999999999</v>
      </c>
      <c r="P8" s="4">
        <v>192.87899999999999</v>
      </c>
      <c r="Q8" s="4"/>
      <c r="R8" s="4"/>
      <c r="AF8" s="2">
        <f>+AF7-AF9</f>
        <v>1033.2105983999998</v>
      </c>
    </row>
    <row r="9" spans="1:34" s="2" customFormat="1" x14ac:dyDescent="0.2">
      <c r="B9" s="2" t="s">
        <v>22</v>
      </c>
      <c r="C9" s="4"/>
      <c r="D9" s="4"/>
      <c r="E9" s="4"/>
      <c r="F9" s="4"/>
      <c r="G9" s="4">
        <f t="shared" ref="G9:P9" si="1">+G7-G8</f>
        <v>53.894000000000005</v>
      </c>
      <c r="H9" s="4">
        <f t="shared" si="1"/>
        <v>59.319000000000017</v>
      </c>
      <c r="I9" s="4">
        <f t="shared" si="1"/>
        <v>78.650000000000006</v>
      </c>
      <c r="J9" s="4">
        <f t="shared" si="1"/>
        <v>79.007000000000005</v>
      </c>
      <c r="K9" s="4">
        <f t="shared" si="1"/>
        <v>113.81800000000001</v>
      </c>
      <c r="L9" s="4">
        <f t="shared" si="1"/>
        <v>158.99399999999997</v>
      </c>
      <c r="M9" s="4">
        <f t="shared" si="1"/>
        <v>194.08199999999999</v>
      </c>
      <c r="N9" s="4">
        <f t="shared" si="1"/>
        <v>166.245</v>
      </c>
      <c r="O9" s="4">
        <f t="shared" si="1"/>
        <v>162.82900000000004</v>
      </c>
      <c r="P9" s="4">
        <f t="shared" si="1"/>
        <v>209.09799999999998</v>
      </c>
      <c r="Q9" s="4"/>
      <c r="R9" s="4"/>
      <c r="AF9" s="2">
        <f>+AF7*0.52</f>
        <v>1119.3114816</v>
      </c>
    </row>
    <row r="10" spans="1:34" s="2" customFormat="1" x14ac:dyDescent="0.2">
      <c r="B10" s="2" t="s">
        <v>21</v>
      </c>
      <c r="C10" s="4"/>
      <c r="D10" s="4"/>
      <c r="E10" s="4"/>
      <c r="F10" s="4"/>
      <c r="G10" s="4">
        <v>43.777999999999999</v>
      </c>
      <c r="H10" s="4">
        <v>46.889000000000003</v>
      </c>
      <c r="I10" s="4"/>
      <c r="J10" s="4">
        <v>111.753</v>
      </c>
      <c r="K10" s="4">
        <v>68.905000000000001</v>
      </c>
      <c r="L10" s="4">
        <v>94.180999999999997</v>
      </c>
      <c r="M10" s="4">
        <v>96.385000000000005</v>
      </c>
      <c r="N10" s="4">
        <v>107.30200000000001</v>
      </c>
      <c r="O10" s="4">
        <v>114.85</v>
      </c>
      <c r="P10" s="4">
        <v>114.85</v>
      </c>
      <c r="Q10" s="4"/>
      <c r="R10" s="4"/>
      <c r="AF10" s="2">
        <f>+AF7*0.25</f>
        <v>538.13051999999993</v>
      </c>
    </row>
    <row r="11" spans="1:34" s="2" customFormat="1" x14ac:dyDescent="0.2">
      <c r="B11" s="2" t="s">
        <v>20</v>
      </c>
      <c r="C11" s="4"/>
      <c r="D11" s="4"/>
      <c r="E11" s="4"/>
      <c r="F11" s="4"/>
      <c r="G11" s="4">
        <f t="shared" ref="G11:P11" si="2">+G9-G10</f>
        <v>10.116000000000007</v>
      </c>
      <c r="H11" s="4">
        <f t="shared" si="2"/>
        <v>12.430000000000014</v>
      </c>
      <c r="I11" s="4">
        <f t="shared" si="2"/>
        <v>78.650000000000006</v>
      </c>
      <c r="J11" s="4">
        <f t="shared" si="2"/>
        <v>-32.745999999999995</v>
      </c>
      <c r="K11" s="4">
        <f t="shared" si="2"/>
        <v>44.913000000000011</v>
      </c>
      <c r="L11" s="4">
        <f t="shared" si="2"/>
        <v>64.812999999999974</v>
      </c>
      <c r="M11" s="4">
        <f t="shared" si="2"/>
        <v>97.696999999999989</v>
      </c>
      <c r="N11" s="4">
        <f t="shared" si="2"/>
        <v>58.942999999999998</v>
      </c>
      <c r="O11" s="4">
        <f t="shared" si="2"/>
        <v>47.979000000000042</v>
      </c>
      <c r="P11" s="4">
        <f t="shared" si="2"/>
        <v>94.24799999999999</v>
      </c>
      <c r="Q11" s="4"/>
      <c r="R11" s="4"/>
      <c r="AF11" s="2">
        <f>+AF9-AF10</f>
        <v>581.18096160000005</v>
      </c>
    </row>
    <row r="12" spans="1:34" s="2" customFormat="1" x14ac:dyDescent="0.2">
      <c r="B12" s="2" t="s">
        <v>19</v>
      </c>
      <c r="C12" s="4"/>
      <c r="D12" s="4"/>
      <c r="E12" s="4"/>
      <c r="F12" s="4"/>
      <c r="G12" s="4">
        <f>0.078-0.002</f>
        <v>7.5999999999999998E-2</v>
      </c>
      <c r="H12" s="4">
        <f>0.055-0.003</f>
        <v>5.1999999999999998E-2</v>
      </c>
      <c r="I12" s="4"/>
      <c r="J12" s="4">
        <v>3.899</v>
      </c>
      <c r="K12" s="4">
        <f>4.924-0.118</f>
        <v>4.806</v>
      </c>
      <c r="L12" s="4">
        <f>5.545-0.931</f>
        <v>4.6139999999999999</v>
      </c>
      <c r="M12" s="4">
        <f>7.197-0.177</f>
        <v>7.0200000000000005</v>
      </c>
      <c r="N12" s="4">
        <v>8.8350000000000009</v>
      </c>
      <c r="O12" s="4">
        <f>10.647-0.264</f>
        <v>10.383000000000001</v>
      </c>
      <c r="P12" s="4">
        <f>10.647-0.264</f>
        <v>10.383000000000001</v>
      </c>
      <c r="Q12" s="4"/>
      <c r="R12" s="4"/>
    </row>
    <row r="13" spans="1:34" s="2" customFormat="1" x14ac:dyDescent="0.2">
      <c r="B13" s="2" t="s">
        <v>18</v>
      </c>
      <c r="C13" s="4"/>
      <c r="D13" s="4"/>
      <c r="E13" s="4"/>
      <c r="F13" s="4"/>
      <c r="G13" s="4">
        <f t="shared" ref="G13:P13" si="3">+G11+G12</f>
        <v>10.192000000000007</v>
      </c>
      <c r="H13" s="4">
        <f t="shared" si="3"/>
        <v>12.482000000000014</v>
      </c>
      <c r="I13" s="4">
        <f t="shared" si="3"/>
        <v>78.650000000000006</v>
      </c>
      <c r="J13" s="4">
        <f t="shared" si="3"/>
        <v>-28.846999999999994</v>
      </c>
      <c r="K13" s="4">
        <f t="shared" si="3"/>
        <v>49.719000000000008</v>
      </c>
      <c r="L13" s="4">
        <f t="shared" si="3"/>
        <v>69.426999999999978</v>
      </c>
      <c r="M13" s="4">
        <f t="shared" si="3"/>
        <v>104.71699999999998</v>
      </c>
      <c r="N13" s="4">
        <f t="shared" si="3"/>
        <v>67.777999999999992</v>
      </c>
      <c r="O13" s="4">
        <f t="shared" si="3"/>
        <v>58.362000000000045</v>
      </c>
      <c r="P13" s="4">
        <f t="shared" si="3"/>
        <v>104.63099999999999</v>
      </c>
      <c r="Q13" s="4"/>
      <c r="R13" s="4"/>
      <c r="AF13" s="2">
        <f>+AF11+AF12</f>
        <v>581.18096160000005</v>
      </c>
    </row>
    <row r="14" spans="1:34" s="2" customFormat="1" x14ac:dyDescent="0.2">
      <c r="B14" s="2" t="s">
        <v>17</v>
      </c>
      <c r="C14" s="4"/>
      <c r="D14" s="4"/>
      <c r="E14" s="4"/>
      <c r="F14" s="4"/>
      <c r="G14" s="4">
        <f>3.351+0.491</f>
        <v>3.8420000000000001</v>
      </c>
      <c r="H14" s="4">
        <v>2.81</v>
      </c>
      <c r="I14" s="4"/>
      <c r="J14" s="4">
        <v>-7.0350000000000001</v>
      </c>
      <c r="K14" s="4">
        <v>8.5370000000000008</v>
      </c>
      <c r="L14" s="4">
        <v>17.946000000000002</v>
      </c>
      <c r="M14" s="4">
        <f>20.796+6.875+6.54</f>
        <v>34.210999999999999</v>
      </c>
      <c r="N14" s="4">
        <v>17.669</v>
      </c>
      <c r="O14" s="4">
        <v>24.847999999999999</v>
      </c>
      <c r="P14" s="4">
        <v>24.847999999999999</v>
      </c>
      <c r="Q14" s="4"/>
      <c r="R14" s="4"/>
      <c r="AF14" s="2">
        <f>+AF13*0.15</f>
        <v>87.177144240000004</v>
      </c>
    </row>
    <row r="15" spans="1:34" s="2" customFormat="1" x14ac:dyDescent="0.2">
      <c r="B15" s="2" t="s">
        <v>16</v>
      </c>
      <c r="C15" s="4"/>
      <c r="D15" s="4"/>
      <c r="E15" s="4"/>
      <c r="F15" s="4"/>
      <c r="G15" s="4">
        <f t="shared" ref="G15:P15" si="4">+G13-G14</f>
        <v>6.3500000000000068</v>
      </c>
      <c r="H15" s="4">
        <f t="shared" si="4"/>
        <v>9.672000000000013</v>
      </c>
      <c r="I15" s="4">
        <f t="shared" si="4"/>
        <v>78.650000000000006</v>
      </c>
      <c r="J15" s="4">
        <f t="shared" si="4"/>
        <v>-21.811999999999994</v>
      </c>
      <c r="K15" s="4">
        <f t="shared" si="4"/>
        <v>41.182000000000009</v>
      </c>
      <c r="L15" s="4">
        <f t="shared" si="4"/>
        <v>51.48099999999998</v>
      </c>
      <c r="M15" s="4">
        <f t="shared" si="4"/>
        <v>70.505999999999986</v>
      </c>
      <c r="N15" s="4">
        <f t="shared" si="4"/>
        <v>50.108999999999995</v>
      </c>
      <c r="O15" s="4">
        <f t="shared" si="4"/>
        <v>33.514000000000046</v>
      </c>
      <c r="P15" s="4">
        <f t="shared" si="4"/>
        <v>79.782999999999987</v>
      </c>
      <c r="Q15" s="4"/>
      <c r="R15" s="4"/>
      <c r="AF15" s="2">
        <f>+AF13-AF14</f>
        <v>494.00381736000003</v>
      </c>
    </row>
    <row r="16" spans="1:34" x14ac:dyDescent="0.2">
      <c r="B16" s="2" t="s">
        <v>24</v>
      </c>
      <c r="C16" s="5"/>
      <c r="D16" s="5"/>
      <c r="E16" s="5"/>
      <c r="F16" s="5"/>
      <c r="G16" s="5">
        <f t="shared" ref="G16:P16" si="5">+G15/G17</f>
        <v>8.1109734445452192E-2</v>
      </c>
      <c r="H16" s="5">
        <f t="shared" si="5"/>
        <v>0.12341142244679239</v>
      </c>
      <c r="I16" s="5">
        <f t="shared" si="5"/>
        <v>1.003547185219211</v>
      </c>
      <c r="J16" s="5">
        <f t="shared" si="5"/>
        <v>-0.28777244181751005</v>
      </c>
      <c r="K16" s="5">
        <f t="shared" si="5"/>
        <v>0.17429542443826532</v>
      </c>
      <c r="L16" s="5" t="e">
        <f t="shared" si="5"/>
        <v>#DIV/0!</v>
      </c>
      <c r="M16" s="5">
        <f t="shared" si="5"/>
        <v>0.89145414775385301</v>
      </c>
      <c r="N16" s="5" t="e">
        <f t="shared" si="5"/>
        <v>#DIV/0!</v>
      </c>
      <c r="O16" s="5">
        <f t="shared" si="5"/>
        <v>0.14109791472825808</v>
      </c>
      <c r="P16" s="5">
        <f t="shared" si="5"/>
        <v>0.341910960211396</v>
      </c>
      <c r="AF16" s="1">
        <f>AF15/AF17</f>
        <v>2.117059016853875</v>
      </c>
    </row>
    <row r="17" spans="2:32" x14ac:dyDescent="0.2">
      <c r="B17" s="2" t="s">
        <v>1</v>
      </c>
      <c r="C17" s="4"/>
      <c r="D17" s="4"/>
      <c r="E17" s="4"/>
      <c r="F17" s="4"/>
      <c r="G17" s="4">
        <v>78.289000000000001</v>
      </c>
      <c r="H17" s="4">
        <v>78.372</v>
      </c>
      <c r="I17" s="4">
        <v>78.372</v>
      </c>
      <c r="J17" s="4">
        <v>75.796000000000006</v>
      </c>
      <c r="K17" s="4">
        <v>236.27699999999999</v>
      </c>
      <c r="L17" s="4"/>
      <c r="M17" s="4">
        <v>79.090999999999994</v>
      </c>
      <c r="N17" s="4"/>
      <c r="O17" s="4">
        <v>237.523</v>
      </c>
      <c r="P17" s="4">
        <v>233.34437700000001</v>
      </c>
      <c r="AF17" s="2">
        <f>AVERAGE(P17)</f>
        <v>233.34437700000001</v>
      </c>
    </row>
    <row r="20" spans="2:32" s="9" customFormat="1" x14ac:dyDescent="0.2">
      <c r="B20" s="6" t="s">
        <v>25</v>
      </c>
      <c r="C20" s="10"/>
      <c r="D20" s="10"/>
      <c r="E20" s="10"/>
      <c r="F20" s="10"/>
      <c r="G20" s="10"/>
      <c r="H20" s="10"/>
      <c r="I20" s="11"/>
      <c r="J20" s="11"/>
      <c r="K20" s="11">
        <f t="shared" ref="K20:Q20" si="6">+K7/G7-1</f>
        <v>0.94874351515878508</v>
      </c>
      <c r="L20" s="11">
        <f t="shared" si="6"/>
        <v>1.1158485910920657</v>
      </c>
      <c r="M20" s="11">
        <f t="shared" si="6"/>
        <v>1.0440464743164055</v>
      </c>
      <c r="N20" s="11">
        <f t="shared" si="6"/>
        <v>0.95227686498392927</v>
      </c>
      <c r="O20" s="11">
        <f t="shared" si="6"/>
        <v>0.36842874674442849</v>
      </c>
      <c r="P20" s="11">
        <f t="shared" si="6"/>
        <v>0.23350098041321576</v>
      </c>
      <c r="Q20" s="11">
        <f t="shared" si="6"/>
        <v>-0.16778642103977304</v>
      </c>
      <c r="R20" s="11">
        <f t="shared" ref="R20" si="7">+R7/N7-1</f>
        <v>0.19999999999999996</v>
      </c>
    </row>
    <row r="21" spans="2:32" x14ac:dyDescent="0.2">
      <c r="B21" s="2" t="s">
        <v>34</v>
      </c>
      <c r="G21" s="8">
        <f t="shared" ref="G21:R21" si="8">+G9/G7</f>
        <v>0.40403934386901375</v>
      </c>
      <c r="H21" s="8">
        <f t="shared" si="8"/>
        <v>0.38513829372808733</v>
      </c>
      <c r="I21" s="8">
        <f t="shared" si="8"/>
        <v>0.41783321734233636</v>
      </c>
      <c r="J21" s="8">
        <f t="shared" si="8"/>
        <v>0.44394933806837339</v>
      </c>
      <c r="K21" s="8">
        <f t="shared" si="8"/>
        <v>0.43786426815522106</v>
      </c>
      <c r="L21" s="8">
        <f t="shared" si="8"/>
        <v>0.48788675690355121</v>
      </c>
      <c r="M21" s="8">
        <f t="shared" si="8"/>
        <v>0.50442746980561759</v>
      </c>
      <c r="N21" s="8">
        <f t="shared" si="8"/>
        <v>0.4784923798696159</v>
      </c>
      <c r="O21" s="8">
        <f t="shared" si="8"/>
        <v>0.45776029777233018</v>
      </c>
      <c r="P21" s="8">
        <f t="shared" si="8"/>
        <v>0.52017403980824772</v>
      </c>
      <c r="Q21" s="8">
        <f t="shared" si="8"/>
        <v>0</v>
      </c>
      <c r="R21" s="8">
        <f t="shared" si="8"/>
        <v>0</v>
      </c>
    </row>
    <row r="22" spans="2:32" x14ac:dyDescent="0.2">
      <c r="B22" t="s">
        <v>36</v>
      </c>
      <c r="I22" s="8">
        <f t="shared" ref="I22:O22" si="9">+I10/I7</f>
        <v>0</v>
      </c>
      <c r="J22" s="8">
        <f t="shared" si="9"/>
        <v>0.6279528443954957</v>
      </c>
      <c r="K22" s="8">
        <f t="shared" si="9"/>
        <v>0.26508142294923037</v>
      </c>
      <c r="L22" s="8">
        <f t="shared" si="9"/>
        <v>0.28900249476038947</v>
      </c>
      <c r="M22" s="8">
        <f t="shared" si="9"/>
        <v>0.25050876267358357</v>
      </c>
      <c r="N22" s="8">
        <f t="shared" si="9"/>
        <v>0.30884050254004347</v>
      </c>
      <c r="O22" s="8">
        <f t="shared" si="9"/>
        <v>0.32287719140418542</v>
      </c>
      <c r="P22" s="8">
        <f>+P10/P7</f>
        <v>0.2857128641688455</v>
      </c>
    </row>
    <row r="23" spans="2:32" x14ac:dyDescent="0.2">
      <c r="B23" t="s">
        <v>37</v>
      </c>
      <c r="J23" s="8">
        <f>J11/J7</f>
        <v>-0.18400350632712231</v>
      </c>
      <c r="K23" s="8">
        <f t="shared" ref="K23:P23" si="10">K11/K7</f>
        <v>0.17278284520599066</v>
      </c>
      <c r="L23" s="8">
        <f t="shared" si="10"/>
        <v>0.19888426214316174</v>
      </c>
      <c r="M23" s="8">
        <f t="shared" si="10"/>
        <v>0.25391870713203396</v>
      </c>
      <c r="N23" s="8">
        <f t="shared" si="10"/>
        <v>0.16965187732957243</v>
      </c>
      <c r="O23" s="8">
        <f t="shared" si="10"/>
        <v>0.13488310636814477</v>
      </c>
      <c r="P23" s="8">
        <f t="shared" si="10"/>
        <v>0.23446117563940225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2024-10-10T13:22:54Z</dcterms:created>
  <dcterms:modified xsi:type="dcterms:W3CDTF">2024-12-31T18:38:21Z</dcterms:modified>
</cp:coreProperties>
</file>