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BF9CD7E-812F-4E94-B2A8-2A66E5A8AE8D}" xr6:coauthVersionLast="47" xr6:coauthVersionMax="47" xr10:uidLastSave="{00000000-0000-0000-0000-000000000000}"/>
  <bookViews>
    <workbookView xWindow="-27930" yWindow="4230" windowWidth="26220" windowHeight="14910" xr2:uid="{73DE5435-C43E-4251-B598-C2080125F38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2" l="1"/>
  <c r="U5" i="2"/>
  <c r="T5" i="2"/>
  <c r="S5" i="2"/>
  <c r="Q23" i="2"/>
  <c r="Q7" i="2"/>
  <c r="R11" i="2" l="1"/>
  <c r="R12" i="2" s="1"/>
  <c r="Q11" i="2"/>
  <c r="R21" i="2"/>
  <c r="Q21" i="2"/>
  <c r="C21" i="2"/>
  <c r="N23" i="2"/>
  <c r="M23" i="2"/>
  <c r="L23" i="2"/>
  <c r="K23" i="2"/>
  <c r="O68" i="2"/>
  <c r="O63" i="2"/>
  <c r="O64" i="2" s="1"/>
  <c r="O54" i="2"/>
  <c r="P54" i="2" s="1"/>
  <c r="Q54" i="2" s="1"/>
  <c r="P23" i="2"/>
  <c r="O38" i="2"/>
  <c r="O42" i="2" s="1"/>
  <c r="O24" i="2"/>
  <c r="O29" i="2"/>
  <c r="P51" i="2"/>
  <c r="Q51" i="2" s="1"/>
  <c r="P52" i="2"/>
  <c r="Q52" i="2" s="1"/>
  <c r="P67" i="2"/>
  <c r="P68" i="2" s="1"/>
  <c r="P62" i="2"/>
  <c r="P45" i="2"/>
  <c r="Q45" i="2" s="1"/>
  <c r="P53" i="2"/>
  <c r="Q53" i="2" s="1"/>
  <c r="P50" i="2"/>
  <c r="Q50" i="2" s="1"/>
  <c r="P49" i="2"/>
  <c r="Q49" i="2" s="1"/>
  <c r="P48" i="2"/>
  <c r="Q48" i="2" s="1"/>
  <c r="P47" i="2"/>
  <c r="Q47" i="2" s="1"/>
  <c r="P46" i="2"/>
  <c r="Q46" i="2" s="1"/>
  <c r="R20" i="2"/>
  <c r="P38" i="2"/>
  <c r="P42" i="2" s="1"/>
  <c r="P29" i="2"/>
  <c r="P24" i="2"/>
  <c r="Q20" i="2"/>
  <c r="K59" i="2"/>
  <c r="O59" i="2"/>
  <c r="P58" i="2"/>
  <c r="Q58" i="2" s="1"/>
  <c r="L58" i="2"/>
  <c r="M58" i="2" s="1"/>
  <c r="L57" i="2"/>
  <c r="M57" i="2" s="1"/>
  <c r="N57" i="2" s="1"/>
  <c r="P57" i="2"/>
  <c r="Q57" i="2" s="1"/>
  <c r="Q59" i="2" s="1"/>
  <c r="Y20" i="2"/>
  <c r="X14" i="2"/>
  <c r="X16" i="2" s="1"/>
  <c r="X11" i="2"/>
  <c r="X7" i="2"/>
  <c r="Z20" i="2"/>
  <c r="Y14" i="2"/>
  <c r="Y16" i="2" s="1"/>
  <c r="Y11" i="2"/>
  <c r="Y7" i="2"/>
  <c r="AA20" i="2"/>
  <c r="Z11" i="2"/>
  <c r="Z7" i="2"/>
  <c r="AA59" i="2"/>
  <c r="AB20" i="2"/>
  <c r="AA11" i="2"/>
  <c r="AA7" i="2"/>
  <c r="AB59" i="2"/>
  <c r="AC20" i="2"/>
  <c r="AB11" i="2"/>
  <c r="AB7" i="2"/>
  <c r="AC59" i="2"/>
  <c r="AD59" i="2"/>
  <c r="AD20" i="2"/>
  <c r="AC11" i="2"/>
  <c r="AC7" i="2"/>
  <c r="AE20" i="2"/>
  <c r="AD11" i="2"/>
  <c r="AD7" i="2"/>
  <c r="AE59" i="2"/>
  <c r="AF59" i="2"/>
  <c r="AF20" i="2"/>
  <c r="AE11" i="2"/>
  <c r="AE7" i="2"/>
  <c r="AG20" i="2"/>
  <c r="AF11" i="2"/>
  <c r="AF7" i="2"/>
  <c r="AG59" i="2"/>
  <c r="AH20" i="2"/>
  <c r="AG11" i="2"/>
  <c r="AG7" i="2"/>
  <c r="AJ59" i="2"/>
  <c r="AI59" i="2"/>
  <c r="AH59" i="2"/>
  <c r="AI20" i="2"/>
  <c r="AH11" i="2"/>
  <c r="AH7" i="2"/>
  <c r="AJ20" i="2"/>
  <c r="AI11" i="2"/>
  <c r="AI7" i="2"/>
  <c r="AJ11" i="2"/>
  <c r="AJ7" i="2"/>
  <c r="AM59" i="2"/>
  <c r="AL59" i="2"/>
  <c r="AK59" i="2"/>
  <c r="AN18" i="2"/>
  <c r="AM18" i="2"/>
  <c r="AL18" i="2"/>
  <c r="AN15" i="2"/>
  <c r="AM15" i="2"/>
  <c r="AL15" i="2"/>
  <c r="AK15" i="2"/>
  <c r="AN13" i="2"/>
  <c r="AM13" i="2"/>
  <c r="AL13" i="2"/>
  <c r="AK13" i="2"/>
  <c r="AN10" i="2"/>
  <c r="AM10" i="2"/>
  <c r="AL10" i="2"/>
  <c r="AK10" i="2"/>
  <c r="AN9" i="2"/>
  <c r="AM9" i="2"/>
  <c r="AL9" i="2"/>
  <c r="AK9" i="2"/>
  <c r="AN8" i="2"/>
  <c r="AM8" i="2"/>
  <c r="AL8" i="2"/>
  <c r="AK8" i="2"/>
  <c r="AN6" i="2"/>
  <c r="AM6" i="2"/>
  <c r="AL6" i="2"/>
  <c r="AK6" i="2"/>
  <c r="AK5" i="2"/>
  <c r="G20" i="2"/>
  <c r="C11" i="2"/>
  <c r="C7" i="2"/>
  <c r="H20" i="2"/>
  <c r="D11" i="2"/>
  <c r="D7" i="2"/>
  <c r="D21" i="2" s="1"/>
  <c r="I20" i="2"/>
  <c r="E11" i="2"/>
  <c r="E7" i="2"/>
  <c r="E21" i="2" s="1"/>
  <c r="J20" i="2"/>
  <c r="F11" i="2"/>
  <c r="F7" i="2"/>
  <c r="F21" i="2" s="1"/>
  <c r="K20" i="2"/>
  <c r="G11" i="2"/>
  <c r="G7" i="2"/>
  <c r="G21" i="2" s="1"/>
  <c r="L20" i="2"/>
  <c r="H11" i="2"/>
  <c r="H7" i="2"/>
  <c r="H21" i="2" s="1"/>
  <c r="I11" i="2"/>
  <c r="I7" i="2"/>
  <c r="I21" i="2" s="1"/>
  <c r="M20" i="2"/>
  <c r="M11" i="2"/>
  <c r="M7" i="2"/>
  <c r="M21" i="2" s="1"/>
  <c r="AL5" i="2"/>
  <c r="AM5" i="2"/>
  <c r="N20" i="2"/>
  <c r="J11" i="2"/>
  <c r="J7" i="2"/>
  <c r="J21" i="2" s="1"/>
  <c r="N11" i="2"/>
  <c r="N7" i="2"/>
  <c r="N21" i="2" s="1"/>
  <c r="P20" i="2"/>
  <c r="O20" i="2"/>
  <c r="K11" i="2"/>
  <c r="K7" i="2"/>
  <c r="K21" i="2" s="1"/>
  <c r="O11" i="2"/>
  <c r="O7" i="2"/>
  <c r="O21" i="2" s="1"/>
  <c r="L11" i="2"/>
  <c r="L7" i="2"/>
  <c r="L21" i="2" s="1"/>
  <c r="P11" i="2"/>
  <c r="P7" i="2"/>
  <c r="P21" i="2" s="1"/>
  <c r="AL2" i="2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K6" i="1"/>
  <c r="K5" i="1"/>
  <c r="K4" i="1"/>
  <c r="K7" i="1" s="1"/>
  <c r="Q55" i="2" l="1"/>
  <c r="Q12" i="2"/>
  <c r="Q14" i="2" s="1"/>
  <c r="Q16" i="2" s="1"/>
  <c r="Q17" i="2" s="1"/>
  <c r="P63" i="2"/>
  <c r="O33" i="2"/>
  <c r="O23" i="2"/>
  <c r="O55" i="2"/>
  <c r="O70" i="2" s="1"/>
  <c r="P64" i="2"/>
  <c r="P55" i="2"/>
  <c r="P33" i="2"/>
  <c r="M59" i="2"/>
  <c r="N58" i="2"/>
  <c r="N59" i="2" s="1"/>
  <c r="L59" i="2"/>
  <c r="P59" i="2"/>
  <c r="Z14" i="2"/>
  <c r="Z16" i="2" s="1"/>
  <c r="AA12" i="2"/>
  <c r="AA14" i="2" s="1"/>
  <c r="AA16" i="2" s="1"/>
  <c r="AL20" i="2"/>
  <c r="AB12" i="2"/>
  <c r="AB14" i="2" s="1"/>
  <c r="AB16" i="2" s="1"/>
  <c r="AC12" i="2"/>
  <c r="AC14" i="2" s="1"/>
  <c r="AC16" i="2" s="1"/>
  <c r="AD12" i="2"/>
  <c r="AD14" i="2" s="1"/>
  <c r="AD16" i="2" s="1"/>
  <c r="AE12" i="2"/>
  <c r="AE14" i="2" s="1"/>
  <c r="AE16" i="2" s="1"/>
  <c r="AM20" i="2"/>
  <c r="AF12" i="2"/>
  <c r="AF14" i="2" s="1"/>
  <c r="AF16" i="2" s="1"/>
  <c r="AG12" i="2"/>
  <c r="AG14" i="2" s="1"/>
  <c r="AG16" i="2" s="1"/>
  <c r="AK7" i="2"/>
  <c r="AN11" i="2"/>
  <c r="AH12" i="2"/>
  <c r="AH14" i="2" s="1"/>
  <c r="AH16" i="2" s="1"/>
  <c r="AK20" i="2"/>
  <c r="AL11" i="2"/>
  <c r="AM7" i="2"/>
  <c r="AL7" i="2"/>
  <c r="AM11" i="2"/>
  <c r="AI12" i="2"/>
  <c r="AI14" i="2" s="1"/>
  <c r="AI16" i="2" s="1"/>
  <c r="AJ12" i="2"/>
  <c r="AJ14" i="2" s="1"/>
  <c r="AJ16" i="2" s="1"/>
  <c r="AK11" i="2"/>
  <c r="AN5" i="2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C12" i="2"/>
  <c r="C14" i="2" s="1"/>
  <c r="C16" i="2" s="1"/>
  <c r="D12" i="2"/>
  <c r="D14" i="2" s="1"/>
  <c r="D16" i="2" s="1"/>
  <c r="E12" i="2"/>
  <c r="E14" i="2" s="1"/>
  <c r="E16" i="2" s="1"/>
  <c r="F12" i="2"/>
  <c r="F14" i="2" s="1"/>
  <c r="F16" i="2" s="1"/>
  <c r="G12" i="2"/>
  <c r="G14" i="2" s="1"/>
  <c r="G16" i="2" s="1"/>
  <c r="P12" i="2"/>
  <c r="P14" i="2" s="1"/>
  <c r="P16" i="2" s="1"/>
  <c r="H12" i="2"/>
  <c r="H14" i="2" s="1"/>
  <c r="H16" i="2" s="1"/>
  <c r="I12" i="2"/>
  <c r="I14" i="2" s="1"/>
  <c r="I16" i="2" s="1"/>
  <c r="M12" i="2"/>
  <c r="M14" i="2" s="1"/>
  <c r="M16" i="2" s="1"/>
  <c r="M17" i="2" s="1"/>
  <c r="J12" i="2"/>
  <c r="J14" i="2" s="1"/>
  <c r="J16" i="2" s="1"/>
  <c r="N12" i="2"/>
  <c r="N14" i="2" s="1"/>
  <c r="N16" i="2" s="1"/>
  <c r="N17" i="2" s="1"/>
  <c r="K12" i="2"/>
  <c r="K14" i="2" s="1"/>
  <c r="K16" i="2" s="1"/>
  <c r="O12" i="2"/>
  <c r="O14" i="2" s="1"/>
  <c r="O16" i="2" s="1"/>
  <c r="L12" i="2"/>
  <c r="L14" i="2" s="1"/>
  <c r="L16" i="2" s="1"/>
  <c r="L17" i="2" s="1"/>
  <c r="O17" i="2" l="1"/>
  <c r="O44" i="2"/>
  <c r="P70" i="2"/>
  <c r="P44" i="2"/>
  <c r="P17" i="2"/>
  <c r="AM12" i="2"/>
  <c r="AM14" i="2" s="1"/>
  <c r="AM16" i="2" s="1"/>
  <c r="AK12" i="2"/>
  <c r="AK14" i="2" s="1"/>
  <c r="AK16" i="2" s="1"/>
  <c r="AL12" i="2"/>
  <c r="AL14" i="2" s="1"/>
  <c r="AL16" i="2" s="1"/>
  <c r="AN7" i="2"/>
  <c r="AN12" i="2" s="1"/>
  <c r="AN14" i="2" s="1"/>
  <c r="AN16" i="2" s="1"/>
  <c r="AN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tc={D48E61D8-28FC-4407-A089-C75FAB3BC964}</author>
  </authors>
  <commentList>
    <comment ref="Q5" authorId="0" shapeId="0" xr:uid="{D48E61D8-28FC-4407-A089-C75FAB3BC964}">
      <text>
        <t>[Threaded comment]
Your version of Excel allows you to read this threaded comment; however, any edits to it will get removed if the file is opened in a newer version of Excel. Learn more: https://go.microsoft.com/fwlink/?linkid=870924
Comment:
    Q2 guidance: 133-135m</t>
      </text>
    </comment>
  </commentList>
</comments>
</file>

<file path=xl/sharedStrings.xml><?xml version="1.0" encoding="utf-8"?>
<sst xmlns="http://schemas.openxmlformats.org/spreadsheetml/2006/main" count="104" uniqueCount="94">
  <si>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</si>
  <si>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</si>
  <si>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</si>
  <si>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</si>
  <si>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</si>
  <si>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</si>
  <si>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</si>
  <si>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</si>
  <si>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</si>
  <si>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</si>
  <si>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</si>
  <si>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</si>
  <si>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</si>
  <si>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</si>
  <si>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</si>
  <si>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</si>
  <si>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</si>
  <si>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</si>
  <si>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</si>
  <si>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</si>
  <si>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Operating Income</t>
  </si>
  <si>
    <t>Operating Expenses</t>
  </si>
  <si>
    <t>G&amp;A</t>
  </si>
  <si>
    <t>S&amp;M</t>
  </si>
  <si>
    <t>R&amp;D</t>
  </si>
  <si>
    <t>Gross Profit</t>
  </si>
  <si>
    <t>COGS</t>
  </si>
  <si>
    <t>Interest Income</t>
  </si>
  <si>
    <t>Pretax Income</t>
  </si>
  <si>
    <t>Taxes</t>
  </si>
  <si>
    <t>Net Income</t>
  </si>
  <si>
    <t>Revenue Growth y/y</t>
  </si>
  <si>
    <t>Subscriptions</t>
  </si>
  <si>
    <t>EPS</t>
  </si>
  <si>
    <t>Q121</t>
  </si>
  <si>
    <t>Q221</t>
  </si>
  <si>
    <t>Q321</t>
  </si>
  <si>
    <t>Q421</t>
  </si>
  <si>
    <t>CFFO</t>
  </si>
  <si>
    <t>CapEx</t>
  </si>
  <si>
    <t>FCF</t>
  </si>
  <si>
    <t>AR</t>
  </si>
  <si>
    <t>Prepaids</t>
  </si>
  <si>
    <t>OCA</t>
  </si>
  <si>
    <t>PP&amp;E</t>
  </si>
  <si>
    <t>Goodwill</t>
  </si>
  <si>
    <t>ROU</t>
  </si>
  <si>
    <t>DTA</t>
  </si>
  <si>
    <t>Other</t>
  </si>
  <si>
    <t>Assets</t>
  </si>
  <si>
    <t>Gross Margin</t>
  </si>
  <si>
    <t>L+SE</t>
  </si>
  <si>
    <t>SE</t>
  </si>
  <si>
    <t>OLTL</t>
  </si>
  <si>
    <t>Lease</t>
  </si>
  <si>
    <t>Accrued</t>
  </si>
  <si>
    <t>DR</t>
  </si>
  <si>
    <t>AP</t>
  </si>
  <si>
    <t>Model NI</t>
  </si>
  <si>
    <t>Reported NI</t>
  </si>
  <si>
    <t>SBC</t>
  </si>
  <si>
    <t>D&amp;A</t>
  </si>
  <si>
    <t>DT</t>
  </si>
  <si>
    <t>Debt Issuance</t>
  </si>
  <si>
    <t>Writeoff</t>
  </si>
  <si>
    <t>Impairment</t>
  </si>
  <si>
    <t>WC</t>
  </si>
  <si>
    <t>CIC</t>
  </si>
  <si>
    <t>FX</t>
  </si>
  <si>
    <t>CFFF</t>
  </si>
  <si>
    <t>ESOP Taxes</t>
  </si>
  <si>
    <t>ESOP Issuance</t>
  </si>
  <si>
    <t>CFFI</t>
  </si>
  <si>
    <t>Investments</t>
  </si>
  <si>
    <t>Net Cash</t>
  </si>
  <si>
    <t>Busuu - language learning</t>
  </si>
  <si>
    <t>Chegg Study</t>
  </si>
  <si>
    <t>Chegg Study Pack (Study, Writing, Math)</t>
  </si>
  <si>
    <t>Chegg Skills - corporate</t>
  </si>
  <si>
    <t>Course Hero, Quizlet, Khan Academy, and Brainly</t>
  </si>
  <si>
    <t>Grammarly</t>
  </si>
  <si>
    <t>Photomath, Gauthmath, and Symbolab</t>
  </si>
  <si>
    <t>Duolingo and Babbel</t>
  </si>
  <si>
    <t>General Assembly, Galvanize, Inc., Flatiron School, Codecademy, DataCamp, and Lambda, Inc.</t>
  </si>
  <si>
    <t>2U, Inc., Simplilearn, and Kenzie Academy.</t>
  </si>
  <si>
    <t>EasyBib</t>
  </si>
  <si>
    <t>Chegg Math - Mathway</t>
  </si>
  <si>
    <t>Chegg Writing - EasyBib, Citation Machine, CiteThisForMe</t>
  </si>
  <si>
    <t>Employees</t>
  </si>
  <si>
    <t>Founded: 2005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</si>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</sst>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  <xf numFmtId="0" fontId="2" fillId="0" borderId="0" xfId="1"/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9BA89E9-774E-4C1A-8296-50FB3427ED6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8659</xdr:colOff>
      <xdr:row>0</xdr:row>
      <xdr:rowOff>38966</xdr:rowOff>
    </xdr:from>
    <xdr:to>
      <xdr:col>40</xdr:col>
      <xdr:colOff>8659</xdr:colOff>
      <xdr:row>59</xdr:row>
      <xdr:rowOff>129886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86BEDB5-952A-DA29-A93F-33336ABB94EF}"/>
            </a:ext>
          </a:extLst>
        </xdr:cNvPr>
        <xdr:cNvCxnSpPr/>
      </xdr:nvCxnSpPr>
      <xdr:spPr>
        <a:xfrm>
          <a:off x="14369761" y="38966"/>
          <a:ext cx="0" cy="441613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32546</xdr:colOff>
      <xdr:row>0</xdr:row>
      <xdr:rowOff>0</xdr:rowOff>
    </xdr:from>
    <xdr:to>
      <xdr:col>17</xdr:col>
      <xdr:colOff>32546</xdr:colOff>
      <xdr:row>91</xdr:row>
      <xdr:rowOff>85396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ABD026B-3E61-4EB9-8EA7-005CFFDA55FE}"/>
            </a:ext>
          </a:extLst>
        </xdr:cNvPr>
        <xdr:cNvCxnSpPr/>
      </xdr:nvCxnSpPr>
      <xdr:spPr>
        <a:xfrm>
          <a:off x="10739960" y="0"/>
          <a:ext cx="0" cy="1502979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B93B85B5-F728-48CD-935D-41A7F3159B4C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5" dT="2024-11-12T18:27:23.97" personId="{B93B85B5-F728-48CD-935D-41A7F3159B4C}" id="{D48E61D8-28FC-4407-A089-C75FAB3BC964}">
    <text>Q2 guidance: 133-135m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FF35D-C759-48E7-97C1-902D05ECE912}">
  <dimension ref="B2:L14"/>
  <sheetViews>
    <sheetView tabSelected="1" zoomScale="175" zoomScaleNormal="175" workbookViewId="0">
      <selection activeCell="K2" sqref="K2"/>
    </sheetView>
  </sheetViews>
  <sheetFormatPr defaultRowHeight="12.75" x14ac:dyDescent="0.2"/>
  <sheetData>
    <row r="2" spans="2:12" x14ac:dyDescent="0.2">
      <c r="B2" t="s">
        <v>77</v>
      </c>
      <c r="J2" t="s">
        <v>0</v>
      </c>
      <c r="K2" s="1">
        <v>1.5</v>
      </c>
    </row>
    <row r="3" spans="2:12" x14ac:dyDescent="0.2">
      <c r="B3" t="s">
        <v>76</v>
      </c>
      <c r="J3" t="s">
        <v>1</v>
      </c>
      <c r="K3" s="2">
        <v>103.66987899999999</v>
      </c>
      <c r="L3" s="3" t="s">
        <v>6</v>
      </c>
    </row>
    <row r="4" spans="2:12" x14ac:dyDescent="0.2">
      <c r="B4" t="s">
        <v>87</v>
      </c>
      <c r="J4" t="s">
        <v>2</v>
      </c>
      <c r="K4" s="2">
        <f>+K3*K2</f>
        <v>155.5048185</v>
      </c>
    </row>
    <row r="5" spans="2:12" x14ac:dyDescent="0.2">
      <c r="B5" t="s">
        <v>86</v>
      </c>
      <c r="J5" t="s">
        <v>3</v>
      </c>
      <c r="K5" s="2">
        <f>133.068+212.396+259.925</f>
        <v>605.38900000000001</v>
      </c>
      <c r="L5" s="3" t="s">
        <v>6</v>
      </c>
    </row>
    <row r="6" spans="2:12" x14ac:dyDescent="0.2">
      <c r="B6" t="s">
        <v>75</v>
      </c>
      <c r="J6" t="s">
        <v>4</v>
      </c>
      <c r="K6" s="2">
        <f>357.838+243.079</f>
        <v>600.91700000000003</v>
      </c>
      <c r="L6" s="3" t="s">
        <v>6</v>
      </c>
    </row>
    <row r="7" spans="2:12" x14ac:dyDescent="0.2">
      <c r="C7" t="s">
        <v>79</v>
      </c>
      <c r="J7" t="s">
        <v>5</v>
      </c>
      <c r="K7" s="2">
        <f>+K4-K5+K6</f>
        <v>151.03281850000002</v>
      </c>
    </row>
    <row r="8" spans="2:12" x14ac:dyDescent="0.2">
      <c r="C8" t="s">
        <v>80</v>
      </c>
      <c r="E8" t="s">
        <v>81</v>
      </c>
    </row>
    <row r="9" spans="2:12" x14ac:dyDescent="0.2">
      <c r="B9" t="s">
        <v>78</v>
      </c>
      <c r="E9" t="s">
        <v>82</v>
      </c>
    </row>
    <row r="10" spans="2:12" x14ac:dyDescent="0.2">
      <c r="E10" t="s">
        <v>83</v>
      </c>
    </row>
    <row r="11" spans="2:12" x14ac:dyDescent="0.2">
      <c r="E11" t="s">
        <v>84</v>
      </c>
    </row>
    <row r="14" spans="2:12" x14ac:dyDescent="0.2">
      <c r="E14" t="s">
        <v>85</v>
      </c>
      <c r="J14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CFFC2-AFE9-4B81-83F2-83199EB3420A}">
  <dimension ref="A1:AY75"/>
  <sheetViews>
    <sheetView zoomScale="145" zoomScaleNormal="145" workbookViewId="0">
      <pane xSplit="2" ySplit="2" topLeftCell="K5" activePane="bottomRight" state="frozen"/>
      <selection pane="topRight" activeCell="C1" sqref="C1"/>
      <selection pane="bottomLeft" activeCell="A3" sqref="A3"/>
      <selection pane="bottomRight" activeCell="V5" sqref="V5"/>
    </sheetView>
  </sheetViews>
  <sheetFormatPr defaultRowHeight="12.75" x14ac:dyDescent="0.2"/>
  <cols>
    <col min="1" max="1" width="5" bestFit="1" customWidth="1"/>
    <col min="2" max="2" width="18.140625" bestFit="1" customWidth="1"/>
    <col min="3" max="32" width="9.140625" style="3"/>
  </cols>
  <sheetData>
    <row r="1" spans="1:51" x14ac:dyDescent="0.2">
      <c r="A1" s="9" t="s">
        <v>7</v>
      </c>
    </row>
    <row r="2" spans="1:51" x14ac:dyDescent="0.2">
      <c r="C2" s="3" t="s">
        <v>34</v>
      </c>
      <c r="D2" s="3" t="s">
        <v>35</v>
      </c>
      <c r="E2" s="3" t="s">
        <v>36</v>
      </c>
      <c r="F2" s="3" t="s">
        <v>37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6</v>
      </c>
      <c r="Q2" s="3" t="s">
        <v>18</v>
      </c>
      <c r="R2" s="3" t="s">
        <v>19</v>
      </c>
      <c r="S2" s="3" t="s">
        <v>90</v>
      </c>
      <c r="T2" s="3" t="s">
        <v>91</v>
      </c>
      <c r="U2" s="3" t="s">
        <v>92</v>
      </c>
      <c r="V2" s="3" t="s">
        <v>93</v>
      </c>
      <c r="X2" s="3">
        <v>2008</v>
      </c>
      <c r="Y2" s="3">
        <v>2009</v>
      </c>
      <c r="Z2" s="3">
        <v>2010</v>
      </c>
      <c r="AA2" s="3">
        <v>2011</v>
      </c>
      <c r="AB2" s="3">
        <v>2012</v>
      </c>
      <c r="AC2" s="3">
        <v>2013</v>
      </c>
      <c r="AD2" s="3">
        <v>2014</v>
      </c>
      <c r="AE2">
        <v>2015</v>
      </c>
      <c r="AF2">
        <v>2016</v>
      </c>
      <c r="AG2">
        <v>2017</v>
      </c>
      <c r="AH2">
        <v>2018</v>
      </c>
      <c r="AI2">
        <v>2019</v>
      </c>
      <c r="AJ2">
        <v>2020</v>
      </c>
      <c r="AK2">
        <v>2021</v>
      </c>
      <c r="AL2">
        <f>+AK2+1</f>
        <v>2022</v>
      </c>
      <c r="AM2">
        <f t="shared" ref="AM2:AX2" si="0">+AL2+1</f>
        <v>2023</v>
      </c>
      <c r="AN2">
        <f t="shared" si="0"/>
        <v>2024</v>
      </c>
      <c r="AO2">
        <f t="shared" si="0"/>
        <v>2025</v>
      </c>
      <c r="AP2">
        <f t="shared" si="0"/>
        <v>2026</v>
      </c>
      <c r="AQ2">
        <f t="shared" si="0"/>
        <v>2027</v>
      </c>
      <c r="AR2">
        <f t="shared" si="0"/>
        <v>2028</v>
      </c>
      <c r="AS2">
        <f t="shared" si="0"/>
        <v>2029</v>
      </c>
      <c r="AT2">
        <f t="shared" si="0"/>
        <v>2030</v>
      </c>
      <c r="AU2">
        <f t="shared" si="0"/>
        <v>2031</v>
      </c>
      <c r="AV2">
        <f t="shared" si="0"/>
        <v>2032</v>
      </c>
      <c r="AW2">
        <f t="shared" si="0"/>
        <v>2033</v>
      </c>
      <c r="AX2">
        <f t="shared" si="0"/>
        <v>2034</v>
      </c>
      <c r="AY2">
        <v>2035</v>
      </c>
    </row>
    <row r="3" spans="1:51" s="2" customFormat="1" x14ac:dyDescent="0.2">
      <c r="B3" s="2" t="s">
        <v>32</v>
      </c>
      <c r="C3" s="4"/>
      <c r="D3" s="4"/>
      <c r="E3" s="4"/>
      <c r="F3" s="4"/>
      <c r="G3" s="4">
        <v>5400</v>
      </c>
      <c r="H3" s="4">
        <v>5300</v>
      </c>
      <c r="I3" s="4">
        <v>4800</v>
      </c>
      <c r="J3" s="4">
        <v>5000</v>
      </c>
      <c r="K3" s="4">
        <v>5100</v>
      </c>
      <c r="L3" s="4">
        <v>4800</v>
      </c>
      <c r="M3" s="4">
        <v>4400</v>
      </c>
      <c r="N3" s="4">
        <v>4600</v>
      </c>
      <c r="O3" s="4">
        <v>4700</v>
      </c>
      <c r="P3" s="4">
        <v>4400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51" x14ac:dyDescent="0.2">
      <c r="AE4"/>
      <c r="AF4"/>
    </row>
    <row r="5" spans="1:51" s="5" customFormat="1" x14ac:dyDescent="0.2">
      <c r="B5" s="5" t="s">
        <v>8</v>
      </c>
      <c r="C5" s="6">
        <v>198.37799999999999</v>
      </c>
      <c r="D5" s="6">
        <v>198.47800000000001</v>
      </c>
      <c r="E5" s="6">
        <v>171.94200000000001</v>
      </c>
      <c r="F5" s="6">
        <v>207.46700000000001</v>
      </c>
      <c r="G5" s="6">
        <v>202.244</v>
      </c>
      <c r="H5" s="6">
        <v>194.721</v>
      </c>
      <c r="I5" s="6">
        <v>164.739</v>
      </c>
      <c r="J5" s="6">
        <v>205.19300000000001</v>
      </c>
      <c r="K5" s="6">
        <v>187.601</v>
      </c>
      <c r="L5" s="6">
        <v>182.85300000000001</v>
      </c>
      <c r="M5" s="6">
        <v>157.85400000000001</v>
      </c>
      <c r="N5" s="6">
        <v>187.98699999999999</v>
      </c>
      <c r="O5" s="6">
        <v>174.35</v>
      </c>
      <c r="P5" s="6">
        <v>163.14699999999999</v>
      </c>
      <c r="Q5" s="6">
        <v>136.6</v>
      </c>
      <c r="R5" s="6">
        <v>142</v>
      </c>
      <c r="S5" s="6">
        <f>+O5*0.9</f>
        <v>156.91499999999999</v>
      </c>
      <c r="T5" s="6">
        <f>+P5*0.9</f>
        <v>146.8323</v>
      </c>
      <c r="U5" s="6">
        <f>+Q5*0.9</f>
        <v>122.94</v>
      </c>
      <c r="V5" s="6">
        <f>+R5*0.9</f>
        <v>127.8</v>
      </c>
      <c r="W5" s="6"/>
      <c r="X5" s="5">
        <v>7.6059999999999999</v>
      </c>
      <c r="Y5" s="5">
        <v>47.834000000000003</v>
      </c>
      <c r="Z5" s="5">
        <v>148.922</v>
      </c>
      <c r="AA5" s="5">
        <v>172.018</v>
      </c>
      <c r="AB5" s="5">
        <v>213.334</v>
      </c>
      <c r="AC5" s="5">
        <v>255.57499999999999</v>
      </c>
      <c r="AD5" s="5">
        <v>304.834</v>
      </c>
      <c r="AE5" s="5">
        <v>301.37299999999999</v>
      </c>
      <c r="AF5" s="5">
        <v>254.09</v>
      </c>
      <c r="AG5" s="5">
        <v>255.066</v>
      </c>
      <c r="AH5" s="5">
        <v>321.084</v>
      </c>
      <c r="AI5" s="5">
        <v>410.92599999999999</v>
      </c>
      <c r="AJ5" s="5">
        <v>644.33799999999997</v>
      </c>
      <c r="AK5" s="5">
        <f>SUM(C5:F5)</f>
        <v>776.26499999999999</v>
      </c>
      <c r="AL5" s="5">
        <f>SUM(G5:J5)</f>
        <v>766.89700000000005</v>
      </c>
      <c r="AM5" s="5">
        <f>SUM(K5:N5)</f>
        <v>716.29499999999996</v>
      </c>
      <c r="AN5" s="5">
        <f>SUM(O5:R5)</f>
        <v>616.09699999999998</v>
      </c>
      <c r="AO5" s="5">
        <f t="shared" ref="AO5:AY5" si="1">+AN5*0.9</f>
        <v>554.4873</v>
      </c>
      <c r="AP5" s="5">
        <f t="shared" si="1"/>
        <v>499.03856999999999</v>
      </c>
      <c r="AQ5" s="5">
        <f t="shared" si="1"/>
        <v>449.13471299999998</v>
      </c>
      <c r="AR5" s="5">
        <f t="shared" si="1"/>
        <v>404.22124170000001</v>
      </c>
      <c r="AS5" s="5">
        <f t="shared" si="1"/>
        <v>363.79911752999999</v>
      </c>
      <c r="AT5" s="5">
        <f t="shared" si="1"/>
        <v>327.419205777</v>
      </c>
      <c r="AU5" s="5">
        <f t="shared" si="1"/>
        <v>294.6772851993</v>
      </c>
      <c r="AV5" s="5">
        <f t="shared" si="1"/>
        <v>265.20955667937</v>
      </c>
      <c r="AW5" s="5">
        <f t="shared" si="1"/>
        <v>238.68860101143301</v>
      </c>
      <c r="AX5" s="5">
        <f t="shared" si="1"/>
        <v>214.81974091028971</v>
      </c>
      <c r="AY5" s="5">
        <f t="shared" si="1"/>
        <v>193.33776681926074</v>
      </c>
    </row>
    <row r="6" spans="1:51" s="2" customFormat="1" x14ac:dyDescent="0.2">
      <c r="B6" s="2" t="s">
        <v>26</v>
      </c>
      <c r="C6" s="4">
        <v>71.384</v>
      </c>
      <c r="D6" s="4">
        <v>60.707999999999998</v>
      </c>
      <c r="E6" s="4">
        <v>67.102000000000004</v>
      </c>
      <c r="F6" s="4">
        <v>55.71</v>
      </c>
      <c r="G6" s="4">
        <v>55.085000000000001</v>
      </c>
      <c r="H6" s="4">
        <v>45.683999999999997</v>
      </c>
      <c r="I6" s="4">
        <v>45.203000000000003</v>
      </c>
      <c r="J6" s="4">
        <v>51.423999999999999</v>
      </c>
      <c r="K6" s="4">
        <v>49.15</v>
      </c>
      <c r="L6" s="4">
        <v>47.411999999999999</v>
      </c>
      <c r="M6" s="4">
        <v>83.575000000000003</v>
      </c>
      <c r="N6" s="4">
        <v>45.804000000000002</v>
      </c>
      <c r="O6" s="4">
        <v>46.497</v>
      </c>
      <c r="P6" s="4">
        <v>45.411000000000001</v>
      </c>
      <c r="Q6" s="4">
        <v>43.42</v>
      </c>
      <c r="R6" s="4"/>
      <c r="S6" s="4"/>
      <c r="T6" s="4"/>
      <c r="U6" s="4"/>
      <c r="V6" s="4"/>
      <c r="W6" s="4"/>
      <c r="X6" s="2">
        <v>5.4329999999999998</v>
      </c>
      <c r="Y6" s="2">
        <v>39.021999999999998</v>
      </c>
      <c r="Z6" s="2">
        <v>114.215</v>
      </c>
      <c r="AA6" s="2">
        <v>127.012</v>
      </c>
      <c r="AB6" s="2">
        <v>145.66900000000001</v>
      </c>
      <c r="AC6" s="2">
        <v>175.06</v>
      </c>
      <c r="AD6" s="2">
        <v>210.98500000000001</v>
      </c>
      <c r="AE6" s="2">
        <v>189.84899999999999</v>
      </c>
      <c r="AF6" s="2">
        <v>119.601</v>
      </c>
      <c r="AG6" s="2">
        <v>80.174999999999997</v>
      </c>
      <c r="AH6" s="2">
        <v>79.995999999999995</v>
      </c>
      <c r="AI6" s="2">
        <v>92.182000000000002</v>
      </c>
      <c r="AJ6" s="2">
        <v>205.417</v>
      </c>
      <c r="AK6" s="2">
        <f>SUM(C6:F6)</f>
        <v>254.904</v>
      </c>
      <c r="AL6" s="2">
        <f>SUM(G6:J6)</f>
        <v>197.39600000000002</v>
      </c>
      <c r="AM6" s="2">
        <f>SUM(K6:N6)</f>
        <v>225.941</v>
      </c>
      <c r="AN6" s="2">
        <f>SUM(O6:R6)</f>
        <v>135.328</v>
      </c>
    </row>
    <row r="7" spans="1:51" s="2" customFormat="1" x14ac:dyDescent="0.2">
      <c r="B7" s="2" t="s">
        <v>25</v>
      </c>
      <c r="C7" s="4">
        <f t="shared" ref="C7:P7" si="2">+C5-C6</f>
        <v>126.99399999999999</v>
      </c>
      <c r="D7" s="4">
        <f t="shared" si="2"/>
        <v>137.77000000000001</v>
      </c>
      <c r="E7" s="4">
        <f t="shared" si="2"/>
        <v>104.84</v>
      </c>
      <c r="F7" s="4">
        <f t="shared" si="2"/>
        <v>151.75700000000001</v>
      </c>
      <c r="G7" s="4">
        <f t="shared" si="2"/>
        <v>147.15899999999999</v>
      </c>
      <c r="H7" s="4">
        <f t="shared" si="2"/>
        <v>149.03700000000001</v>
      </c>
      <c r="I7" s="4">
        <f t="shared" si="2"/>
        <v>119.536</v>
      </c>
      <c r="J7" s="4">
        <f t="shared" si="2"/>
        <v>153.76900000000001</v>
      </c>
      <c r="K7" s="4">
        <f t="shared" si="2"/>
        <v>138.45099999999999</v>
      </c>
      <c r="L7" s="4">
        <f t="shared" si="2"/>
        <v>135.441</v>
      </c>
      <c r="M7" s="4">
        <f t="shared" si="2"/>
        <v>74.279000000000011</v>
      </c>
      <c r="N7" s="4">
        <f t="shared" si="2"/>
        <v>142.18299999999999</v>
      </c>
      <c r="O7" s="4">
        <f t="shared" si="2"/>
        <v>127.85299999999999</v>
      </c>
      <c r="P7" s="4">
        <f t="shared" si="2"/>
        <v>117.73599999999999</v>
      </c>
      <c r="Q7" s="4">
        <f>+Q5-Q6</f>
        <v>93.179999999999993</v>
      </c>
      <c r="R7" s="4"/>
      <c r="S7" s="4"/>
      <c r="T7" s="4"/>
      <c r="U7" s="4"/>
      <c r="V7" s="4"/>
      <c r="W7" s="4"/>
      <c r="X7" s="2">
        <f t="shared" ref="X7:AN7" si="3">+X5-X6</f>
        <v>2.173</v>
      </c>
      <c r="Y7" s="2">
        <f t="shared" si="3"/>
        <v>8.8120000000000047</v>
      </c>
      <c r="Z7" s="2">
        <f t="shared" si="3"/>
        <v>34.706999999999994</v>
      </c>
      <c r="AA7" s="2">
        <f t="shared" si="3"/>
        <v>45.006</v>
      </c>
      <c r="AB7" s="2">
        <f t="shared" si="3"/>
        <v>67.664999999999992</v>
      </c>
      <c r="AC7" s="2">
        <f t="shared" si="3"/>
        <v>80.514999999999986</v>
      </c>
      <c r="AD7" s="2">
        <f t="shared" si="3"/>
        <v>93.84899999999999</v>
      </c>
      <c r="AE7" s="2">
        <f t="shared" si="3"/>
        <v>111.524</v>
      </c>
      <c r="AF7" s="2">
        <f t="shared" si="3"/>
        <v>134.489</v>
      </c>
      <c r="AG7" s="2">
        <f t="shared" si="3"/>
        <v>174.89100000000002</v>
      </c>
      <c r="AH7" s="2">
        <f t="shared" si="3"/>
        <v>241.08800000000002</v>
      </c>
      <c r="AI7" s="2">
        <f t="shared" si="3"/>
        <v>318.74399999999997</v>
      </c>
      <c r="AJ7" s="2">
        <f t="shared" si="3"/>
        <v>438.92099999999994</v>
      </c>
      <c r="AK7" s="2">
        <f t="shared" si="3"/>
        <v>521.36099999999999</v>
      </c>
      <c r="AL7" s="2">
        <f t="shared" si="3"/>
        <v>569.50099999999998</v>
      </c>
      <c r="AM7" s="2">
        <f t="shared" si="3"/>
        <v>490.35399999999993</v>
      </c>
      <c r="AN7" s="2">
        <f t="shared" si="3"/>
        <v>480.76900000000001</v>
      </c>
    </row>
    <row r="8" spans="1:51" s="2" customFormat="1" x14ac:dyDescent="0.2">
      <c r="B8" s="2" t="s">
        <v>24</v>
      </c>
      <c r="C8" s="4">
        <v>46.131</v>
      </c>
      <c r="D8" s="4">
        <v>41.594999999999999</v>
      </c>
      <c r="E8" s="4">
        <v>43.268999999999998</v>
      </c>
      <c r="F8" s="4">
        <v>47.826000000000001</v>
      </c>
      <c r="G8" s="4">
        <v>52.414999999999999</v>
      </c>
      <c r="H8" s="4">
        <v>52.48</v>
      </c>
      <c r="I8" s="4">
        <v>45.426000000000002</v>
      </c>
      <c r="J8" s="4">
        <v>46.316000000000003</v>
      </c>
      <c r="K8" s="4">
        <v>46.906999999999996</v>
      </c>
      <c r="L8" s="4">
        <v>52.872</v>
      </c>
      <c r="M8" s="4">
        <v>46.201999999999998</v>
      </c>
      <c r="N8" s="4">
        <v>45.723999999999997</v>
      </c>
      <c r="O8" s="4">
        <v>44.435000000000002</v>
      </c>
      <c r="P8" s="4">
        <v>43.651000000000003</v>
      </c>
      <c r="Q8" s="4">
        <v>41.337000000000003</v>
      </c>
      <c r="R8" s="4"/>
      <c r="S8" s="4"/>
      <c r="T8" s="4"/>
      <c r="U8" s="4"/>
      <c r="V8" s="4"/>
      <c r="W8" s="4"/>
      <c r="X8" s="2">
        <v>1.3939999999999999</v>
      </c>
      <c r="Y8" s="2">
        <v>7.85</v>
      </c>
      <c r="Z8" s="2">
        <v>18.885000000000002</v>
      </c>
      <c r="AA8" s="2">
        <v>29.591000000000001</v>
      </c>
      <c r="AB8" s="2">
        <v>39.314999999999998</v>
      </c>
      <c r="AC8" s="2">
        <v>41.944000000000003</v>
      </c>
      <c r="AD8" s="2">
        <v>49.386000000000003</v>
      </c>
      <c r="AE8" s="2">
        <v>59.390999999999998</v>
      </c>
      <c r="AF8" s="2">
        <v>66.331000000000003</v>
      </c>
      <c r="AG8" s="2">
        <v>81.926000000000002</v>
      </c>
      <c r="AH8" s="2">
        <v>114.291</v>
      </c>
      <c r="AI8" s="2">
        <v>139.77199999999999</v>
      </c>
      <c r="AJ8" s="2">
        <v>170.905</v>
      </c>
      <c r="AK8" s="2">
        <f>SUM(C8:F8)</f>
        <v>178.821</v>
      </c>
      <c r="AL8" s="2">
        <f>SUM(G8:J8)</f>
        <v>196.637</v>
      </c>
      <c r="AM8" s="2">
        <f>SUM(K8:N8)</f>
        <v>191.70499999999998</v>
      </c>
      <c r="AN8" s="2">
        <f>SUM(O8:R8)</f>
        <v>129.423</v>
      </c>
    </row>
    <row r="9" spans="1:51" s="2" customFormat="1" x14ac:dyDescent="0.2">
      <c r="B9" s="2" t="s">
        <v>23</v>
      </c>
      <c r="C9" s="4">
        <v>26.213999999999999</v>
      </c>
      <c r="D9" s="4">
        <v>21.686</v>
      </c>
      <c r="E9" s="4">
        <v>27.239000000000001</v>
      </c>
      <c r="F9" s="4">
        <v>30.274999999999999</v>
      </c>
      <c r="G9" s="4">
        <v>42.497999999999998</v>
      </c>
      <c r="H9" s="4">
        <v>35.279000000000003</v>
      </c>
      <c r="I9" s="4">
        <v>31.803000000000001</v>
      </c>
      <c r="J9" s="4">
        <v>38.08</v>
      </c>
      <c r="K9" s="4">
        <v>37.017000000000003</v>
      </c>
      <c r="L9" s="4">
        <v>30.956</v>
      </c>
      <c r="M9" s="4">
        <v>28.872</v>
      </c>
      <c r="N9" s="4">
        <v>29.745999999999999</v>
      </c>
      <c r="O9" s="4">
        <v>30.375</v>
      </c>
      <c r="P9" s="4">
        <v>23.545000000000002</v>
      </c>
      <c r="Q9" s="4">
        <v>26.507999999999999</v>
      </c>
      <c r="R9" s="4"/>
      <c r="S9" s="4"/>
      <c r="T9" s="4"/>
      <c r="U9" s="4"/>
      <c r="V9" s="4"/>
      <c r="W9" s="4"/>
      <c r="X9" s="2">
        <v>1.6279999999999999</v>
      </c>
      <c r="Y9" s="2">
        <v>8.5120000000000005</v>
      </c>
      <c r="Z9" s="2">
        <v>24.422000000000001</v>
      </c>
      <c r="AA9" s="2">
        <v>28.4</v>
      </c>
      <c r="AB9" s="2">
        <v>51.082000000000001</v>
      </c>
      <c r="AC9" s="2">
        <v>50.302</v>
      </c>
      <c r="AD9" s="2">
        <v>72.314999999999998</v>
      </c>
      <c r="AE9" s="2">
        <v>64.081999999999994</v>
      </c>
      <c r="AF9" s="2">
        <v>53.948999999999998</v>
      </c>
      <c r="AG9" s="2">
        <v>51.24</v>
      </c>
      <c r="AH9" s="2">
        <v>54.713999999999999</v>
      </c>
      <c r="AI9" s="2">
        <v>63.569000000000003</v>
      </c>
      <c r="AJ9" s="2">
        <v>81.914000000000001</v>
      </c>
      <c r="AK9" s="2">
        <f>SUM(C9:F9)</f>
        <v>105.41399999999999</v>
      </c>
      <c r="AL9" s="2">
        <f>SUM(G9:J9)</f>
        <v>147.66</v>
      </c>
      <c r="AM9" s="2">
        <f>SUM(K9:N9)</f>
        <v>126.59099999999999</v>
      </c>
      <c r="AN9" s="2">
        <f>SUM(O9:R9)</f>
        <v>80.427999999999997</v>
      </c>
    </row>
    <row r="10" spans="1:51" s="2" customFormat="1" x14ac:dyDescent="0.2">
      <c r="B10" s="2" t="s">
        <v>22</v>
      </c>
      <c r="C10" s="4">
        <v>37.869999999999997</v>
      </c>
      <c r="D10" s="4">
        <v>39.719000000000001</v>
      </c>
      <c r="E10" s="4">
        <v>33.970999999999997</v>
      </c>
      <c r="F10" s="4">
        <v>47.459000000000003</v>
      </c>
      <c r="G10" s="4">
        <v>46.87</v>
      </c>
      <c r="H10" s="4">
        <v>53.935000000000002</v>
      </c>
      <c r="I10" s="4">
        <v>53.741999999999997</v>
      </c>
      <c r="J10" s="4">
        <v>61.7</v>
      </c>
      <c r="K10" s="4">
        <v>58.972999999999999</v>
      </c>
      <c r="L10" s="4">
        <v>70.308999999999997</v>
      </c>
      <c r="M10" s="4">
        <v>57.075000000000003</v>
      </c>
      <c r="N10" s="4">
        <v>53.426000000000002</v>
      </c>
      <c r="O10" s="4">
        <v>55.533999999999999</v>
      </c>
      <c r="P10" s="4">
        <v>54.015999999999998</v>
      </c>
      <c r="Q10" s="4">
        <v>51.91</v>
      </c>
      <c r="R10" s="4"/>
      <c r="S10" s="4"/>
      <c r="T10" s="4"/>
      <c r="U10" s="4"/>
      <c r="V10" s="4"/>
      <c r="W10" s="4"/>
      <c r="X10" s="2">
        <v>1.9770000000000001</v>
      </c>
      <c r="Y10" s="2">
        <v>7.5910000000000002</v>
      </c>
      <c r="Z10" s="2">
        <v>15.362</v>
      </c>
      <c r="AA10" s="2">
        <v>20.327999999999999</v>
      </c>
      <c r="AB10" s="2">
        <v>25.117000000000001</v>
      </c>
      <c r="AC10" s="2">
        <v>40.485999999999997</v>
      </c>
      <c r="AD10" s="2">
        <v>41.837000000000003</v>
      </c>
      <c r="AE10" s="2">
        <v>45.209000000000003</v>
      </c>
      <c r="AF10" s="2">
        <v>55.372</v>
      </c>
      <c r="AG10" s="2">
        <v>64.411000000000001</v>
      </c>
      <c r="AH10" s="2">
        <v>77.713999999999999</v>
      </c>
      <c r="AI10" s="2">
        <v>97.585999999999999</v>
      </c>
      <c r="AJ10" s="2">
        <v>129.34899999999999</v>
      </c>
      <c r="AK10" s="2">
        <f>SUM(C10:F10)</f>
        <v>159.01900000000001</v>
      </c>
      <c r="AL10" s="2">
        <f>SUM(G10:J10)</f>
        <v>216.24700000000001</v>
      </c>
      <c r="AM10" s="2">
        <f>SUM(K10:N10)</f>
        <v>239.78299999999996</v>
      </c>
      <c r="AN10" s="2">
        <f>SUM(O10:R10)</f>
        <v>161.45999999999998</v>
      </c>
    </row>
    <row r="11" spans="1:51" s="2" customFormat="1" x14ac:dyDescent="0.2">
      <c r="B11" s="2" t="s">
        <v>21</v>
      </c>
      <c r="C11" s="4">
        <f t="shared" ref="C11:P11" si="4">SUM(C8:C10)</f>
        <v>110.215</v>
      </c>
      <c r="D11" s="4">
        <f t="shared" si="4"/>
        <v>103</v>
      </c>
      <c r="E11" s="4">
        <f t="shared" si="4"/>
        <v>104.47899999999998</v>
      </c>
      <c r="F11" s="4">
        <f t="shared" si="4"/>
        <v>125.56</v>
      </c>
      <c r="G11" s="4">
        <f t="shared" si="4"/>
        <v>141.78299999999999</v>
      </c>
      <c r="H11" s="4">
        <f t="shared" si="4"/>
        <v>141.69400000000002</v>
      </c>
      <c r="I11" s="4">
        <f t="shared" si="4"/>
        <v>130.971</v>
      </c>
      <c r="J11" s="4">
        <f t="shared" si="4"/>
        <v>146.096</v>
      </c>
      <c r="K11" s="4">
        <f t="shared" si="4"/>
        <v>142.89699999999999</v>
      </c>
      <c r="L11" s="4">
        <f t="shared" si="4"/>
        <v>154.137</v>
      </c>
      <c r="M11" s="4">
        <f t="shared" si="4"/>
        <v>132.149</v>
      </c>
      <c r="N11" s="4">
        <f t="shared" si="4"/>
        <v>128.89600000000002</v>
      </c>
      <c r="O11" s="4">
        <f t="shared" si="4"/>
        <v>130.34399999999999</v>
      </c>
      <c r="P11" s="4">
        <f t="shared" si="4"/>
        <v>121.21199999999999</v>
      </c>
      <c r="Q11" s="4">
        <f t="shared" ref="Q11:R11" si="5">SUM(Q8:Q10)</f>
        <v>119.755</v>
      </c>
      <c r="R11" s="4">
        <f t="shared" si="5"/>
        <v>0</v>
      </c>
      <c r="S11" s="4"/>
      <c r="T11" s="4"/>
      <c r="U11" s="4"/>
      <c r="V11" s="4"/>
      <c r="W11" s="4"/>
      <c r="X11" s="2">
        <f t="shared" ref="X11:AK11" si="6">+X10+X9+X8</f>
        <v>4.9989999999999997</v>
      </c>
      <c r="Y11" s="2">
        <f t="shared" si="6"/>
        <v>23.953000000000003</v>
      </c>
      <c r="Z11" s="2">
        <f t="shared" si="6"/>
        <v>58.668999999999997</v>
      </c>
      <c r="AA11" s="2">
        <f t="shared" si="6"/>
        <v>78.318999999999988</v>
      </c>
      <c r="AB11" s="2">
        <f t="shared" si="6"/>
        <v>115.514</v>
      </c>
      <c r="AC11" s="2">
        <f t="shared" si="6"/>
        <v>132.732</v>
      </c>
      <c r="AD11" s="2">
        <f t="shared" si="6"/>
        <v>163.53800000000001</v>
      </c>
      <c r="AE11" s="2">
        <f t="shared" si="6"/>
        <v>168.68199999999999</v>
      </c>
      <c r="AF11" s="2">
        <f t="shared" si="6"/>
        <v>175.65199999999999</v>
      </c>
      <c r="AG11" s="2">
        <f t="shared" si="6"/>
        <v>197.577</v>
      </c>
      <c r="AH11" s="2">
        <f t="shared" si="6"/>
        <v>246.71899999999999</v>
      </c>
      <c r="AI11" s="2">
        <f t="shared" si="6"/>
        <v>300.92700000000002</v>
      </c>
      <c r="AJ11" s="2">
        <f t="shared" si="6"/>
        <v>382.16800000000001</v>
      </c>
      <c r="AK11" s="2">
        <f t="shared" si="6"/>
        <v>443.25400000000002</v>
      </c>
      <c r="AL11" s="2">
        <f t="shared" ref="AL11:AN11" si="7">+AL10+AL9+AL8</f>
        <v>560.5440000000001</v>
      </c>
      <c r="AM11" s="2">
        <f t="shared" si="7"/>
        <v>558.07899999999995</v>
      </c>
      <c r="AN11" s="2">
        <f t="shared" si="7"/>
        <v>371.31099999999998</v>
      </c>
    </row>
    <row r="12" spans="1:51" s="2" customFormat="1" x14ac:dyDescent="0.2">
      <c r="B12" s="2" t="s">
        <v>20</v>
      </c>
      <c r="C12" s="4">
        <f t="shared" ref="C12:P12" si="8">C7-C11</f>
        <v>16.778999999999982</v>
      </c>
      <c r="D12" s="4">
        <f t="shared" si="8"/>
        <v>34.77000000000001</v>
      </c>
      <c r="E12" s="4">
        <f t="shared" si="8"/>
        <v>0.36100000000001842</v>
      </c>
      <c r="F12" s="4">
        <f t="shared" si="8"/>
        <v>26.197000000000003</v>
      </c>
      <c r="G12" s="4">
        <f t="shared" si="8"/>
        <v>5.3760000000000048</v>
      </c>
      <c r="H12" s="4">
        <f t="shared" si="8"/>
        <v>7.3429999999999893</v>
      </c>
      <c r="I12" s="4">
        <f t="shared" si="8"/>
        <v>-11.435000000000002</v>
      </c>
      <c r="J12" s="4">
        <f t="shared" si="8"/>
        <v>7.6730000000000018</v>
      </c>
      <c r="K12" s="4">
        <f t="shared" si="8"/>
        <v>-4.445999999999998</v>
      </c>
      <c r="L12" s="4">
        <f t="shared" si="8"/>
        <v>-18.695999999999998</v>
      </c>
      <c r="M12" s="4">
        <f t="shared" si="8"/>
        <v>-57.86999999999999</v>
      </c>
      <c r="N12" s="4">
        <f t="shared" si="8"/>
        <v>13.286999999999978</v>
      </c>
      <c r="O12" s="4">
        <f t="shared" si="8"/>
        <v>-2.4909999999999997</v>
      </c>
      <c r="P12" s="4">
        <f t="shared" si="8"/>
        <v>-3.4759999999999991</v>
      </c>
      <c r="Q12" s="4">
        <f t="shared" ref="Q12:R12" si="9">Q7-Q11</f>
        <v>-26.575000000000003</v>
      </c>
      <c r="R12" s="4">
        <f t="shared" si="9"/>
        <v>0</v>
      </c>
      <c r="S12" s="4"/>
      <c r="T12" s="4"/>
      <c r="U12" s="4"/>
      <c r="V12" s="4"/>
      <c r="W12" s="4"/>
      <c r="X12" s="2">
        <v>-0.14499999999999999</v>
      </c>
      <c r="Y12" s="2">
        <v>-4.0609999999999999</v>
      </c>
      <c r="Z12" s="2">
        <v>-4.0609999999999999</v>
      </c>
      <c r="AA12" s="2">
        <f t="shared" ref="AA12:AK12" si="10">+AA7-AA11</f>
        <v>-33.312999999999988</v>
      </c>
      <c r="AB12" s="2">
        <f t="shared" si="10"/>
        <v>-47.849000000000004</v>
      </c>
      <c r="AC12" s="2">
        <f t="shared" si="10"/>
        <v>-52.217000000000013</v>
      </c>
      <c r="AD12" s="2">
        <f t="shared" si="10"/>
        <v>-69.689000000000021</v>
      </c>
      <c r="AE12" s="2">
        <f t="shared" si="10"/>
        <v>-57.157999999999987</v>
      </c>
      <c r="AF12" s="2">
        <f t="shared" si="10"/>
        <v>-41.162999999999982</v>
      </c>
      <c r="AG12" s="2">
        <f t="shared" si="10"/>
        <v>-22.685999999999979</v>
      </c>
      <c r="AH12" s="2">
        <f t="shared" si="10"/>
        <v>-5.6309999999999718</v>
      </c>
      <c r="AI12" s="2">
        <f t="shared" si="10"/>
        <v>17.81699999999995</v>
      </c>
      <c r="AJ12" s="2">
        <f t="shared" si="10"/>
        <v>56.752999999999929</v>
      </c>
      <c r="AK12" s="2">
        <f t="shared" si="10"/>
        <v>78.106999999999971</v>
      </c>
      <c r="AL12" s="2">
        <f t="shared" ref="AL12:AN12" si="11">+AL7-AL11</f>
        <v>8.9569999999998799</v>
      </c>
      <c r="AM12" s="2">
        <f t="shared" si="11"/>
        <v>-67.725000000000023</v>
      </c>
      <c r="AN12" s="2">
        <f t="shared" si="11"/>
        <v>109.45800000000003</v>
      </c>
    </row>
    <row r="13" spans="1:51" s="2" customFormat="1" x14ac:dyDescent="0.2">
      <c r="B13" s="2" t="s">
        <v>27</v>
      </c>
      <c r="C13" s="4">
        <v>-1.929</v>
      </c>
      <c r="D13" s="4">
        <v>0.219</v>
      </c>
      <c r="E13" s="4">
        <v>7.0369999999999999</v>
      </c>
      <c r="F13" s="4">
        <v>-0.48699999999999999</v>
      </c>
      <c r="G13" s="4">
        <v>4.5830000000000002</v>
      </c>
      <c r="H13" s="4">
        <v>0.193</v>
      </c>
      <c r="I13" s="4">
        <v>-1.5249999999999999</v>
      </c>
      <c r="J13" s="4">
        <v>-5.52</v>
      </c>
      <c r="K13" s="4">
        <v>10.808</v>
      </c>
      <c r="L13" s="4">
        <v>-1.1140000000000001</v>
      </c>
      <c r="M13" s="4">
        <v>-0.73299999999999998</v>
      </c>
      <c r="N13" s="4">
        <v>4.4809999999999999</v>
      </c>
      <c r="O13" s="4">
        <v>10.130000000000001</v>
      </c>
      <c r="P13" s="4">
        <v>6.468</v>
      </c>
      <c r="Q13" s="4">
        <v>6.9279999999999999</v>
      </c>
      <c r="R13" s="4"/>
      <c r="S13" s="4"/>
      <c r="T13" s="4"/>
      <c r="U13" s="4"/>
      <c r="V13" s="4"/>
      <c r="W13" s="4"/>
      <c r="X13" s="2">
        <v>-5.9729999999999999</v>
      </c>
      <c r="Y13" s="2">
        <v>-5.9729999999999999</v>
      </c>
      <c r="Z13" s="2">
        <v>-1.7030000000000001</v>
      </c>
      <c r="AA13" s="2">
        <v>-1.7030000000000001</v>
      </c>
      <c r="AB13" s="2">
        <v>-3.7589999999999999</v>
      </c>
      <c r="AC13" s="2">
        <v>-4.1769999999999996</v>
      </c>
      <c r="AD13" s="2">
        <v>0.56200000000000006</v>
      </c>
      <c r="AE13" s="2">
        <v>-3.1E-2</v>
      </c>
      <c r="AF13" s="2">
        <v>-0.46800000000000003</v>
      </c>
      <c r="AG13" s="2">
        <v>0.48599999999999999</v>
      </c>
      <c r="AH13" s="2">
        <v>-7.2380000000000004</v>
      </c>
      <c r="AI13" s="2">
        <v>-24.788</v>
      </c>
      <c r="AJ13" s="2">
        <v>0</v>
      </c>
      <c r="AK13" s="2">
        <f>SUM(C13:F13)</f>
        <v>4.84</v>
      </c>
      <c r="AL13" s="2">
        <f>SUM(G13:J13)</f>
        <v>-2.2689999999999997</v>
      </c>
      <c r="AM13" s="2">
        <f>SUM(K13:N13)</f>
        <v>13.441999999999998</v>
      </c>
      <c r="AN13" s="2">
        <f>SUM(O13:R13)</f>
        <v>23.526</v>
      </c>
    </row>
    <row r="14" spans="1:51" s="2" customFormat="1" x14ac:dyDescent="0.2">
      <c r="B14" s="2" t="s">
        <v>28</v>
      </c>
      <c r="C14" s="4">
        <f t="shared" ref="C14:Q14" si="12">C13+C12</f>
        <v>14.849999999999982</v>
      </c>
      <c r="D14" s="4">
        <f t="shared" si="12"/>
        <v>34.989000000000011</v>
      </c>
      <c r="E14" s="4">
        <f t="shared" si="12"/>
        <v>7.3980000000000183</v>
      </c>
      <c r="F14" s="4">
        <f t="shared" si="12"/>
        <v>25.710000000000004</v>
      </c>
      <c r="G14" s="4">
        <f t="shared" si="12"/>
        <v>9.959000000000005</v>
      </c>
      <c r="H14" s="4">
        <f t="shared" si="12"/>
        <v>7.5359999999999889</v>
      </c>
      <c r="I14" s="4">
        <f t="shared" si="12"/>
        <v>-12.960000000000003</v>
      </c>
      <c r="J14" s="4">
        <f t="shared" si="12"/>
        <v>2.1530000000000022</v>
      </c>
      <c r="K14" s="4">
        <f t="shared" si="12"/>
        <v>6.3620000000000019</v>
      </c>
      <c r="L14" s="4">
        <f t="shared" si="12"/>
        <v>-19.809999999999999</v>
      </c>
      <c r="M14" s="4">
        <f t="shared" si="12"/>
        <v>-58.602999999999987</v>
      </c>
      <c r="N14" s="4">
        <f t="shared" si="12"/>
        <v>17.767999999999979</v>
      </c>
      <c r="O14" s="4">
        <f t="shared" si="12"/>
        <v>7.6390000000000011</v>
      </c>
      <c r="P14" s="4">
        <f t="shared" si="12"/>
        <v>2.9920000000000009</v>
      </c>
      <c r="Q14" s="4">
        <f t="shared" si="12"/>
        <v>-19.647000000000002</v>
      </c>
      <c r="R14" s="4"/>
      <c r="S14" s="4"/>
      <c r="T14" s="4"/>
      <c r="U14" s="4"/>
      <c r="V14" s="4"/>
      <c r="W14" s="4"/>
      <c r="X14" s="2">
        <f t="shared" ref="X14:AK14" si="13">+X12+X13</f>
        <v>-6.1179999999999994</v>
      </c>
      <c r="Y14" s="2">
        <f t="shared" si="13"/>
        <v>-10.033999999999999</v>
      </c>
      <c r="Z14" s="2">
        <f t="shared" si="13"/>
        <v>-5.7640000000000002</v>
      </c>
      <c r="AA14" s="2">
        <f t="shared" si="13"/>
        <v>-35.015999999999991</v>
      </c>
      <c r="AB14" s="2">
        <f t="shared" si="13"/>
        <v>-51.608000000000004</v>
      </c>
      <c r="AC14" s="2">
        <f t="shared" si="13"/>
        <v>-56.394000000000013</v>
      </c>
      <c r="AD14" s="2">
        <f t="shared" si="13"/>
        <v>-69.127000000000024</v>
      </c>
      <c r="AE14" s="2">
        <f t="shared" si="13"/>
        <v>-57.188999999999986</v>
      </c>
      <c r="AF14" s="2">
        <f t="shared" si="13"/>
        <v>-41.630999999999986</v>
      </c>
      <c r="AG14" s="2">
        <f t="shared" si="13"/>
        <v>-22.199999999999978</v>
      </c>
      <c r="AH14" s="2">
        <f t="shared" si="13"/>
        <v>-12.868999999999971</v>
      </c>
      <c r="AI14" s="2">
        <f t="shared" si="13"/>
        <v>-6.9710000000000498</v>
      </c>
      <c r="AJ14" s="2">
        <f t="shared" si="13"/>
        <v>56.752999999999929</v>
      </c>
      <c r="AK14" s="2">
        <f t="shared" si="13"/>
        <v>82.946999999999974</v>
      </c>
      <c r="AL14" s="2">
        <f t="shared" ref="AL14:AN14" si="14">+AL12+AL13</f>
        <v>6.6879999999998798</v>
      </c>
      <c r="AM14" s="2">
        <f t="shared" si="14"/>
        <v>-54.283000000000023</v>
      </c>
      <c r="AN14" s="2">
        <f t="shared" si="14"/>
        <v>132.98400000000004</v>
      </c>
    </row>
    <row r="15" spans="1:51" s="2" customFormat="1" x14ac:dyDescent="0.2">
      <c r="B15" s="2" t="s">
        <v>29</v>
      </c>
      <c r="C15" s="4">
        <v>2.8210000000000002</v>
      </c>
      <c r="D15" s="4">
        <v>2.2250000000000001</v>
      </c>
      <c r="E15" s="4">
        <v>0.747</v>
      </c>
      <c r="F15" s="4">
        <v>1.4039999999999999</v>
      </c>
      <c r="G15" s="4">
        <v>4.2169999999999996</v>
      </c>
      <c r="H15" s="4">
        <v>0.06</v>
      </c>
      <c r="I15" s="4">
        <v>-0.29499999999999998</v>
      </c>
      <c r="J15" s="4">
        <v>-0.29499999999999998</v>
      </c>
      <c r="K15" s="4">
        <v>4.1760000000000002</v>
      </c>
      <c r="L15" s="4">
        <v>0</v>
      </c>
      <c r="M15" s="4">
        <v>0</v>
      </c>
      <c r="N15" s="4">
        <v>8.1029999999999998</v>
      </c>
      <c r="O15" s="4">
        <v>9.0589999999999993</v>
      </c>
      <c r="P15" s="4">
        <v>0</v>
      </c>
      <c r="Q15" s="4">
        <v>0</v>
      </c>
      <c r="R15" s="4"/>
      <c r="S15" s="4"/>
      <c r="T15" s="4"/>
      <c r="U15" s="4"/>
      <c r="V15" s="4"/>
      <c r="W15" s="4"/>
      <c r="X15" s="2">
        <v>2.8000000000000001E-2</v>
      </c>
      <c r="Y15" s="2">
        <v>4.7E-2</v>
      </c>
      <c r="Z15" s="2">
        <v>1.6719999999999999</v>
      </c>
      <c r="AA15" s="2">
        <v>-0.2</v>
      </c>
      <c r="AB15" s="2">
        <v>2.9000000000000001E-2</v>
      </c>
      <c r="AC15" s="2">
        <v>0.64200000000000002</v>
      </c>
      <c r="AD15" s="2">
        <v>0.186</v>
      </c>
      <c r="AE15" s="2">
        <v>1.4790000000000001</v>
      </c>
      <c r="AF15" s="2">
        <v>1.7070000000000001</v>
      </c>
      <c r="AG15" s="2">
        <v>1.802</v>
      </c>
      <c r="AH15" s="2">
        <v>1.43</v>
      </c>
      <c r="AI15" s="2">
        <v>2.6339999999999999</v>
      </c>
      <c r="AJ15" s="2">
        <v>0</v>
      </c>
      <c r="AK15" s="2">
        <f>SUM(C15:F15)</f>
        <v>7.1970000000000001</v>
      </c>
      <c r="AL15" s="2">
        <f>SUM(G15:J15)</f>
        <v>3.6869999999999994</v>
      </c>
      <c r="AM15" s="2">
        <f>SUM(K15:N15)</f>
        <v>12.279</v>
      </c>
      <c r="AN15" s="2">
        <f>SUM(O15:R15)</f>
        <v>9.0589999999999993</v>
      </c>
    </row>
    <row r="16" spans="1:51" s="2" customFormat="1" x14ac:dyDescent="0.2">
      <c r="B16" s="2" t="s">
        <v>30</v>
      </c>
      <c r="C16" s="4">
        <f t="shared" ref="C16:Q16" si="15">C14-C15</f>
        <v>12.028999999999982</v>
      </c>
      <c r="D16" s="4">
        <f t="shared" si="15"/>
        <v>32.76400000000001</v>
      </c>
      <c r="E16" s="4">
        <f t="shared" si="15"/>
        <v>6.6510000000000185</v>
      </c>
      <c r="F16" s="4">
        <f t="shared" si="15"/>
        <v>24.306000000000004</v>
      </c>
      <c r="G16" s="4">
        <f t="shared" si="15"/>
        <v>5.7420000000000053</v>
      </c>
      <c r="H16" s="4">
        <f t="shared" si="15"/>
        <v>7.4759999999999893</v>
      </c>
      <c r="I16" s="4">
        <f t="shared" si="15"/>
        <v>-12.665000000000003</v>
      </c>
      <c r="J16" s="4">
        <f t="shared" si="15"/>
        <v>2.4480000000000022</v>
      </c>
      <c r="K16" s="4">
        <f t="shared" si="15"/>
        <v>2.1860000000000017</v>
      </c>
      <c r="L16" s="4">
        <f t="shared" si="15"/>
        <v>-19.809999999999999</v>
      </c>
      <c r="M16" s="4">
        <f t="shared" si="15"/>
        <v>-58.602999999999987</v>
      </c>
      <c r="N16" s="4">
        <f t="shared" si="15"/>
        <v>9.6649999999999796</v>
      </c>
      <c r="O16" s="4">
        <f t="shared" si="15"/>
        <v>-1.4199999999999982</v>
      </c>
      <c r="P16" s="4">
        <f t="shared" si="15"/>
        <v>2.9920000000000009</v>
      </c>
      <c r="Q16" s="4">
        <f t="shared" si="15"/>
        <v>-19.647000000000002</v>
      </c>
      <c r="R16" s="4"/>
      <c r="S16" s="4"/>
      <c r="T16" s="4"/>
      <c r="U16" s="4"/>
      <c r="V16" s="4"/>
      <c r="W16" s="4"/>
      <c r="X16" s="2">
        <f t="shared" ref="X16:AK16" si="16">+X14-X15</f>
        <v>-6.145999999999999</v>
      </c>
      <c r="Y16" s="2">
        <f t="shared" si="16"/>
        <v>-10.081</v>
      </c>
      <c r="Z16" s="2">
        <f t="shared" si="16"/>
        <v>-7.4359999999999999</v>
      </c>
      <c r="AA16" s="2">
        <f t="shared" si="16"/>
        <v>-34.815999999999988</v>
      </c>
      <c r="AB16" s="2">
        <f t="shared" si="16"/>
        <v>-51.637000000000008</v>
      </c>
      <c r="AC16" s="2">
        <f t="shared" si="16"/>
        <v>-57.036000000000016</v>
      </c>
      <c r="AD16" s="2">
        <f t="shared" si="16"/>
        <v>-69.313000000000031</v>
      </c>
      <c r="AE16" s="2">
        <f t="shared" si="16"/>
        <v>-58.667999999999985</v>
      </c>
      <c r="AF16" s="2">
        <f t="shared" si="16"/>
        <v>-43.337999999999987</v>
      </c>
      <c r="AG16" s="2">
        <f t="shared" si="16"/>
        <v>-24.001999999999978</v>
      </c>
      <c r="AH16" s="2">
        <f t="shared" si="16"/>
        <v>-14.298999999999971</v>
      </c>
      <c r="AI16" s="2">
        <f t="shared" si="16"/>
        <v>-9.6050000000000502</v>
      </c>
      <c r="AJ16" s="2">
        <f t="shared" si="16"/>
        <v>56.752999999999929</v>
      </c>
      <c r="AK16" s="2">
        <f t="shared" si="16"/>
        <v>75.749999999999972</v>
      </c>
      <c r="AL16" s="2">
        <f t="shared" ref="AL16:AN16" si="17">+AL14-AL15</f>
        <v>3.0009999999998804</v>
      </c>
      <c r="AM16" s="2">
        <f t="shared" si="17"/>
        <v>-66.562000000000026</v>
      </c>
      <c r="AN16" s="2">
        <f t="shared" si="17"/>
        <v>123.92500000000004</v>
      </c>
    </row>
    <row r="17" spans="2:40" s="2" customFormat="1" x14ac:dyDescent="0.2">
      <c r="B17" s="2" t="s">
        <v>33</v>
      </c>
      <c r="C17" s="4"/>
      <c r="D17" s="4"/>
      <c r="E17" s="4"/>
      <c r="F17" s="4"/>
      <c r="G17" s="4"/>
      <c r="H17" s="4"/>
      <c r="I17" s="4"/>
      <c r="J17" s="4"/>
      <c r="K17" s="4"/>
      <c r="L17" s="10">
        <f>+L16/L18</f>
        <v>-0.14901010951979782</v>
      </c>
      <c r="M17" s="10">
        <f>+M16/M18</f>
        <v>-0.50779415460067401</v>
      </c>
      <c r="N17" s="10">
        <f>+N16/N18</f>
        <v>8.1285428335940352E-2</v>
      </c>
      <c r="O17" s="10">
        <f>+O16/O18</f>
        <v>-1.3874910839041245E-2</v>
      </c>
      <c r="P17" s="10">
        <f>+P16/P18</f>
        <v>2.9160656504619711E-2</v>
      </c>
      <c r="Q17" s="10">
        <f>+Q16/Q18</f>
        <v>-0.18941796901362284</v>
      </c>
      <c r="R17" s="4"/>
      <c r="S17" s="4"/>
      <c r="T17" s="4"/>
      <c r="U17" s="4"/>
      <c r="V17" s="4"/>
      <c r="W17" s="4"/>
    </row>
    <row r="18" spans="2:40" s="2" customFormat="1" x14ac:dyDescent="0.2">
      <c r="B18" s="2" t="s">
        <v>1</v>
      </c>
      <c r="C18" s="4">
        <v>134.352</v>
      </c>
      <c r="D18" s="4">
        <v>168.28200000000001</v>
      </c>
      <c r="E18" s="4">
        <v>146.69900000000001</v>
      </c>
      <c r="F18" s="4">
        <v>166.83600000000001</v>
      </c>
      <c r="G18" s="4">
        <v>133.27000000000001</v>
      </c>
      <c r="H18" s="4">
        <v>149.57400000000001</v>
      </c>
      <c r="I18" s="4">
        <v>148.04499999999999</v>
      </c>
      <c r="J18" s="4">
        <v>127.518</v>
      </c>
      <c r="K18" s="4">
        <v>124.304</v>
      </c>
      <c r="L18" s="4">
        <v>132.94399999999999</v>
      </c>
      <c r="M18" s="4">
        <v>115.407</v>
      </c>
      <c r="N18" s="4">
        <v>118.902</v>
      </c>
      <c r="O18" s="4">
        <v>102.343</v>
      </c>
      <c r="P18" s="4">
        <v>102.604</v>
      </c>
      <c r="Q18" s="4">
        <v>103.723</v>
      </c>
      <c r="R18" s="4"/>
      <c r="S18" s="4"/>
      <c r="T18" s="4"/>
      <c r="U18" s="4"/>
      <c r="V18" s="4"/>
      <c r="W18" s="4"/>
      <c r="X18" s="2">
        <v>7.6520000000000001</v>
      </c>
      <c r="Y18" s="2">
        <v>9.7889999999999997</v>
      </c>
      <c r="Z18" s="2">
        <v>10.430999999999999</v>
      </c>
      <c r="AA18" s="2">
        <v>8.4529999999999994</v>
      </c>
      <c r="AB18" s="2">
        <v>11.183</v>
      </c>
      <c r="AC18" s="2">
        <v>20.902000000000001</v>
      </c>
      <c r="AD18" s="2">
        <v>83.204999999999998</v>
      </c>
      <c r="AE18" s="2">
        <v>86.817999999999998</v>
      </c>
      <c r="AF18" s="2">
        <v>90.534000000000006</v>
      </c>
      <c r="AG18" s="2">
        <v>100.02200000000001</v>
      </c>
      <c r="AH18" s="2">
        <v>113.251</v>
      </c>
      <c r="AI18" s="2">
        <v>119.20399999999999</v>
      </c>
      <c r="AJ18" s="2">
        <v>125.367</v>
      </c>
      <c r="AK18" s="2">
        <v>141.262</v>
      </c>
      <c r="AL18" s="2">
        <f>AVERAGE(G18:J18)</f>
        <v>139.60175000000001</v>
      </c>
      <c r="AM18" s="2">
        <f>AVERAGE(K18:N18)</f>
        <v>122.88924999999999</v>
      </c>
      <c r="AN18" s="2">
        <f>AVERAGE(O18:R18)</f>
        <v>102.89</v>
      </c>
    </row>
    <row r="20" spans="2:40" x14ac:dyDescent="0.2">
      <c r="B20" s="2" t="s">
        <v>31</v>
      </c>
      <c r="G20" s="7">
        <f t="shared" ref="G20:R20" si="18">+G5/C5-1</f>
        <v>1.9488048069846498E-2</v>
      </c>
      <c r="H20" s="7">
        <f t="shared" si="18"/>
        <v>-1.8929050071040621E-2</v>
      </c>
      <c r="I20" s="7">
        <f t="shared" si="18"/>
        <v>-4.1892033360086511E-2</v>
      </c>
      <c r="J20" s="7">
        <f t="shared" si="18"/>
        <v>-1.0960779304660551E-2</v>
      </c>
      <c r="K20" s="7">
        <f t="shared" si="18"/>
        <v>-7.2402642352801583E-2</v>
      </c>
      <c r="L20" s="7">
        <f t="shared" si="18"/>
        <v>-6.0948742046312399E-2</v>
      </c>
      <c r="M20" s="7">
        <f t="shared" si="18"/>
        <v>-4.1793382259209921E-2</v>
      </c>
      <c r="N20" s="7">
        <f t="shared" si="18"/>
        <v>-8.3852763008484765E-2</v>
      </c>
      <c r="O20" s="7">
        <f t="shared" si="18"/>
        <v>-7.0633951844606413E-2</v>
      </c>
      <c r="P20" s="7">
        <f t="shared" si="18"/>
        <v>-0.10776962915566068</v>
      </c>
      <c r="Q20" s="7">
        <f t="shared" si="18"/>
        <v>-0.13464340466507041</v>
      </c>
      <c r="R20" s="7">
        <f t="shared" si="18"/>
        <v>-0.2446286179363466</v>
      </c>
      <c r="S20" s="7"/>
      <c r="T20" s="7"/>
      <c r="U20" s="7"/>
      <c r="V20" s="7"/>
      <c r="Y20" s="8">
        <f t="shared" ref="Y20:AN20" si="19">+Y5/X5-1</f>
        <v>5.2889823823297402</v>
      </c>
      <c r="Z20" s="8">
        <f t="shared" si="19"/>
        <v>2.1133085253167199</v>
      </c>
      <c r="AA20" s="8">
        <f t="shared" si="19"/>
        <v>0.15508789836290138</v>
      </c>
      <c r="AB20" s="8">
        <f t="shared" si="19"/>
        <v>0.24018416677324472</v>
      </c>
      <c r="AC20" s="8">
        <f t="shared" si="19"/>
        <v>0.19800406873728504</v>
      </c>
      <c r="AD20" s="8">
        <f t="shared" si="19"/>
        <v>0.19273794385209819</v>
      </c>
      <c r="AE20" s="8">
        <f t="shared" si="19"/>
        <v>-1.1353720385521293E-2</v>
      </c>
      <c r="AF20" s="8">
        <f t="shared" si="19"/>
        <v>-0.15689195780643916</v>
      </c>
      <c r="AG20" s="8">
        <f t="shared" si="19"/>
        <v>3.8411586445747936E-3</v>
      </c>
      <c r="AH20" s="8">
        <f t="shared" si="19"/>
        <v>0.25882712709651612</v>
      </c>
      <c r="AI20" s="8">
        <f t="shared" si="19"/>
        <v>0.27980839904822408</v>
      </c>
      <c r="AJ20" s="8">
        <f t="shared" si="19"/>
        <v>0.56801467904196867</v>
      </c>
      <c r="AK20" s="8">
        <f t="shared" si="19"/>
        <v>0.2047481290875286</v>
      </c>
      <c r="AL20" s="8">
        <f t="shared" si="19"/>
        <v>-1.2068043773711179E-2</v>
      </c>
      <c r="AM20" s="8">
        <f t="shared" si="19"/>
        <v>-6.5982785171933234E-2</v>
      </c>
      <c r="AN20" s="8">
        <f t="shared" si="19"/>
        <v>-0.13988370713183806</v>
      </c>
    </row>
    <row r="21" spans="2:40" x14ac:dyDescent="0.2">
      <c r="B21" s="2" t="s">
        <v>50</v>
      </c>
      <c r="C21" s="7">
        <f t="shared" ref="C21:J21" si="20">+C7/C5</f>
        <v>0.64016171148010359</v>
      </c>
      <c r="D21" s="7">
        <f t="shared" si="20"/>
        <v>0.69413234716190209</v>
      </c>
      <c r="E21" s="7">
        <f t="shared" si="20"/>
        <v>0.60974049388747364</v>
      </c>
      <c r="F21" s="7">
        <f t="shared" si="20"/>
        <v>0.73147536716682648</v>
      </c>
      <c r="G21" s="7">
        <f t="shared" si="20"/>
        <v>0.72763098039991292</v>
      </c>
      <c r="H21" s="7">
        <f t="shared" si="20"/>
        <v>0.76538740043446785</v>
      </c>
      <c r="I21" s="7">
        <f t="shared" si="20"/>
        <v>0.72560838659940874</v>
      </c>
      <c r="J21" s="7">
        <f t="shared" si="20"/>
        <v>0.74938716233009894</v>
      </c>
      <c r="K21" s="7">
        <f t="shared" ref="K21:O21" si="21">+K7/K5</f>
        <v>0.73800779313543097</v>
      </c>
      <c r="L21" s="7">
        <f t="shared" si="21"/>
        <v>0.74070975045528376</v>
      </c>
      <c r="M21" s="7">
        <f t="shared" si="21"/>
        <v>0.47055506987469436</v>
      </c>
      <c r="N21" s="7">
        <f t="shared" si="21"/>
        <v>0.75634485363349591</v>
      </c>
      <c r="O21" s="7">
        <f t="shared" si="21"/>
        <v>0.73331230283911675</v>
      </c>
      <c r="P21" s="7">
        <f>+P7/P5</f>
        <v>0.72165592992822425</v>
      </c>
      <c r="Q21" s="7">
        <f>+Q7/Q5</f>
        <v>0.68213762811127376</v>
      </c>
      <c r="R21" s="7">
        <f>+R7/R5</f>
        <v>0</v>
      </c>
      <c r="S21" s="7"/>
      <c r="T21" s="7"/>
      <c r="U21" s="7"/>
      <c r="V21" s="7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</row>
    <row r="23" spans="2:40" x14ac:dyDescent="0.2">
      <c r="B23" s="2" t="s">
        <v>74</v>
      </c>
      <c r="K23" s="4">
        <f t="shared" ref="K23:N23" si="22">+K24-K38</f>
        <v>0</v>
      </c>
      <c r="L23" s="4">
        <f t="shared" si="22"/>
        <v>0</v>
      </c>
      <c r="M23" s="4">
        <f t="shared" si="22"/>
        <v>0</v>
      </c>
      <c r="N23" s="4">
        <f t="shared" si="22"/>
        <v>0</v>
      </c>
      <c r="O23" s="4">
        <f>+O24-O38</f>
        <v>12.047999999999888</v>
      </c>
      <c r="P23" s="4">
        <f>+P24-P38</f>
        <v>4.47199999999998</v>
      </c>
      <c r="Q23" s="4">
        <f>+Q24-Q38</f>
        <v>0</v>
      </c>
    </row>
    <row r="24" spans="2:40" x14ac:dyDescent="0.2">
      <c r="B24" s="2" t="s">
        <v>3</v>
      </c>
      <c r="O24" s="4">
        <f>143.747+247.013+221.665</f>
        <v>612.42499999999995</v>
      </c>
      <c r="P24" s="4">
        <f>133.068+212.396+259.925</f>
        <v>605.38900000000001</v>
      </c>
    </row>
    <row r="25" spans="2:40" x14ac:dyDescent="0.2">
      <c r="B25" t="s">
        <v>41</v>
      </c>
      <c r="O25" s="4">
        <v>24.741</v>
      </c>
      <c r="P25" s="4">
        <v>20.963999999999999</v>
      </c>
    </row>
    <row r="26" spans="2:40" x14ac:dyDescent="0.2">
      <c r="B26" s="2" t="s">
        <v>42</v>
      </c>
      <c r="O26" s="4">
        <v>20.428999999999998</v>
      </c>
      <c r="P26" s="4">
        <v>30.841000000000001</v>
      </c>
    </row>
    <row r="27" spans="2:40" x14ac:dyDescent="0.2">
      <c r="B27" t="s">
        <v>43</v>
      </c>
      <c r="O27" s="4">
        <v>30.01</v>
      </c>
      <c r="P27" s="4">
        <v>36.279000000000003</v>
      </c>
    </row>
    <row r="28" spans="2:40" x14ac:dyDescent="0.2">
      <c r="B28" s="2" t="s">
        <v>44</v>
      </c>
      <c r="O28" s="4">
        <v>188.43</v>
      </c>
      <c r="P28" s="4">
        <v>179.27799999999999</v>
      </c>
    </row>
    <row r="29" spans="2:40" x14ac:dyDescent="0.2">
      <c r="B29" t="s">
        <v>45</v>
      </c>
      <c r="O29" s="4">
        <f>628.784+48.143</f>
        <v>676.92700000000002</v>
      </c>
      <c r="P29" s="4">
        <f>189.769+12.848</f>
        <v>202.61700000000002</v>
      </c>
    </row>
    <row r="30" spans="2:40" x14ac:dyDescent="0.2">
      <c r="B30" s="2" t="s">
        <v>46</v>
      </c>
      <c r="O30" s="4">
        <v>23.521000000000001</v>
      </c>
      <c r="P30" s="4">
        <v>21.507999999999999</v>
      </c>
    </row>
    <row r="31" spans="2:40" x14ac:dyDescent="0.2">
      <c r="B31" t="s">
        <v>47</v>
      </c>
      <c r="O31" s="4">
        <v>140.19999999999999</v>
      </c>
      <c r="P31" s="4">
        <v>2.2869999999999999</v>
      </c>
    </row>
    <row r="32" spans="2:40" x14ac:dyDescent="0.2">
      <c r="B32" s="2" t="s">
        <v>48</v>
      </c>
      <c r="O32" s="4">
        <v>15.961</v>
      </c>
      <c r="P32" s="4">
        <v>15.167</v>
      </c>
    </row>
    <row r="33" spans="2:17" x14ac:dyDescent="0.2">
      <c r="B33" t="s">
        <v>49</v>
      </c>
      <c r="O33" s="4">
        <f>SUM(O24:O32)</f>
        <v>1732.644</v>
      </c>
      <c r="P33" s="4">
        <f>SUM(P24:P32)</f>
        <v>1114.3300000000002</v>
      </c>
    </row>
    <row r="34" spans="2:17" x14ac:dyDescent="0.2">
      <c r="O34" s="4"/>
      <c r="P34" s="4"/>
    </row>
    <row r="35" spans="2:17" x14ac:dyDescent="0.2">
      <c r="B35" t="s">
        <v>57</v>
      </c>
      <c r="O35" s="4">
        <v>20.119</v>
      </c>
      <c r="P35" s="4">
        <v>14.423999999999999</v>
      </c>
    </row>
    <row r="36" spans="2:17" x14ac:dyDescent="0.2">
      <c r="B36" t="s">
        <v>56</v>
      </c>
      <c r="O36" s="4">
        <v>54.055999999999997</v>
      </c>
      <c r="P36" s="4">
        <v>45.023000000000003</v>
      </c>
    </row>
    <row r="37" spans="2:17" x14ac:dyDescent="0.2">
      <c r="B37" t="s">
        <v>55</v>
      </c>
      <c r="O37" s="4">
        <v>73.555000000000007</v>
      </c>
      <c r="P37" s="4">
        <v>68.001000000000005</v>
      </c>
    </row>
    <row r="38" spans="2:17" x14ac:dyDescent="0.2">
      <c r="B38" t="s">
        <v>4</v>
      </c>
      <c r="O38" s="4">
        <f>357.458+242.919</f>
        <v>600.37700000000007</v>
      </c>
      <c r="P38" s="4">
        <f>357.838+243.079</f>
        <v>600.91700000000003</v>
      </c>
    </row>
    <row r="39" spans="2:17" x14ac:dyDescent="0.2">
      <c r="B39" t="s">
        <v>54</v>
      </c>
      <c r="O39" s="4">
        <v>16.46</v>
      </c>
      <c r="P39" s="4">
        <v>15.595000000000001</v>
      </c>
    </row>
    <row r="40" spans="2:17" x14ac:dyDescent="0.2">
      <c r="B40" t="s">
        <v>53</v>
      </c>
      <c r="O40" s="4">
        <v>4.6029999999999998</v>
      </c>
      <c r="P40" s="4">
        <v>4.87</v>
      </c>
    </row>
    <row r="41" spans="2:17" x14ac:dyDescent="0.2">
      <c r="B41" t="s">
        <v>52</v>
      </c>
      <c r="O41" s="4">
        <v>963.47400000000005</v>
      </c>
      <c r="P41" s="4">
        <v>365.5</v>
      </c>
    </row>
    <row r="42" spans="2:17" x14ac:dyDescent="0.2">
      <c r="B42" t="s">
        <v>51</v>
      </c>
      <c r="O42" s="4">
        <f>SUM(O35:O41)</f>
        <v>1732.6440000000002</v>
      </c>
      <c r="P42" s="4">
        <f>SUM(P35:P41)</f>
        <v>1114.33</v>
      </c>
    </row>
    <row r="44" spans="2:17" x14ac:dyDescent="0.2">
      <c r="B44" t="s">
        <v>58</v>
      </c>
      <c r="O44" s="4">
        <f>+O16</f>
        <v>-1.4199999999999982</v>
      </c>
      <c r="P44" s="4">
        <f>+P16</f>
        <v>2.9920000000000009</v>
      </c>
    </row>
    <row r="45" spans="2:17" x14ac:dyDescent="0.2">
      <c r="B45" t="s">
        <v>59</v>
      </c>
      <c r="O45" s="4">
        <v>-1.42</v>
      </c>
      <c r="P45" s="4">
        <f>-618.304-O45</f>
        <v>-616.88400000000001</v>
      </c>
      <c r="Q45" s="4">
        <f>-830.943-P45-O45</f>
        <v>-212.63899999999998</v>
      </c>
    </row>
    <row r="46" spans="2:17" x14ac:dyDescent="0.2">
      <c r="B46" t="s">
        <v>60</v>
      </c>
      <c r="O46" s="4">
        <v>29.289000000000001</v>
      </c>
      <c r="P46" s="4">
        <f>47.336-O46</f>
        <v>18.046999999999997</v>
      </c>
      <c r="Q46" s="4">
        <f>69.267-P46-O46</f>
        <v>21.930999999999997</v>
      </c>
    </row>
    <row r="47" spans="2:17" x14ac:dyDescent="0.2">
      <c r="B47" t="s">
        <v>61</v>
      </c>
      <c r="O47" s="4">
        <v>19.687000000000001</v>
      </c>
      <c r="P47" s="4">
        <f>39.393-O47</f>
        <v>19.706</v>
      </c>
      <c r="Q47" s="4">
        <f>58.966-P47-O47</f>
        <v>19.573000000000004</v>
      </c>
    </row>
    <row r="48" spans="2:17" x14ac:dyDescent="0.2">
      <c r="B48" t="s">
        <v>62</v>
      </c>
      <c r="O48" s="4">
        <v>2.8769999999999998</v>
      </c>
      <c r="P48" s="4">
        <f>141.032-O48</f>
        <v>138.155</v>
      </c>
      <c r="Q48" s="4">
        <f>141.103-P48-O48</f>
        <v>7.1000000000007724E-2</v>
      </c>
    </row>
    <row r="49" spans="2:39" x14ac:dyDescent="0.2">
      <c r="B49" t="s">
        <v>54</v>
      </c>
      <c r="O49" s="4">
        <v>1.5669999999999999</v>
      </c>
      <c r="P49" s="4">
        <f>3.141-O49</f>
        <v>1.5740000000000001</v>
      </c>
      <c r="Q49" s="4">
        <f>4.647-P49-O49</f>
        <v>1.5060000000000004</v>
      </c>
    </row>
    <row r="50" spans="2:39" x14ac:dyDescent="0.2">
      <c r="B50" t="s">
        <v>63</v>
      </c>
      <c r="O50" s="4">
        <v>0.54100000000000004</v>
      </c>
      <c r="P50" s="4">
        <f>1.081-O50</f>
        <v>0.53999999999999992</v>
      </c>
      <c r="Q50" s="4">
        <f>1.628-P50-O50</f>
        <v>0.54700000000000004</v>
      </c>
    </row>
    <row r="51" spans="2:39" x14ac:dyDescent="0.2">
      <c r="B51" t="s">
        <v>64</v>
      </c>
      <c r="O51" s="4"/>
      <c r="P51" s="4">
        <f>481.531-O51+1.657</f>
        <v>483.18799999999999</v>
      </c>
      <c r="Q51" s="4">
        <f>677.239-P51-O51</f>
        <v>194.05100000000004</v>
      </c>
    </row>
    <row r="52" spans="2:39" x14ac:dyDescent="0.2">
      <c r="B52" t="s">
        <v>65</v>
      </c>
      <c r="O52" s="4">
        <v>0.47799999999999998</v>
      </c>
      <c r="P52" s="4">
        <f>2.189-O52</f>
        <v>1.7110000000000001</v>
      </c>
      <c r="Q52" s="4">
        <f>2.189-P52-O52</f>
        <v>0</v>
      </c>
    </row>
    <row r="53" spans="2:39" x14ac:dyDescent="0.2">
      <c r="B53" t="s">
        <v>48</v>
      </c>
      <c r="O53" s="4">
        <v>-3.1E-2</v>
      </c>
      <c r="P53" s="4">
        <f>0.082-O53</f>
        <v>0.113</v>
      </c>
      <c r="Q53" s="4">
        <f>5.1-P53-O53+0.222</f>
        <v>5.2399999999999993</v>
      </c>
    </row>
    <row r="54" spans="2:39" x14ac:dyDescent="0.2">
      <c r="B54" t="s">
        <v>66</v>
      </c>
      <c r="O54" s="4">
        <f>6.705+3.583-1.27-6.589-1.159+0.64-1.58</f>
        <v>0.33000000000000007</v>
      </c>
      <c r="P54" s="4">
        <f>10.561-12.173-0.773-12.045-10.226-4.057-2.88-O54</f>
        <v>-31.923000000000002</v>
      </c>
      <c r="Q54" s="4">
        <f>8.019-55.725-0.469-8.308-11.763+46.849-2.968-P54-O54</f>
        <v>7.2279999999999891</v>
      </c>
    </row>
    <row r="55" spans="2:39" x14ac:dyDescent="0.2">
      <c r="B55" t="s">
        <v>38</v>
      </c>
      <c r="O55" s="4">
        <f>SUM(O45:O54)</f>
        <v>53.317999999999998</v>
      </c>
      <c r="P55" s="4">
        <f>SUM(P45:P54)</f>
        <v>14.227000000000018</v>
      </c>
      <c r="Q55" s="4">
        <f>SUM(Q45:Q54)</f>
        <v>37.508000000000067</v>
      </c>
    </row>
    <row r="56" spans="2:39" x14ac:dyDescent="0.2">
      <c r="Q56" s="4"/>
    </row>
    <row r="57" spans="2:39" x14ac:dyDescent="0.2">
      <c r="B57" t="s">
        <v>38</v>
      </c>
      <c r="K57" s="4">
        <v>73.16</v>
      </c>
      <c r="L57" s="4">
        <f>135.907-K57</f>
        <v>62.747000000000014</v>
      </c>
      <c r="M57" s="4">
        <f>168.714-L57-K57</f>
        <v>32.806999999999988</v>
      </c>
      <c r="N57" s="4">
        <f>+AM57-M57-L57-K57</f>
        <v>77.484000000000009</v>
      </c>
      <c r="O57" s="4">
        <v>53.317999999999998</v>
      </c>
      <c r="P57" s="4">
        <f>67.545-O57</f>
        <v>14.227000000000004</v>
      </c>
      <c r="Q57" s="4">
        <f>67.545-P57</f>
        <v>53.317999999999998</v>
      </c>
      <c r="AA57" s="2">
        <v>32.753999999999998</v>
      </c>
      <c r="AB57" s="2">
        <v>54.680999999999997</v>
      </c>
      <c r="AC57" s="2">
        <v>63.706000000000003</v>
      </c>
      <c r="AD57" s="2">
        <v>68.474999999999994</v>
      </c>
      <c r="AE57" s="2">
        <v>-8.2000000000000003E-2</v>
      </c>
      <c r="AF57" s="2">
        <v>24.937999999999999</v>
      </c>
      <c r="AG57" s="2">
        <v>51.55</v>
      </c>
      <c r="AH57" s="2">
        <v>75.113</v>
      </c>
      <c r="AI57" s="2">
        <v>113.40300000000001</v>
      </c>
      <c r="AJ57" s="2">
        <v>236.44200000000001</v>
      </c>
      <c r="AK57" s="2">
        <v>273.22399999999999</v>
      </c>
      <c r="AL57" s="2">
        <v>255.73599999999999</v>
      </c>
      <c r="AM57" s="2">
        <v>246.19800000000001</v>
      </c>
    </row>
    <row r="58" spans="2:39" x14ac:dyDescent="0.2">
      <c r="B58" t="s">
        <v>39</v>
      </c>
      <c r="K58" s="4">
        <v>17.166</v>
      </c>
      <c r="L58" s="4">
        <f>33.864-K58</f>
        <v>16.697999999999997</v>
      </c>
      <c r="M58" s="4">
        <f>57.298-L58-K58</f>
        <v>23.434000000000008</v>
      </c>
      <c r="N58" s="4">
        <f>+AM58-M58-L58-K58</f>
        <v>25.754000000000001</v>
      </c>
      <c r="O58" s="4">
        <v>28.016999999999999</v>
      </c>
      <c r="P58" s="4">
        <f>45.817-O58</f>
        <v>17.8</v>
      </c>
      <c r="Q58" s="4">
        <f>61.659-P58-O58</f>
        <v>15.841999999999995</v>
      </c>
      <c r="AA58" s="2">
        <v>-2.7069999999999999</v>
      </c>
      <c r="AB58" s="2">
        <v>15.148</v>
      </c>
      <c r="AC58" s="2">
        <v>7.3689999999999998</v>
      </c>
      <c r="AD58" s="2">
        <v>5.0830000000000002</v>
      </c>
      <c r="AE58" s="2">
        <v>8.2530000000000001</v>
      </c>
      <c r="AF58" s="2">
        <v>24.689</v>
      </c>
      <c r="AG58" s="2">
        <v>31.222999999999999</v>
      </c>
      <c r="AH58" s="2">
        <v>31.222999999999999</v>
      </c>
      <c r="AI58" s="2">
        <v>42.326000000000001</v>
      </c>
      <c r="AJ58" s="2">
        <v>81.316999999999993</v>
      </c>
      <c r="AK58" s="2">
        <v>94.18</v>
      </c>
      <c r="AL58" s="2">
        <v>103.092</v>
      </c>
      <c r="AM58" s="2">
        <v>83.052000000000007</v>
      </c>
    </row>
    <row r="59" spans="2:39" x14ac:dyDescent="0.2">
      <c r="B59" t="s">
        <v>40</v>
      </c>
      <c r="K59" s="4">
        <f t="shared" ref="K59:Q59" si="23">+K57-K58</f>
        <v>55.994</v>
      </c>
      <c r="L59" s="4">
        <f t="shared" si="23"/>
        <v>46.049000000000021</v>
      </c>
      <c r="M59" s="4">
        <f t="shared" si="23"/>
        <v>9.3729999999999798</v>
      </c>
      <c r="N59" s="4">
        <f t="shared" si="23"/>
        <v>51.730000000000004</v>
      </c>
      <c r="O59" s="4">
        <f t="shared" si="23"/>
        <v>25.300999999999998</v>
      </c>
      <c r="P59" s="4">
        <f t="shared" si="23"/>
        <v>-3.5729999999999968</v>
      </c>
      <c r="Q59" s="4">
        <f t="shared" si="23"/>
        <v>37.475999999999999</v>
      </c>
      <c r="AA59" s="2">
        <f t="shared" ref="AA59:AJ59" si="24">+AA57-AA58</f>
        <v>35.460999999999999</v>
      </c>
      <c r="AB59" s="2">
        <f t="shared" si="24"/>
        <v>39.533000000000001</v>
      </c>
      <c r="AC59" s="2">
        <f t="shared" si="24"/>
        <v>56.337000000000003</v>
      </c>
      <c r="AD59" s="2">
        <f t="shared" si="24"/>
        <v>63.391999999999996</v>
      </c>
      <c r="AE59" s="2">
        <f t="shared" si="24"/>
        <v>-8.3350000000000009</v>
      </c>
      <c r="AF59" s="2">
        <f t="shared" si="24"/>
        <v>0.24899999999999878</v>
      </c>
      <c r="AG59" s="2">
        <f t="shared" si="24"/>
        <v>20.326999999999998</v>
      </c>
      <c r="AH59" s="2">
        <f t="shared" si="24"/>
        <v>43.89</v>
      </c>
      <c r="AI59" s="2">
        <f t="shared" si="24"/>
        <v>71.076999999999998</v>
      </c>
      <c r="AJ59" s="2">
        <f t="shared" si="24"/>
        <v>155.125</v>
      </c>
      <c r="AK59" s="2">
        <f>+AK57-AK58</f>
        <v>179.04399999999998</v>
      </c>
      <c r="AL59" s="2">
        <f>+AL57-AL58</f>
        <v>152.64400000000001</v>
      </c>
      <c r="AM59" s="2">
        <f>+AM57-AM58</f>
        <v>163.14600000000002</v>
      </c>
    </row>
    <row r="62" spans="2:39" x14ac:dyDescent="0.2">
      <c r="B62" t="s">
        <v>39</v>
      </c>
      <c r="O62" s="4">
        <v>-28.016999999999999</v>
      </c>
      <c r="P62" s="4">
        <f>-45.817-O62</f>
        <v>-17.8</v>
      </c>
    </row>
    <row r="63" spans="2:39" x14ac:dyDescent="0.2">
      <c r="B63" t="s">
        <v>73</v>
      </c>
      <c r="O63" s="4">
        <f>-79.028+50.731+15.5</f>
        <v>-12.797000000000004</v>
      </c>
      <c r="P63" s="4">
        <f>-123.669+89.89-O63+15.5</f>
        <v>-5.4819999999999922</v>
      </c>
    </row>
    <row r="64" spans="2:39" x14ac:dyDescent="0.2">
      <c r="B64" t="s">
        <v>72</v>
      </c>
      <c r="O64" s="4">
        <f>O62+O63</f>
        <v>-40.814000000000007</v>
      </c>
      <c r="P64" s="4">
        <f>P62+P63</f>
        <v>-23.281999999999993</v>
      </c>
    </row>
    <row r="65" spans="2:16" x14ac:dyDescent="0.2">
      <c r="P65" s="4"/>
    </row>
    <row r="66" spans="2:16" x14ac:dyDescent="0.2">
      <c r="B66" t="s">
        <v>71</v>
      </c>
      <c r="O66" s="4">
        <v>0</v>
      </c>
      <c r="P66" s="4">
        <v>2.19</v>
      </c>
    </row>
    <row r="67" spans="2:16" x14ac:dyDescent="0.2">
      <c r="B67" t="s">
        <v>70</v>
      </c>
      <c r="O67" s="4">
        <v>-4.2939999999999996</v>
      </c>
      <c r="P67" s="4">
        <f>-7.825-O67</f>
        <v>-3.5310000000000006</v>
      </c>
    </row>
    <row r="68" spans="2:16" x14ac:dyDescent="0.2">
      <c r="B68" t="s">
        <v>69</v>
      </c>
      <c r="O68" s="4">
        <f>+O66+O67</f>
        <v>-4.2939999999999996</v>
      </c>
      <c r="P68" s="4">
        <f>+P66+P67</f>
        <v>-1.3410000000000006</v>
      </c>
    </row>
    <row r="69" spans="2:16" x14ac:dyDescent="0.2">
      <c r="B69" t="s">
        <v>68</v>
      </c>
      <c r="O69" s="4">
        <v>-0.22600000000000001</v>
      </c>
      <c r="P69" s="4">
        <v>-0.30499999999999999</v>
      </c>
    </row>
    <row r="70" spans="2:16" x14ac:dyDescent="0.2">
      <c r="B70" t="s">
        <v>67</v>
      </c>
      <c r="O70" s="4">
        <f>+O68+O69+O64+O55</f>
        <v>7.9839999999999947</v>
      </c>
      <c r="P70" s="4">
        <f>+P68+P69+P64+P55</f>
        <v>-10.700999999999976</v>
      </c>
    </row>
    <row r="75" spans="2:16" x14ac:dyDescent="0.2">
      <c r="B75" t="s">
        <v>88</v>
      </c>
      <c r="P75" s="4">
        <v>1979</v>
      </c>
    </row>
  </sheetData>
  <hyperlinks>
    <hyperlink ref="A1" location="Main!A1" display="Main" xr:uid="{0198F5E0-AA8D-4BAD-BEC7-554886402B0C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2024-09-21T16:40:30Z</dcterms:created>
  <dcterms:modified xsi:type="dcterms:W3CDTF">2024-11-13T04:07:22Z</dcterms:modified>
</cp:coreProperties>
</file>