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66FF66A7-7F08-1F4D-86E5-6CFE64515656}" xr6:coauthVersionLast="47" xr6:coauthVersionMax="47" xr10:uidLastSave="{00000000-0000-0000-0000-000000000000}"/>
  <bookViews>
    <workbookView xWindow="19060" yWindow="-21100" windowWidth="16900" windowHeight="20280" activeTab="1" xr2:uid="{4C9B1A2C-6C00-B84C-96C0-62D9E46141F5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2" l="1"/>
  <c r="W29" i="2" s="1"/>
  <c r="X29" i="2" s="1"/>
  <c r="Y29" i="2" s="1"/>
  <c r="Z29" i="2" s="1"/>
  <c r="AA29" i="2" s="1"/>
  <c r="AB29" i="2" s="1"/>
  <c r="AC29" i="2" s="1"/>
  <c r="AD29" i="2" s="1"/>
  <c r="AE29" i="2" s="1"/>
  <c r="V28" i="2"/>
  <c r="W28" i="2" s="1"/>
  <c r="X28" i="2" s="1"/>
  <c r="Y28" i="2" s="1"/>
  <c r="Z28" i="2" s="1"/>
  <c r="AA28" i="2" s="1"/>
  <c r="AB28" i="2" s="1"/>
  <c r="AC28" i="2" s="1"/>
  <c r="AD28" i="2" s="1"/>
  <c r="AE28" i="2" s="1"/>
  <c r="U29" i="2"/>
  <c r="U28" i="2"/>
  <c r="V25" i="2"/>
  <c r="W25" i="2" s="1"/>
  <c r="U25" i="2"/>
  <c r="V37" i="2"/>
  <c r="W37" i="2" s="1"/>
  <c r="X37" i="2" s="1"/>
  <c r="Y37" i="2" s="1"/>
  <c r="Z37" i="2" s="1"/>
  <c r="AA37" i="2" s="1"/>
  <c r="AB37" i="2" s="1"/>
  <c r="AC37" i="2" s="1"/>
  <c r="AD37" i="2" s="1"/>
  <c r="AE37" i="2" s="1"/>
  <c r="U37" i="2"/>
  <c r="T26" i="2"/>
  <c r="T27" i="2"/>
  <c r="T40" i="2" s="1"/>
  <c r="S40" i="2"/>
  <c r="R40" i="2"/>
  <c r="Q40" i="2"/>
  <c r="T31" i="2"/>
  <c r="T33" i="2" s="1"/>
  <c r="T35" i="2" s="1"/>
  <c r="T30" i="2"/>
  <c r="S42" i="2"/>
  <c r="N42" i="2"/>
  <c r="M42" i="2"/>
  <c r="N30" i="2"/>
  <c r="M30" i="2"/>
  <c r="N27" i="2"/>
  <c r="N31" i="2" s="1"/>
  <c r="N33" i="2" s="1"/>
  <c r="N35" i="2" s="1"/>
  <c r="M27" i="2"/>
  <c r="M31" i="2" s="1"/>
  <c r="M33" i="2" s="1"/>
  <c r="M35" i="2" s="1"/>
  <c r="Q75" i="2"/>
  <c r="R75" i="2"/>
  <c r="S75" i="2"/>
  <c r="S22" i="2"/>
  <c r="R22" i="2"/>
  <c r="Q22" i="2"/>
  <c r="S39" i="2"/>
  <c r="R39" i="2"/>
  <c r="S30" i="2"/>
  <c r="R30" i="2"/>
  <c r="Q30" i="2"/>
  <c r="S27" i="2"/>
  <c r="S31" i="2" s="1"/>
  <c r="S33" i="2" s="1"/>
  <c r="S35" i="2" s="1"/>
  <c r="S36" i="2" s="1"/>
  <c r="R27" i="2"/>
  <c r="R31" i="2" s="1"/>
  <c r="R33" i="2" s="1"/>
  <c r="R35" i="2" s="1"/>
  <c r="R36" i="2" s="1"/>
  <c r="Q27" i="2"/>
  <c r="Q31" i="2" s="1"/>
  <c r="Q33" i="2" s="1"/>
  <c r="Q35" i="2" s="1"/>
  <c r="Q36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G7" i="1"/>
  <c r="L61" i="2"/>
  <c r="L57" i="2"/>
  <c r="L48" i="2"/>
  <c r="L43" i="2"/>
  <c r="K61" i="2"/>
  <c r="K57" i="2"/>
  <c r="K48" i="2"/>
  <c r="K43" i="2"/>
  <c r="K71" i="2"/>
  <c r="K72" i="2" s="1"/>
  <c r="G30" i="2"/>
  <c r="G27" i="2"/>
  <c r="G40" i="2" s="1"/>
  <c r="K39" i="2"/>
  <c r="K30" i="2"/>
  <c r="K27" i="2"/>
  <c r="K40" i="2" s="1"/>
  <c r="L39" i="2"/>
  <c r="H30" i="2"/>
  <c r="L30" i="2"/>
  <c r="L27" i="2"/>
  <c r="H27" i="2"/>
  <c r="H40" i="2" s="1"/>
  <c r="G3" i="1"/>
  <c r="G4" i="1" s="1"/>
  <c r="U30" i="2" l="1"/>
  <c r="V30" i="2"/>
  <c r="W27" i="2"/>
  <c r="W26" i="2" s="1"/>
  <c r="X25" i="2"/>
  <c r="Y25" i="2" s="1"/>
  <c r="Z25" i="2" s="1"/>
  <c r="AA25" i="2" s="1"/>
  <c r="AB25" i="2" s="1"/>
  <c r="AC25" i="2" s="1"/>
  <c r="AD25" i="2" s="1"/>
  <c r="AE25" i="2" s="1"/>
  <c r="V27" i="2"/>
  <c r="V26" i="2" s="1"/>
  <c r="W30" i="2"/>
  <c r="W31" i="2"/>
  <c r="X27" i="2"/>
  <c r="X26" i="2" s="1"/>
  <c r="V31" i="2"/>
  <c r="U27" i="2"/>
  <c r="U31" i="2" s="1"/>
  <c r="T42" i="2"/>
  <c r="U32" i="2" s="1"/>
  <c r="T36" i="2"/>
  <c r="K42" i="2"/>
  <c r="K62" i="2"/>
  <c r="L62" i="2"/>
  <c r="L42" i="2"/>
  <c r="L51" i="2"/>
  <c r="K51" i="2"/>
  <c r="L31" i="2"/>
  <c r="L33" i="2" s="1"/>
  <c r="L35" i="2" s="1"/>
  <c r="L64" i="2" s="1"/>
  <c r="L40" i="2"/>
  <c r="H31" i="2"/>
  <c r="H33" i="2" s="1"/>
  <c r="H35" i="2" s="1"/>
  <c r="G31" i="2"/>
  <c r="G33" i="2" s="1"/>
  <c r="G35" i="2" s="1"/>
  <c r="K31" i="2"/>
  <c r="K33" i="2" s="1"/>
  <c r="K35" i="2" s="1"/>
  <c r="K64" i="2" s="1"/>
  <c r="X30" i="2" l="1"/>
  <c r="X31" i="2"/>
  <c r="U33" i="2"/>
  <c r="U26" i="2"/>
  <c r="Y27" i="2" l="1"/>
  <c r="Y26" i="2" s="1"/>
  <c r="Y30" i="2"/>
  <c r="U34" i="2"/>
  <c r="U35" i="2" s="1"/>
  <c r="Z27" i="2"/>
  <c r="Z26" i="2" s="1"/>
  <c r="Y31" i="2" l="1"/>
  <c r="Z30" i="2"/>
  <c r="U42" i="2"/>
  <c r="V32" i="2" s="1"/>
  <c r="V33" i="2" s="1"/>
  <c r="V34" i="2" s="1"/>
  <c r="V35" i="2" s="1"/>
  <c r="V36" i="2" s="1"/>
  <c r="U36" i="2"/>
  <c r="Z31" i="2"/>
  <c r="AA27" i="2"/>
  <c r="AA26" i="2" s="1"/>
  <c r="V42" i="2" l="1"/>
  <c r="W32" i="2" s="1"/>
  <c r="W33" i="2" s="1"/>
  <c r="AA30" i="2"/>
  <c r="W34" i="2"/>
  <c r="W35" i="2" s="1"/>
  <c r="AA31" i="2"/>
  <c r="AB27" i="2"/>
  <c r="AB26" i="2" s="1"/>
  <c r="AB30" i="2" l="1"/>
  <c r="W36" i="2"/>
  <c r="W42" i="2"/>
  <c r="X32" i="2" s="1"/>
  <c r="X33" i="2" s="1"/>
  <c r="AB31" i="2"/>
  <c r="AC27" i="2"/>
  <c r="AC26" i="2" s="1"/>
  <c r="AC30" i="2" l="1"/>
  <c r="X34" i="2"/>
  <c r="X35" i="2" s="1"/>
  <c r="AD27" i="2"/>
  <c r="AD26" i="2" s="1"/>
  <c r="AC31" i="2"/>
  <c r="AE30" i="2" l="1"/>
  <c r="AD30" i="2"/>
  <c r="X36" i="2"/>
  <c r="X42" i="2"/>
  <c r="Y32" i="2" s="1"/>
  <c r="Y33" i="2" s="1"/>
  <c r="AD31" i="2"/>
  <c r="AE27" i="2" l="1"/>
  <c r="AE26" i="2" s="1"/>
  <c r="Y34" i="2"/>
  <c r="Y35" i="2" s="1"/>
  <c r="AE31" i="2" l="1"/>
  <c r="Y36" i="2"/>
  <c r="Y42" i="2"/>
  <c r="Z32" i="2" s="1"/>
  <c r="Z33" i="2" s="1"/>
  <c r="Z34" i="2" l="1"/>
  <c r="Z35" i="2" s="1"/>
  <c r="Z36" i="2" l="1"/>
  <c r="Z42" i="2"/>
  <c r="AA32" i="2" s="1"/>
  <c r="AA33" i="2" s="1"/>
  <c r="AA34" i="2" l="1"/>
  <c r="AA35" i="2" s="1"/>
  <c r="AA36" i="2" l="1"/>
  <c r="AA42" i="2"/>
  <c r="AB32" i="2" s="1"/>
  <c r="AB33" i="2" s="1"/>
  <c r="AB34" i="2" l="1"/>
  <c r="AB35" i="2" s="1"/>
  <c r="AB36" i="2" l="1"/>
  <c r="AB42" i="2"/>
  <c r="AC32" i="2" s="1"/>
  <c r="AC33" i="2" s="1"/>
  <c r="AC34" i="2" l="1"/>
  <c r="AC35" i="2" s="1"/>
  <c r="AC36" i="2" l="1"/>
  <c r="AC42" i="2"/>
  <c r="AD32" i="2"/>
  <c r="AD33" i="2" s="1"/>
  <c r="AD34" i="2" l="1"/>
  <c r="AD35" i="2" s="1"/>
  <c r="AD36" i="2" l="1"/>
  <c r="AD42" i="2"/>
  <c r="AE32" i="2"/>
  <c r="AE33" i="2" s="1"/>
  <c r="AE34" i="2" l="1"/>
  <c r="AE35" i="2" s="1"/>
  <c r="AE36" i="2" l="1"/>
  <c r="AF35" i="2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AE42" i="2"/>
  <c r="AH43" i="2"/>
  <c r="AH44" i="2" s="1"/>
</calcChain>
</file>

<file path=xl/sharedStrings.xml><?xml version="1.0" encoding="utf-8"?>
<sst xmlns="http://schemas.openxmlformats.org/spreadsheetml/2006/main" count="123" uniqueCount="112">
  <si>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</si>
  <si>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</si>
  <si>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</si>
  <si>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</si>
  <si>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</si>
  <si>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</si>
  <si>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</si>
  <si>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</si>
  <si>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</si>
  <si>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</si>
  <si>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</si>
  <si>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</si>
  <si>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</si>
  <si>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</si>
  <si>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</si>
  <si>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Q332</t>
  </si>
  <si>
    <t>Q423</t>
  </si>
  <si>
    <t>Q124</t>
  </si>
  <si>
    <t>Q324</t>
  </si>
  <si>
    <t>Q424</t>
  </si>
  <si>
    <t>Programming</t>
  </si>
  <si>
    <t>Gross Profit</t>
  </si>
  <si>
    <t>Operating Income</t>
  </si>
  <si>
    <t>Operating Expenses</t>
  </si>
  <si>
    <t>M&amp;P</t>
  </si>
  <si>
    <t>G&amp;A</t>
  </si>
  <si>
    <t>Interest Expense</t>
  </si>
  <si>
    <t>Pretax Income</t>
  </si>
  <si>
    <t>Taxes</t>
  </si>
  <si>
    <t>Net Income</t>
  </si>
  <si>
    <t>Revenue growth</t>
  </si>
  <si>
    <t>Gross Margin</t>
  </si>
  <si>
    <t>EPS</t>
  </si>
  <si>
    <t>CFFO</t>
  </si>
  <si>
    <t>Model NI</t>
  </si>
  <si>
    <t>Reported NI</t>
  </si>
  <si>
    <t>WC</t>
  </si>
  <si>
    <t>DT</t>
  </si>
  <si>
    <t>Gain of Investment</t>
  </si>
  <si>
    <t>Noncash Interest</t>
  </si>
  <si>
    <t>SBC</t>
  </si>
  <si>
    <t>D&amp;A</t>
  </si>
  <si>
    <t>Net Cash</t>
  </si>
  <si>
    <t>AR</t>
  </si>
  <si>
    <t>OCA</t>
  </si>
  <si>
    <t>Film</t>
  </si>
  <si>
    <t>PP&amp;E</t>
  </si>
  <si>
    <t>Goodwill</t>
  </si>
  <si>
    <t>Assets</t>
  </si>
  <si>
    <t>ONCA</t>
  </si>
  <si>
    <t>Franchise</t>
  </si>
  <si>
    <t>AP</t>
  </si>
  <si>
    <t>Participations</t>
  </si>
  <si>
    <t>DR</t>
  </si>
  <si>
    <t>AE</t>
  </si>
  <si>
    <t>Commitments</t>
  </si>
  <si>
    <t>S/E</t>
  </si>
  <si>
    <t>L+S/E</t>
  </si>
  <si>
    <t>Advance</t>
  </si>
  <si>
    <t>Domestic Broadband</t>
  </si>
  <si>
    <t>Domestic Wireless</t>
  </si>
  <si>
    <t>International Connectivity</t>
  </si>
  <si>
    <t>Video</t>
  </si>
  <si>
    <t>Advertising</t>
  </si>
  <si>
    <t>Other</t>
  </si>
  <si>
    <t>Eliminations</t>
  </si>
  <si>
    <t>Other Revenue</t>
  </si>
  <si>
    <t>Theme Parks</t>
  </si>
  <si>
    <t>Other Studios</t>
  </si>
  <si>
    <t>Theatrical</t>
  </si>
  <si>
    <t>Content licensing</t>
  </si>
  <si>
    <t>Other Media</t>
  </si>
  <si>
    <t>International Networks</t>
  </si>
  <si>
    <t>Domestic Media Distribution</t>
  </si>
  <si>
    <t>Domestic Advertising</t>
  </si>
  <si>
    <t>Business Services Connectivity</t>
  </si>
  <si>
    <t>USA Network</t>
  </si>
  <si>
    <r>
      <t>71</t>
    </r>
    <r>
      <rPr>
        <sz val="10"/>
        <color rgb="FF000000"/>
        <rFont val="Times New Roman"/>
        <family val="1"/>
      </rPr>
      <t> </t>
    </r>
  </si>
  <si>
    <t>General entertainment and sports</t>
  </si>
  <si>
    <t>Syfy</t>
  </si>
  <si>
    <t>Genre-based entertainment</t>
  </si>
  <si>
    <t>E!</t>
  </si>
  <si>
    <t>Entertainment and pop culture</t>
  </si>
  <si>
    <t>MSNBC</t>
  </si>
  <si>
    <r>
      <t>70</t>
    </r>
    <r>
      <rPr>
        <sz val="10"/>
        <color rgb="FF000000"/>
        <rFont val="Times New Roman"/>
        <family val="1"/>
      </rPr>
      <t> </t>
    </r>
  </si>
  <si>
    <t>News, political commentary and information</t>
  </si>
  <si>
    <t>Bravo</t>
  </si>
  <si>
    <t>Lifestyle entertainment</t>
  </si>
  <si>
    <t>CNBC</t>
  </si>
  <si>
    <t>Business and financial news</t>
  </si>
  <si>
    <t>Oxygen</t>
  </si>
  <si>
    <r>
      <t>64</t>
    </r>
    <r>
      <rPr>
        <sz val="10"/>
        <color rgb="FF000000"/>
        <rFont val="Times New Roman"/>
        <family val="1"/>
      </rPr>
      <t> </t>
    </r>
  </si>
  <si>
    <t>True crime</t>
  </si>
  <si>
    <t>Golf Channel</t>
  </si>
  <si>
    <r>
      <t>59</t>
    </r>
    <r>
      <rPr>
        <sz val="10"/>
        <color rgb="FF000000"/>
        <rFont val="Times New Roman"/>
        <family val="1"/>
      </rPr>
      <t> </t>
    </r>
  </si>
  <si>
    <t>Golf competition and golf entertainment</t>
  </si>
  <si>
    <t>Universal Kids</t>
  </si>
  <si>
    <r>
      <t>47</t>
    </r>
    <r>
      <rPr>
        <sz val="10"/>
        <color rgb="FF000000"/>
        <rFont val="Times New Roman"/>
        <family val="1"/>
      </rPr>
      <t> </t>
    </r>
  </si>
  <si>
    <t>Children’s entertainment</t>
  </si>
  <si>
    <t>Universo</t>
  </si>
  <si>
    <r>
      <t>21</t>
    </r>
    <r>
      <rPr>
        <sz val="10"/>
        <color rgb="FF000000"/>
        <rFont val="Times New Roman"/>
        <family val="1"/>
      </rPr>
      <t> </t>
    </r>
  </si>
  <si>
    <t>Spanish-language entertainment</t>
  </si>
  <si>
    <t>CNBC World</t>
  </si>
  <si>
    <r>
      <t>18</t>
    </r>
    <r>
      <rPr>
        <sz val="10"/>
        <color rgb="FF000000"/>
        <rFont val="Times New Roman"/>
        <family val="1"/>
      </rPr>
      <t> </t>
    </r>
  </si>
  <si>
    <t>Global financial news</t>
  </si>
  <si>
    <t>Domestic homes &amp; businesses passed</t>
  </si>
  <si>
    <t>FCF</t>
  </si>
  <si>
    <t>ROIC</t>
  </si>
  <si>
    <t>Discount</t>
  </si>
  <si>
    <t>NPV</t>
  </si>
  <si>
    <t>Maturity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</si>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</sst>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4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154578</xdr:colOff>
      <xdr:row>1</xdr:row>
      <xdr:rowOff>163285</xdr:rowOff>
    </xdr:from>
    <xdr:to>
      <xdr:col>4</xdr:col>
      <xdr:colOff>478971</xdr:colOff>
      <xdr:row>12</xdr:row>
      <xdr:rowOff>96866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4AF147-FDEA-9ABE-F73A-2632B2D41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78" y="326571"/>
          <a:ext cx="3626393" cy="17297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36286</xdr:colOff>
      <xdr:row>0</xdr:row>
      <xdr:rowOff>72571</xdr:rowOff>
    </xdr:from>
    <xdr:to>
      <xdr:col>12</xdr:col>
      <xdr:colOff>36286</xdr:colOff>
      <xdr:row>84</xdr:row>
      <xdr:rowOff>145143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3F59D2-CBC7-7E25-328A-3545ABBCC198}"/>
            </a:ext>
          </a:extLst>
        </xdr:cNvPr>
        <xdr:cNvCxnSpPr/>
      </xdr:nvCxnSpPr>
      <xdr:spPr>
        <a:xfrm>
          <a:off x="8064500" y="72571"/>
          <a:ext cx="0" cy="69305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9072</xdr:colOff>
      <xdr:row>0</xdr:row>
      <xdr:rowOff>99786</xdr:rowOff>
    </xdr:from>
    <xdr:to>
      <xdr:col>19</xdr:col>
      <xdr:colOff>50175</xdr:colOff>
      <xdr:row>46</xdr:row>
      <xdr:rowOff>18143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EE38242-73AE-4892-A22F-F1503D6FB1E3}"/>
            </a:ext>
          </a:extLst>
        </xdr:cNvPr>
        <xdr:cNvCxnSpPr/>
      </xdr:nvCxnSpPr>
      <xdr:spPr>
        <a:xfrm>
          <a:off x="14514286" y="99786"/>
          <a:ext cx="41103" cy="7429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2C51-881B-6547-8FE1-3305C24AB2DD}">
  <dimension ref="B2:H26"/>
  <sheetViews>
    <sheetView zoomScale="140" zoomScaleNormal="140" workbookViewId="0">
      <selection activeCell="A20" sqref="A20"/>
    </sheetView>
  </sheetViews>
  <sheetFormatPr baseColWidth="10" defaultRowHeight="13" x14ac:dyDescent="0.15"/>
  <cols>
    <col min="1" max="5" width="10.83203125" style="1"/>
    <col min="6" max="6" width="6.6640625" style="1" bestFit="1" customWidth="1"/>
    <col min="7" max="7" width="8.5" style="1" customWidth="1"/>
    <col min="8" max="8" width="8.1640625" style="1" customWidth="1"/>
    <col min="9" max="16384" width="10.83203125" style="1"/>
  </cols>
  <sheetData>
    <row r="2" spans="2:8" x14ac:dyDescent="0.15">
      <c r="F2" s="1" t="s">
        <v>0</v>
      </c>
      <c r="G2" s="1">
        <v>39.25</v>
      </c>
    </row>
    <row r="3" spans="2:8" x14ac:dyDescent="0.15">
      <c r="F3" s="1" t="s">
        <v>1</v>
      </c>
      <c r="G3" s="3">
        <f>3863.057248+9.444375</f>
        <v>3872.5016230000001</v>
      </c>
      <c r="H3" s="2" t="s">
        <v>6</v>
      </c>
    </row>
    <row r="4" spans="2:8" x14ac:dyDescent="0.15">
      <c r="F4" s="1" t="s">
        <v>2</v>
      </c>
      <c r="G4" s="3">
        <f>+G2*G3</f>
        <v>151995.68870274999</v>
      </c>
      <c r="H4" s="2"/>
    </row>
    <row r="5" spans="2:8" x14ac:dyDescent="0.15">
      <c r="F5" s="1" t="s">
        <v>3</v>
      </c>
      <c r="G5" s="3">
        <v>15236</v>
      </c>
      <c r="H5" s="2" t="s">
        <v>6</v>
      </c>
    </row>
    <row r="6" spans="2:8" x14ac:dyDescent="0.15">
      <c r="F6" s="1" t="s">
        <v>4</v>
      </c>
      <c r="G6" s="3">
        <v>98128</v>
      </c>
      <c r="H6" s="2" t="s">
        <v>6</v>
      </c>
    </row>
    <row r="7" spans="2:8" x14ac:dyDescent="0.15">
      <c r="F7" s="1" t="s">
        <v>5</v>
      </c>
      <c r="G7" s="3">
        <f>+G4-G5+G6</f>
        <v>234887.68870274999</v>
      </c>
    </row>
    <row r="16" spans="2:8" x14ac:dyDescent="0.15">
      <c r="B16" s="8" t="s">
        <v>76</v>
      </c>
      <c r="C16" s="9" t="s">
        <v>77</v>
      </c>
      <c r="D16" s="8" t="s">
        <v>78</v>
      </c>
    </row>
    <row r="17" spans="2:4" x14ac:dyDescent="0.15">
      <c r="B17" s="8" t="s">
        <v>79</v>
      </c>
      <c r="C17" s="9" t="s">
        <v>77</v>
      </c>
      <c r="D17" s="8" t="s">
        <v>80</v>
      </c>
    </row>
    <row r="18" spans="2:4" x14ac:dyDescent="0.15">
      <c r="B18" s="8" t="s">
        <v>81</v>
      </c>
      <c r="C18" s="9" t="s">
        <v>77</v>
      </c>
      <c r="D18" s="8" t="s">
        <v>82</v>
      </c>
    </row>
    <row r="19" spans="2:4" x14ac:dyDescent="0.15">
      <c r="B19" s="8" t="s">
        <v>83</v>
      </c>
      <c r="C19" s="9" t="s">
        <v>84</v>
      </c>
      <c r="D19" s="8" t="s">
        <v>85</v>
      </c>
    </row>
    <row r="20" spans="2:4" x14ac:dyDescent="0.15">
      <c r="B20" s="8" t="s">
        <v>86</v>
      </c>
      <c r="C20" s="9" t="s">
        <v>84</v>
      </c>
      <c r="D20" s="8" t="s">
        <v>87</v>
      </c>
    </row>
    <row r="21" spans="2:4" x14ac:dyDescent="0.15">
      <c r="B21" s="8" t="s">
        <v>88</v>
      </c>
      <c r="C21" s="9" t="s">
        <v>84</v>
      </c>
      <c r="D21" s="8" t="s">
        <v>89</v>
      </c>
    </row>
    <row r="22" spans="2:4" x14ac:dyDescent="0.15">
      <c r="B22" s="8" t="s">
        <v>90</v>
      </c>
      <c r="C22" s="9" t="s">
        <v>91</v>
      </c>
      <c r="D22" s="8" t="s">
        <v>92</v>
      </c>
    </row>
    <row r="23" spans="2:4" x14ac:dyDescent="0.15">
      <c r="B23" s="8" t="s">
        <v>93</v>
      </c>
      <c r="C23" s="9" t="s">
        <v>94</v>
      </c>
      <c r="D23" s="8" t="s">
        <v>95</v>
      </c>
    </row>
    <row r="24" spans="2:4" x14ac:dyDescent="0.15">
      <c r="B24" s="8" t="s">
        <v>96</v>
      </c>
      <c r="C24" s="9" t="s">
        <v>97</v>
      </c>
      <c r="D24" s="8" t="s">
        <v>98</v>
      </c>
    </row>
    <row r="25" spans="2:4" x14ac:dyDescent="0.15">
      <c r="B25" s="8" t="s">
        <v>99</v>
      </c>
      <c r="C25" s="9" t="s">
        <v>100</v>
      </c>
      <c r="D25" s="8" t="s">
        <v>101</v>
      </c>
    </row>
    <row r="26" spans="2:4" x14ac:dyDescent="0.15">
      <c r="B26" s="8" t="s">
        <v>102</v>
      </c>
      <c r="C26" s="9" t="s">
        <v>103</v>
      </c>
      <c r="D26" s="8" t="s">
        <v>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FB55-E74D-8D45-BDBE-0DF84DD3D909}">
  <dimension ref="A1:CQ75"/>
  <sheetViews>
    <sheetView tabSelected="1" zoomScale="140" zoomScaleNormal="140" workbookViewId="0">
      <pane xSplit="2" ySplit="2" topLeftCell="AA26" activePane="bottomRight" state="frozen"/>
      <selection pane="topRight" activeCell="C1" sqref="C1"/>
      <selection pane="bottomLeft" activeCell="A3" sqref="A3"/>
      <selection pane="bottomRight" activeCell="AA28" sqref="AA28"/>
    </sheetView>
  </sheetViews>
  <sheetFormatPr baseColWidth="10" defaultRowHeight="13" x14ac:dyDescent="0.15"/>
  <cols>
    <col min="1" max="1" width="4.83203125" style="1" bestFit="1" customWidth="1"/>
    <col min="2" max="2" width="31.33203125" style="1" bestFit="1" customWidth="1"/>
    <col min="3" max="14" width="8.33203125" style="2" customWidth="1"/>
    <col min="15" max="33" width="10.83203125" style="1"/>
    <col min="34" max="34" width="9.5" style="1" customWidth="1"/>
    <col min="35" max="16384" width="10.83203125" style="1"/>
  </cols>
  <sheetData>
    <row r="1" spans="1:31" x14ac:dyDescent="0.15">
      <c r="A1" s="1" t="s">
        <v>7</v>
      </c>
    </row>
    <row r="2" spans="1:31" x14ac:dyDescent="0.1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6</v>
      </c>
      <c r="M2" s="2" t="s">
        <v>18</v>
      </c>
      <c r="N2" s="2" t="s">
        <v>19</v>
      </c>
      <c r="P2" s="1">
        <v>2020</v>
      </c>
      <c r="Q2" s="1">
        <v>2021</v>
      </c>
      <c r="R2" s="1">
        <f>+Q2+1</f>
        <v>2022</v>
      </c>
      <c r="S2" s="1">
        <f>+R2+1</f>
        <v>2023</v>
      </c>
      <c r="T2" s="1">
        <f>+S2+1</f>
        <v>2024</v>
      </c>
      <c r="U2" s="1">
        <f>+T2+1</f>
        <v>2025</v>
      </c>
      <c r="V2" s="1">
        <f>+U2+1</f>
        <v>2026</v>
      </c>
      <c r="W2" s="1">
        <f>+V2+1</f>
        <v>2027</v>
      </c>
      <c r="X2" s="1">
        <f>+W2+1</f>
        <v>2028</v>
      </c>
      <c r="Y2" s="1">
        <f>+X2+1</f>
        <v>2029</v>
      </c>
      <c r="Z2" s="1">
        <f>+Y2+1</f>
        <v>2030</v>
      </c>
      <c r="AA2" s="1">
        <f>+Z2+1</f>
        <v>2031</v>
      </c>
      <c r="AB2" s="1">
        <f>+AA2+1</f>
        <v>2032</v>
      </c>
      <c r="AC2" s="1">
        <f>+AB2+1</f>
        <v>2033</v>
      </c>
      <c r="AD2" s="1">
        <f>+AC2+1</f>
        <v>2034</v>
      </c>
      <c r="AE2" s="1">
        <f>+AD2+1</f>
        <v>2035</v>
      </c>
    </row>
    <row r="3" spans="1:31" x14ac:dyDescent="0.15">
      <c r="B3" s="1" t="s">
        <v>105</v>
      </c>
      <c r="Q3" s="3">
        <v>60527</v>
      </c>
      <c r="R3" s="3">
        <v>61367</v>
      </c>
      <c r="S3" s="3">
        <v>62457</v>
      </c>
    </row>
    <row r="6" spans="1:31" s="3" customFormat="1" x14ac:dyDescent="0.15">
      <c r="B6" s="3" t="s">
        <v>59</v>
      </c>
      <c r="C6" s="4"/>
      <c r="D6" s="4"/>
      <c r="E6" s="4"/>
      <c r="F6" s="4"/>
      <c r="G6" s="4"/>
      <c r="H6" s="4"/>
      <c r="I6" s="4"/>
      <c r="J6" s="4"/>
      <c r="K6" s="4"/>
      <c r="L6" s="4">
        <v>6569</v>
      </c>
      <c r="M6" s="4"/>
      <c r="N6" s="4"/>
      <c r="Q6" s="3">
        <v>22979</v>
      </c>
      <c r="R6" s="3">
        <v>24469</v>
      </c>
      <c r="S6" s="3">
        <v>25489</v>
      </c>
    </row>
    <row r="7" spans="1:31" s="3" customFormat="1" x14ac:dyDescent="0.15">
      <c r="B7" s="3" t="s">
        <v>60</v>
      </c>
      <c r="C7" s="4"/>
      <c r="D7" s="4"/>
      <c r="E7" s="4"/>
      <c r="F7" s="4"/>
      <c r="G7" s="4"/>
      <c r="H7" s="4"/>
      <c r="I7" s="4"/>
      <c r="J7" s="4"/>
      <c r="K7" s="4"/>
      <c r="L7" s="4">
        <v>1019</v>
      </c>
      <c r="M7" s="4"/>
      <c r="N7" s="4"/>
      <c r="Q7" s="3">
        <v>2380</v>
      </c>
      <c r="R7" s="3">
        <v>3071</v>
      </c>
      <c r="S7" s="3">
        <v>3664</v>
      </c>
    </row>
    <row r="8" spans="1:31" s="3" customFormat="1" x14ac:dyDescent="0.15">
      <c r="B8" s="3" t="s">
        <v>61</v>
      </c>
      <c r="C8" s="4"/>
      <c r="D8" s="4"/>
      <c r="E8" s="4"/>
      <c r="F8" s="4"/>
      <c r="G8" s="4"/>
      <c r="H8" s="4"/>
      <c r="I8" s="4"/>
      <c r="J8" s="4"/>
      <c r="K8" s="4"/>
      <c r="L8" s="4">
        <v>1148</v>
      </c>
      <c r="M8" s="4"/>
      <c r="N8" s="4"/>
      <c r="Q8" s="3">
        <v>3293</v>
      </c>
      <c r="R8" s="3">
        <v>3426</v>
      </c>
      <c r="S8" s="3">
        <v>4207</v>
      </c>
    </row>
    <row r="9" spans="1:31" x14ac:dyDescent="0.15">
      <c r="B9" s="1" t="s">
        <v>62</v>
      </c>
      <c r="L9" s="4">
        <v>6781</v>
      </c>
      <c r="Q9" s="3">
        <v>32440</v>
      </c>
      <c r="R9" s="3">
        <v>30496</v>
      </c>
      <c r="S9" s="3">
        <v>28797</v>
      </c>
    </row>
    <row r="10" spans="1:31" x14ac:dyDescent="0.15">
      <c r="B10" s="1" t="s">
        <v>63</v>
      </c>
      <c r="L10" s="4">
        <v>993</v>
      </c>
      <c r="Q10" s="3">
        <v>4507</v>
      </c>
      <c r="R10" s="3">
        <v>4546</v>
      </c>
      <c r="S10" s="3">
        <v>3969</v>
      </c>
    </row>
    <row r="11" spans="1:31" x14ac:dyDescent="0.15">
      <c r="B11" s="1" t="s">
        <v>64</v>
      </c>
      <c r="L11" s="4">
        <v>1313</v>
      </c>
      <c r="Q11" s="3">
        <v>7095</v>
      </c>
      <c r="R11" s="3">
        <v>6378</v>
      </c>
      <c r="S11" s="3">
        <v>5820</v>
      </c>
    </row>
    <row r="12" spans="1:31" x14ac:dyDescent="0.15">
      <c r="B12" s="1" t="s">
        <v>75</v>
      </c>
      <c r="L12" s="4">
        <v>2421</v>
      </c>
      <c r="Q12" s="3">
        <v>8056</v>
      </c>
      <c r="R12" s="3">
        <v>8819</v>
      </c>
      <c r="S12" s="3">
        <v>9255</v>
      </c>
    </row>
    <row r="13" spans="1:31" x14ac:dyDescent="0.15">
      <c r="B13" s="1" t="s">
        <v>74</v>
      </c>
      <c r="L13" s="4">
        <v>1991</v>
      </c>
      <c r="Q13" s="3">
        <v>10177</v>
      </c>
      <c r="R13" s="3">
        <v>10360</v>
      </c>
      <c r="S13" s="3">
        <v>8600</v>
      </c>
    </row>
    <row r="14" spans="1:31" x14ac:dyDescent="0.15">
      <c r="B14" s="1" t="s">
        <v>73</v>
      </c>
      <c r="L14" s="4">
        <v>2764</v>
      </c>
      <c r="Q14" s="3">
        <v>10080</v>
      </c>
      <c r="R14" s="3">
        <v>10525</v>
      </c>
      <c r="S14" s="3">
        <v>10663</v>
      </c>
    </row>
    <row r="15" spans="1:31" x14ac:dyDescent="0.15">
      <c r="B15" s="1" t="s">
        <v>72</v>
      </c>
      <c r="L15" s="4">
        <v>1102</v>
      </c>
      <c r="Q15" s="3">
        <v>5060</v>
      </c>
      <c r="R15" s="3">
        <v>3729</v>
      </c>
      <c r="S15" s="3">
        <v>4109</v>
      </c>
    </row>
    <row r="16" spans="1:31" x14ac:dyDescent="0.15">
      <c r="B16" s="1" t="s">
        <v>71</v>
      </c>
      <c r="L16" s="4">
        <v>467</v>
      </c>
      <c r="Q16" s="3">
        <v>2090</v>
      </c>
      <c r="R16" s="3">
        <v>2105</v>
      </c>
      <c r="S16" s="3">
        <v>1983</v>
      </c>
    </row>
    <row r="17" spans="2:31" x14ac:dyDescent="0.15">
      <c r="B17" s="1" t="s">
        <v>70</v>
      </c>
      <c r="L17" s="4">
        <v>1714</v>
      </c>
      <c r="Q17" s="3">
        <v>8193</v>
      </c>
      <c r="R17" s="3">
        <v>9348</v>
      </c>
      <c r="S17" s="3">
        <v>8231</v>
      </c>
    </row>
    <row r="18" spans="2:31" x14ac:dyDescent="0.15">
      <c r="B18" s="1" t="s">
        <v>69</v>
      </c>
      <c r="L18" s="4">
        <v>237</v>
      </c>
      <c r="Q18" s="3">
        <v>691</v>
      </c>
      <c r="R18" s="3">
        <v>1607</v>
      </c>
      <c r="S18" s="3">
        <v>2079</v>
      </c>
    </row>
    <row r="19" spans="2:31" x14ac:dyDescent="0.15">
      <c r="B19" s="1" t="s">
        <v>68</v>
      </c>
      <c r="L19" s="4">
        <v>302</v>
      </c>
      <c r="Q19" s="3">
        <v>1193</v>
      </c>
      <c r="R19" s="3">
        <v>1302</v>
      </c>
      <c r="S19" s="3">
        <v>1315</v>
      </c>
    </row>
    <row r="20" spans="2:31" x14ac:dyDescent="0.15">
      <c r="B20" s="1" t="s">
        <v>67</v>
      </c>
      <c r="L20" s="4">
        <v>1975</v>
      </c>
      <c r="Q20" s="3">
        <v>5051</v>
      </c>
      <c r="R20" s="3">
        <v>7541</v>
      </c>
      <c r="S20" s="3">
        <v>8947</v>
      </c>
    </row>
    <row r="21" spans="2:31" x14ac:dyDescent="0.15">
      <c r="B21" s="1" t="s">
        <v>66</v>
      </c>
      <c r="L21" s="4">
        <v>715</v>
      </c>
      <c r="Q21" s="3">
        <v>10077</v>
      </c>
      <c r="R21" s="3">
        <v>12257</v>
      </c>
      <c r="S21" s="3">
        <v>11625</v>
      </c>
    </row>
    <row r="22" spans="2:31" x14ac:dyDescent="0.15">
      <c r="B22" s="1" t="s">
        <v>65</v>
      </c>
      <c r="L22" s="4">
        <v>-1825</v>
      </c>
      <c r="Q22" s="3">
        <f>-3048-6783</f>
        <v>-9831</v>
      </c>
      <c r="R22" s="3">
        <f>-3442-5590</f>
        <v>-9032</v>
      </c>
      <c r="S22" s="3">
        <f>-2800-5583</f>
        <v>-8383</v>
      </c>
    </row>
    <row r="25" spans="2:31" s="5" customFormat="1" x14ac:dyDescent="0.15">
      <c r="B25" s="5" t="s">
        <v>8</v>
      </c>
      <c r="C25" s="6"/>
      <c r="D25" s="6"/>
      <c r="E25" s="6"/>
      <c r="F25" s="6"/>
      <c r="G25" s="6">
        <v>29691</v>
      </c>
      <c r="H25" s="6">
        <v>30513</v>
      </c>
      <c r="I25" s="6"/>
      <c r="J25" s="6"/>
      <c r="K25" s="6">
        <v>30058</v>
      </c>
      <c r="L25" s="6">
        <v>29688</v>
      </c>
      <c r="M25" s="6">
        <v>29688</v>
      </c>
      <c r="N25" s="6">
        <v>29688</v>
      </c>
      <c r="Q25" s="5">
        <v>116385</v>
      </c>
      <c r="R25" s="5">
        <v>121427</v>
      </c>
      <c r="S25" s="5">
        <v>121572</v>
      </c>
      <c r="T25" s="5">
        <v>121572</v>
      </c>
      <c r="U25" s="5">
        <f>+T25*0.97</f>
        <v>117924.84</v>
      </c>
      <c r="V25" s="5">
        <f t="shared" ref="V25:AE25" si="0">+U25*0.97</f>
        <v>114387.09479999999</v>
      </c>
      <c r="W25" s="5">
        <f t="shared" si="0"/>
        <v>110955.48195599999</v>
      </c>
      <c r="X25" s="5">
        <f t="shared" si="0"/>
        <v>107626.81749731999</v>
      </c>
      <c r="Y25" s="5">
        <f t="shared" si="0"/>
        <v>104398.01297240039</v>
      </c>
      <c r="Z25" s="5">
        <f t="shared" si="0"/>
        <v>101266.07258322838</v>
      </c>
      <c r="AA25" s="5">
        <f t="shared" si="0"/>
        <v>98228.09040573152</v>
      </c>
      <c r="AB25" s="5">
        <f t="shared" si="0"/>
        <v>95281.247693559577</v>
      </c>
      <c r="AC25" s="5">
        <f t="shared" si="0"/>
        <v>92422.810262752784</v>
      </c>
      <c r="AD25" s="5">
        <f t="shared" si="0"/>
        <v>89650.125954870193</v>
      </c>
      <c r="AE25" s="5">
        <f t="shared" si="0"/>
        <v>86960.622176224089</v>
      </c>
    </row>
    <row r="26" spans="2:31" s="3" customFormat="1" x14ac:dyDescent="0.15">
      <c r="B26" s="3" t="s">
        <v>20</v>
      </c>
      <c r="C26" s="4"/>
      <c r="D26" s="4"/>
      <c r="E26" s="4"/>
      <c r="F26" s="4"/>
      <c r="G26" s="4">
        <v>9004</v>
      </c>
      <c r="H26" s="4">
        <v>8849</v>
      </c>
      <c r="I26" s="4"/>
      <c r="J26" s="4"/>
      <c r="K26" s="4">
        <v>8823</v>
      </c>
      <c r="L26" s="4">
        <v>7961</v>
      </c>
      <c r="M26" s="4">
        <v>7961</v>
      </c>
      <c r="N26" s="4">
        <v>7961</v>
      </c>
      <c r="Q26" s="3">
        <v>38450</v>
      </c>
      <c r="R26" s="3">
        <v>38213</v>
      </c>
      <c r="S26" s="3">
        <v>36762</v>
      </c>
      <c r="T26" s="3">
        <f>+T25-T27</f>
        <v>36471.600000000006</v>
      </c>
      <c r="U26" s="3">
        <f>+U25-U27</f>
        <v>36556.700400000002</v>
      </c>
      <c r="V26" s="3">
        <f>+V25-V27</f>
        <v>35459.999387999997</v>
      </c>
      <c r="W26" s="3">
        <f>+W25-W27</f>
        <v>35505.754225919998</v>
      </c>
      <c r="X26" s="3">
        <f t="shared" ref="X26" si="1">+X25-X27</f>
        <v>34440.581599142388</v>
      </c>
      <c r="Y26" s="3">
        <f t="shared" ref="Y26" si="2">+Y25-Y27</f>
        <v>34451.344280892125</v>
      </c>
      <c r="Z26" s="3">
        <f t="shared" ref="Z26:AE26" si="3">+Z25-Z27</f>
        <v>33417.803952465358</v>
      </c>
      <c r="AA26" s="3">
        <f t="shared" si="3"/>
        <v>33397.550737948717</v>
      </c>
      <c r="AB26" s="3">
        <f t="shared" ref="AB26" si="4">+AB25-AB27</f>
        <v>32395.624215810254</v>
      </c>
      <c r="AC26" s="3">
        <f t="shared" si="3"/>
        <v>32347.983591963472</v>
      </c>
      <c r="AD26" s="3">
        <f t="shared" si="3"/>
        <v>31377.544084204565</v>
      </c>
      <c r="AE26" s="3">
        <f t="shared" si="3"/>
        <v>31305.82398344067</v>
      </c>
    </row>
    <row r="27" spans="2:31" s="3" customFormat="1" x14ac:dyDescent="0.15">
      <c r="B27" s="3" t="s">
        <v>21</v>
      </c>
      <c r="C27" s="4"/>
      <c r="D27" s="4"/>
      <c r="E27" s="4"/>
      <c r="F27" s="4"/>
      <c r="G27" s="4">
        <f>+G25-G26</f>
        <v>20687</v>
      </c>
      <c r="H27" s="4">
        <f>+H25-H26</f>
        <v>21664</v>
      </c>
      <c r="I27" s="4"/>
      <c r="J27" s="4"/>
      <c r="K27" s="4">
        <f>+K25-K26</f>
        <v>21235</v>
      </c>
      <c r="L27" s="4">
        <f>+L25-L26</f>
        <v>21727</v>
      </c>
      <c r="M27" s="4">
        <f t="shared" ref="M27:N27" si="5">+M25-M26</f>
        <v>21727</v>
      </c>
      <c r="N27" s="4">
        <f t="shared" si="5"/>
        <v>21727</v>
      </c>
      <c r="Q27" s="3">
        <f>+Q25-Q26</f>
        <v>77935</v>
      </c>
      <c r="R27" s="3">
        <f>+R25-R26</f>
        <v>83214</v>
      </c>
      <c r="S27" s="3">
        <f>+S25-S26</f>
        <v>84810</v>
      </c>
      <c r="T27" s="3">
        <f>+T25*0.7</f>
        <v>85100.4</v>
      </c>
      <c r="U27" s="3">
        <f>+U25*0.69</f>
        <v>81368.139599999995</v>
      </c>
      <c r="V27" s="3">
        <f>+V25*0.69</f>
        <v>78927.095411999995</v>
      </c>
      <c r="W27" s="3">
        <f>+W25*0.68</f>
        <v>75449.727730079991</v>
      </c>
      <c r="X27" s="3">
        <f t="shared" ref="X27:Y27" si="6">+X25*0.68</f>
        <v>73186.235898177605</v>
      </c>
      <c r="Y27" s="3">
        <f>+Y25*0.67</f>
        <v>69946.668691508268</v>
      </c>
      <c r="Z27" s="3">
        <f t="shared" ref="Z27:AA27" si="7">+Z25*0.67</f>
        <v>67848.268630763021</v>
      </c>
      <c r="AA27" s="3">
        <f>+AA25*0.66</f>
        <v>64830.539667782803</v>
      </c>
      <c r="AB27" s="3">
        <f t="shared" ref="AB27" si="8">+AB25*0.66</f>
        <v>62885.623477749323</v>
      </c>
      <c r="AC27" s="3">
        <f>+AC25*0.65</f>
        <v>60074.826670789313</v>
      </c>
      <c r="AD27" s="3">
        <f>+AD25*0.65</f>
        <v>58272.581870665628</v>
      </c>
      <c r="AE27" s="3">
        <f>+AE25*0.64</f>
        <v>55654.798192783419</v>
      </c>
    </row>
    <row r="28" spans="2:31" s="3" customFormat="1" x14ac:dyDescent="0.15">
      <c r="B28" s="3" t="s">
        <v>24</v>
      </c>
      <c r="C28" s="4"/>
      <c r="D28" s="4"/>
      <c r="E28" s="4"/>
      <c r="F28" s="4"/>
      <c r="G28" s="4">
        <v>1963</v>
      </c>
      <c r="H28" s="4">
        <v>2100</v>
      </c>
      <c r="I28" s="4"/>
      <c r="J28" s="4"/>
      <c r="K28" s="4">
        <v>2018</v>
      </c>
      <c r="L28" s="4">
        <v>1922</v>
      </c>
      <c r="M28" s="4">
        <v>1922</v>
      </c>
      <c r="N28" s="4">
        <v>1922</v>
      </c>
      <c r="Q28" s="3">
        <v>7695</v>
      </c>
      <c r="R28" s="3">
        <v>8506</v>
      </c>
      <c r="S28" s="3">
        <v>7971</v>
      </c>
      <c r="T28" s="3">
        <v>7971</v>
      </c>
      <c r="U28" s="3">
        <f>+T28*0.97</f>
        <v>7731.87</v>
      </c>
      <c r="V28" s="3">
        <f t="shared" ref="V28:AE28" si="9">+U28*0.97</f>
        <v>7499.9138999999996</v>
      </c>
      <c r="W28" s="3">
        <f t="shared" si="9"/>
        <v>7274.9164829999991</v>
      </c>
      <c r="X28" s="3">
        <f t="shared" si="9"/>
        <v>7056.6689885099986</v>
      </c>
      <c r="Y28" s="3">
        <f t="shared" si="9"/>
        <v>6844.9689188546981</v>
      </c>
      <c r="Z28" s="3">
        <f t="shared" si="9"/>
        <v>6639.6198512890569</v>
      </c>
      <c r="AA28" s="3">
        <f t="shared" si="9"/>
        <v>6440.4312557503854</v>
      </c>
      <c r="AB28" s="3">
        <f t="shared" si="9"/>
        <v>6247.2183180778738</v>
      </c>
      <c r="AC28" s="3">
        <f t="shared" si="9"/>
        <v>6059.8017685355371</v>
      </c>
      <c r="AD28" s="3">
        <f t="shared" si="9"/>
        <v>5878.0077154794708</v>
      </c>
      <c r="AE28" s="3">
        <f t="shared" si="9"/>
        <v>5701.6674840150863</v>
      </c>
    </row>
    <row r="29" spans="2:31" s="3" customFormat="1" x14ac:dyDescent="0.15">
      <c r="B29" s="3" t="s">
        <v>25</v>
      </c>
      <c r="C29" s="4"/>
      <c r="D29" s="4"/>
      <c r="E29" s="4"/>
      <c r="F29" s="4"/>
      <c r="G29" s="4">
        <v>9301</v>
      </c>
      <c r="H29" s="4">
        <v>9317</v>
      </c>
      <c r="I29" s="4"/>
      <c r="J29" s="4"/>
      <c r="K29" s="4">
        <v>9857</v>
      </c>
      <c r="L29" s="4">
        <v>9630</v>
      </c>
      <c r="M29" s="4">
        <v>9630</v>
      </c>
      <c r="N29" s="4">
        <v>9630</v>
      </c>
      <c r="Q29" s="3">
        <v>35619</v>
      </c>
      <c r="R29" s="3">
        <v>38263</v>
      </c>
      <c r="S29" s="3">
        <v>39190</v>
      </c>
      <c r="T29" s="3">
        <v>39190</v>
      </c>
      <c r="U29" s="3">
        <f>+T29*0.97</f>
        <v>38014.299999999996</v>
      </c>
      <c r="V29" s="3">
        <f t="shared" ref="V29:AE29" si="10">+U29*0.97</f>
        <v>36873.870999999992</v>
      </c>
      <c r="W29" s="3">
        <f t="shared" si="10"/>
        <v>35767.654869999991</v>
      </c>
      <c r="X29" s="3">
        <f t="shared" si="10"/>
        <v>34694.625223899988</v>
      </c>
      <c r="Y29" s="3">
        <f t="shared" si="10"/>
        <v>33653.786467182988</v>
      </c>
      <c r="Z29" s="3">
        <f t="shared" si="10"/>
        <v>32644.172873167499</v>
      </c>
      <c r="AA29" s="3">
        <f t="shared" si="10"/>
        <v>31664.847686972473</v>
      </c>
      <c r="AB29" s="3">
        <f t="shared" si="10"/>
        <v>30714.902256363297</v>
      </c>
      <c r="AC29" s="3">
        <f t="shared" si="10"/>
        <v>29793.455188672397</v>
      </c>
      <c r="AD29" s="3">
        <f t="shared" si="10"/>
        <v>28899.651533012224</v>
      </c>
      <c r="AE29" s="3">
        <f t="shared" si="10"/>
        <v>28032.661987021856</v>
      </c>
    </row>
    <row r="30" spans="2:31" s="3" customFormat="1" x14ac:dyDescent="0.15">
      <c r="B30" s="3" t="s">
        <v>23</v>
      </c>
      <c r="C30" s="4"/>
      <c r="D30" s="4"/>
      <c r="E30" s="4"/>
      <c r="F30" s="4"/>
      <c r="G30" s="4">
        <f>SUM(G28:G29)</f>
        <v>11264</v>
      </c>
      <c r="H30" s="4">
        <f>SUM(H28:H29)</f>
        <v>11417</v>
      </c>
      <c r="I30" s="4"/>
      <c r="J30" s="4"/>
      <c r="K30" s="4">
        <f>SUM(K28:K29)</f>
        <v>11875</v>
      </c>
      <c r="L30" s="4">
        <f>SUM(L28:L29)</f>
        <v>11552</v>
      </c>
      <c r="M30" s="4">
        <f t="shared" ref="M30:N30" si="11">SUM(M28:M29)</f>
        <v>11552</v>
      </c>
      <c r="N30" s="4">
        <f t="shared" si="11"/>
        <v>11552</v>
      </c>
      <c r="Q30" s="3">
        <f>+Q28+Q29</f>
        <v>43314</v>
      </c>
      <c r="R30" s="3">
        <f>+R28+R29</f>
        <v>46769</v>
      </c>
      <c r="S30" s="3">
        <f>+S28+S29</f>
        <v>47161</v>
      </c>
      <c r="T30" s="3">
        <f t="shared" ref="T30:AE30" si="12">+T28+T29</f>
        <v>47161</v>
      </c>
      <c r="U30" s="3">
        <f t="shared" si="12"/>
        <v>45746.17</v>
      </c>
      <c r="V30" s="3">
        <f t="shared" si="12"/>
        <v>44373.784899999991</v>
      </c>
      <c r="W30" s="3">
        <f t="shared" si="12"/>
        <v>43042.571352999992</v>
      </c>
      <c r="X30" s="3">
        <f t="shared" si="12"/>
        <v>41751.294212409986</v>
      </c>
      <c r="Y30" s="3">
        <f t="shared" si="12"/>
        <v>40498.755386037687</v>
      </c>
      <c r="Z30" s="3">
        <f t="shared" si="12"/>
        <v>39283.792724456558</v>
      </c>
      <c r="AA30" s="3">
        <f t="shared" si="12"/>
        <v>38105.278942722856</v>
      </c>
      <c r="AB30" s="3">
        <f t="shared" si="12"/>
        <v>36962.120574441171</v>
      </c>
      <c r="AC30" s="3">
        <f t="shared" si="12"/>
        <v>35853.256957207937</v>
      </c>
      <c r="AD30" s="3">
        <f t="shared" si="12"/>
        <v>34777.659248491691</v>
      </c>
      <c r="AE30" s="3">
        <f t="shared" si="12"/>
        <v>33734.329471036945</v>
      </c>
    </row>
    <row r="31" spans="2:31" s="3" customFormat="1" x14ac:dyDescent="0.15">
      <c r="B31" s="3" t="s">
        <v>22</v>
      </c>
      <c r="C31" s="4"/>
      <c r="D31" s="4"/>
      <c r="E31" s="4"/>
      <c r="F31" s="4"/>
      <c r="G31" s="4">
        <f>+G27-G30</f>
        <v>9423</v>
      </c>
      <c r="H31" s="4">
        <f>+H27-H30</f>
        <v>10247</v>
      </c>
      <c r="I31" s="4"/>
      <c r="J31" s="4"/>
      <c r="K31" s="4">
        <f>+K27-K30</f>
        <v>9360</v>
      </c>
      <c r="L31" s="4">
        <f>+L27-L30</f>
        <v>10175</v>
      </c>
      <c r="M31" s="4">
        <f t="shared" ref="M31:N31" si="13">+M27-M30</f>
        <v>10175</v>
      </c>
      <c r="N31" s="4">
        <f t="shared" si="13"/>
        <v>10175</v>
      </c>
      <c r="Q31" s="3">
        <f>+Q27-Q30</f>
        <v>34621</v>
      </c>
      <c r="R31" s="3">
        <f>+R27-R30</f>
        <v>36445</v>
      </c>
      <c r="S31" s="3">
        <f>+S27-S30</f>
        <v>37649</v>
      </c>
      <c r="T31" s="3">
        <f t="shared" ref="T31:AE31" si="14">+T27-T30</f>
        <v>37939.399999999994</v>
      </c>
      <c r="U31" s="3">
        <f t="shared" si="14"/>
        <v>35621.969599999997</v>
      </c>
      <c r="V31" s="3">
        <f t="shared" si="14"/>
        <v>34553.310512000004</v>
      </c>
      <c r="W31" s="3">
        <f t="shared" si="14"/>
        <v>32407.156377079998</v>
      </c>
      <c r="X31" s="3">
        <f t="shared" si="14"/>
        <v>31434.941685767619</v>
      </c>
      <c r="Y31" s="3">
        <f t="shared" si="14"/>
        <v>29447.913305470582</v>
      </c>
      <c r="Z31" s="3">
        <f t="shared" si="14"/>
        <v>28564.475906306463</v>
      </c>
      <c r="AA31" s="3">
        <f t="shared" si="14"/>
        <v>26725.260725059947</v>
      </c>
      <c r="AB31" s="3">
        <f t="shared" si="14"/>
        <v>25923.502903308152</v>
      </c>
      <c r="AC31" s="3">
        <f t="shared" si="14"/>
        <v>24221.569713581375</v>
      </c>
      <c r="AD31" s="3">
        <f t="shared" si="14"/>
        <v>23494.922622173937</v>
      </c>
      <c r="AE31" s="3">
        <f t="shared" si="14"/>
        <v>21920.468721746474</v>
      </c>
    </row>
    <row r="32" spans="2:31" s="3" customFormat="1" x14ac:dyDescent="0.15">
      <c r="B32" s="3" t="s">
        <v>26</v>
      </c>
      <c r="C32" s="4"/>
      <c r="D32" s="4"/>
      <c r="E32" s="4"/>
      <c r="F32" s="4"/>
      <c r="G32" s="4">
        <v>-1010</v>
      </c>
      <c r="H32" s="4">
        <v>-998</v>
      </c>
      <c r="I32" s="4"/>
      <c r="J32" s="4"/>
      <c r="K32" s="4">
        <v>-1002</v>
      </c>
      <c r="L32" s="4">
        <v>-1026</v>
      </c>
      <c r="M32" s="4">
        <v>-1026</v>
      </c>
      <c r="N32" s="4">
        <v>-1026</v>
      </c>
      <c r="Q32" s="3">
        <v>-4281</v>
      </c>
      <c r="R32" s="3">
        <v>-3896</v>
      </c>
      <c r="S32" s="3">
        <v>-4087</v>
      </c>
      <c r="T32" s="3">
        <v>-4087</v>
      </c>
      <c r="U32" s="3">
        <f>+T42*$AH$41</f>
        <v>-1163.5380000000002</v>
      </c>
      <c r="V32" s="3">
        <f t="shared" ref="V32:AE32" si="15">+U42*$AH$41</f>
        <v>-336.5356416000003</v>
      </c>
      <c r="W32" s="3">
        <f t="shared" si="15"/>
        <v>484.6669552895998</v>
      </c>
      <c r="X32" s="3">
        <f t="shared" si="15"/>
        <v>1274.07071526647</v>
      </c>
      <c r="Y32" s="3">
        <f t="shared" si="15"/>
        <v>2059.0870128912879</v>
      </c>
      <c r="Z32" s="3">
        <f t="shared" si="15"/>
        <v>2815.2550205319731</v>
      </c>
      <c r="AA32" s="3">
        <f t="shared" si="15"/>
        <v>3568.3685627760956</v>
      </c>
      <c r="AB32" s="3">
        <f t="shared" si="15"/>
        <v>4295.4156656841606</v>
      </c>
      <c r="AC32" s="3">
        <f t="shared" si="15"/>
        <v>5020.6697113399759</v>
      </c>
      <c r="AD32" s="3">
        <f t="shared" si="15"/>
        <v>5722.4834575380883</v>
      </c>
      <c r="AE32" s="3">
        <f t="shared" si="15"/>
        <v>6423.7012034511763</v>
      </c>
    </row>
    <row r="33" spans="2:95" s="3" customFormat="1" x14ac:dyDescent="0.15">
      <c r="B33" s="3" t="s">
        <v>27</v>
      </c>
      <c r="C33" s="4"/>
      <c r="D33" s="4"/>
      <c r="E33" s="4"/>
      <c r="F33" s="4"/>
      <c r="G33" s="4">
        <f>+G31+G32</f>
        <v>8413</v>
      </c>
      <c r="H33" s="4">
        <f>+H31+H32</f>
        <v>9249</v>
      </c>
      <c r="I33" s="4"/>
      <c r="J33" s="4"/>
      <c r="K33" s="4">
        <f>+K31+K32</f>
        <v>8358</v>
      </c>
      <c r="L33" s="4">
        <f>+L31+L32</f>
        <v>9149</v>
      </c>
      <c r="M33" s="4">
        <f t="shared" ref="M33:N33" si="16">+M31+M32</f>
        <v>9149</v>
      </c>
      <c r="N33" s="4">
        <f t="shared" si="16"/>
        <v>9149</v>
      </c>
      <c r="Q33" s="3">
        <f>+Q31+Q32</f>
        <v>30340</v>
      </c>
      <c r="R33" s="3">
        <f>+R31+R32</f>
        <v>32549</v>
      </c>
      <c r="S33" s="3">
        <f>+S31+S32</f>
        <v>33562</v>
      </c>
      <c r="T33" s="3">
        <f t="shared" ref="T33:AE33" si="17">+T31+T32</f>
        <v>33852.399999999994</v>
      </c>
      <c r="U33" s="3">
        <f t="shared" si="17"/>
        <v>34458.431599999996</v>
      </c>
      <c r="V33" s="3">
        <f t="shared" si="17"/>
        <v>34216.774870400004</v>
      </c>
      <c r="W33" s="3">
        <f t="shared" si="17"/>
        <v>32891.823332369597</v>
      </c>
      <c r="X33" s="3">
        <f t="shared" si="17"/>
        <v>32709.012401034088</v>
      </c>
      <c r="Y33" s="3">
        <f t="shared" si="17"/>
        <v>31507.000318361868</v>
      </c>
      <c r="Z33" s="3">
        <f t="shared" si="17"/>
        <v>31379.730926838434</v>
      </c>
      <c r="AA33" s="3">
        <f t="shared" si="17"/>
        <v>30293.629287836044</v>
      </c>
      <c r="AB33" s="3">
        <f t="shared" si="17"/>
        <v>30218.918568992311</v>
      </c>
      <c r="AC33" s="3">
        <f t="shared" si="17"/>
        <v>29242.23942492135</v>
      </c>
      <c r="AD33" s="3">
        <f t="shared" si="17"/>
        <v>29217.406079712026</v>
      </c>
      <c r="AE33" s="3">
        <f t="shared" si="17"/>
        <v>28344.16992519765</v>
      </c>
    </row>
    <row r="34" spans="2:95" s="3" customFormat="1" x14ac:dyDescent="0.15">
      <c r="B34" s="3" t="s">
        <v>28</v>
      </c>
      <c r="C34" s="4"/>
      <c r="D34" s="4"/>
      <c r="E34" s="4"/>
      <c r="F34" s="4"/>
      <c r="G34" s="4">
        <v>1476</v>
      </c>
      <c r="H34" s="4">
        <v>1537</v>
      </c>
      <c r="I34" s="4"/>
      <c r="J34" s="4"/>
      <c r="K34" s="4">
        <v>1328</v>
      </c>
      <c r="L34" s="4">
        <v>1336</v>
      </c>
      <c r="M34" s="4">
        <v>1336</v>
      </c>
      <c r="N34" s="4">
        <v>1336</v>
      </c>
      <c r="Q34" s="3">
        <v>5259</v>
      </c>
      <c r="R34" s="3">
        <v>4359</v>
      </c>
      <c r="S34" s="3">
        <v>5371</v>
      </c>
      <c r="T34" s="3">
        <v>5371</v>
      </c>
      <c r="U34" s="3">
        <f>+U33*0.2</f>
        <v>6891.6863199999998</v>
      </c>
      <c r="V34" s="3">
        <f t="shared" ref="V34:AE34" si="18">+V33*0.2</f>
        <v>6843.3549740800008</v>
      </c>
      <c r="W34" s="3">
        <f t="shared" si="18"/>
        <v>6578.3646664739199</v>
      </c>
      <c r="X34" s="3">
        <f t="shared" si="18"/>
        <v>6541.8024802068176</v>
      </c>
      <c r="Y34" s="3">
        <f t="shared" si="18"/>
        <v>6301.400063672374</v>
      </c>
      <c r="Z34" s="3">
        <f t="shared" si="18"/>
        <v>6275.9461853676876</v>
      </c>
      <c r="AA34" s="3">
        <f t="shared" si="18"/>
        <v>6058.7258575672095</v>
      </c>
      <c r="AB34" s="3">
        <f t="shared" si="18"/>
        <v>6043.7837137984625</v>
      </c>
      <c r="AC34" s="3">
        <f t="shared" si="18"/>
        <v>5848.4478849842708</v>
      </c>
      <c r="AD34" s="3">
        <f t="shared" si="18"/>
        <v>5843.4812159424055</v>
      </c>
      <c r="AE34" s="3">
        <f t="shared" si="18"/>
        <v>5668.8339850395305</v>
      </c>
    </row>
    <row r="35" spans="2:95" s="3" customFormat="1" x14ac:dyDescent="0.15">
      <c r="B35" s="3" t="s">
        <v>29</v>
      </c>
      <c r="C35" s="4"/>
      <c r="D35" s="4"/>
      <c r="E35" s="4"/>
      <c r="F35" s="4"/>
      <c r="G35" s="4">
        <f>+G33-G34</f>
        <v>6937</v>
      </c>
      <c r="H35" s="4">
        <f>+H33-H34</f>
        <v>7712</v>
      </c>
      <c r="I35" s="4"/>
      <c r="J35" s="4"/>
      <c r="K35" s="4">
        <f>+K33-K34</f>
        <v>7030</v>
      </c>
      <c r="L35" s="4">
        <f>+L33-L34</f>
        <v>7813</v>
      </c>
      <c r="M35" s="4">
        <f t="shared" ref="M35:N35" si="19">+M33-M34</f>
        <v>7813</v>
      </c>
      <c r="N35" s="4">
        <f t="shared" si="19"/>
        <v>7813</v>
      </c>
      <c r="Q35" s="3">
        <f>+Q33-Q34</f>
        <v>25081</v>
      </c>
      <c r="R35" s="3">
        <f>+R33-R34</f>
        <v>28190</v>
      </c>
      <c r="S35" s="3">
        <f>+S33-S34</f>
        <v>28191</v>
      </c>
      <c r="T35" s="3">
        <f t="shared" ref="T35:AE35" si="20">+T33-T34</f>
        <v>28481.399999999994</v>
      </c>
      <c r="U35" s="3">
        <f t="shared" si="20"/>
        <v>27566.745279999996</v>
      </c>
      <c r="V35" s="3">
        <f t="shared" si="20"/>
        <v>27373.419896320003</v>
      </c>
      <c r="W35" s="3">
        <f t="shared" si="20"/>
        <v>26313.458665895676</v>
      </c>
      <c r="X35" s="3">
        <f t="shared" si="20"/>
        <v>26167.20992082727</v>
      </c>
      <c r="Y35" s="3">
        <f t="shared" si="20"/>
        <v>25205.600254689496</v>
      </c>
      <c r="Z35" s="3">
        <f t="shared" si="20"/>
        <v>25103.784741470747</v>
      </c>
      <c r="AA35" s="3">
        <f t="shared" si="20"/>
        <v>24234.903430268834</v>
      </c>
      <c r="AB35" s="3">
        <f t="shared" si="20"/>
        <v>24175.13485519385</v>
      </c>
      <c r="AC35" s="3">
        <f t="shared" si="20"/>
        <v>23393.79153993708</v>
      </c>
      <c r="AD35" s="3">
        <f t="shared" si="20"/>
        <v>23373.924863769622</v>
      </c>
      <c r="AE35" s="3">
        <f t="shared" si="20"/>
        <v>22675.335940158118</v>
      </c>
      <c r="AF35" s="3">
        <f>+AE35*(1+$AH$40)</f>
        <v>22448.582580756538</v>
      </c>
      <c r="AG35" s="3">
        <f t="shared" ref="AG35:CQ35" si="21">+AF35*(1+$AH$40)</f>
        <v>22224.096754948972</v>
      </c>
      <c r="AH35" s="3">
        <f t="shared" si="21"/>
        <v>22001.855787399483</v>
      </c>
      <c r="AI35" s="3">
        <f t="shared" si="21"/>
        <v>21781.837229525489</v>
      </c>
      <c r="AJ35" s="3">
        <f t="shared" si="21"/>
        <v>21564.018857230232</v>
      </c>
      <c r="AK35" s="3">
        <f t="shared" si="21"/>
        <v>21348.37866865793</v>
      </c>
      <c r="AL35" s="3">
        <f t="shared" si="21"/>
        <v>21134.894881971351</v>
      </c>
      <c r="AM35" s="3">
        <f t="shared" si="21"/>
        <v>20923.545933151639</v>
      </c>
      <c r="AN35" s="3">
        <f t="shared" si="21"/>
        <v>20714.310473820122</v>
      </c>
      <c r="AO35" s="3">
        <f t="shared" si="21"/>
        <v>20507.167369081919</v>
      </c>
      <c r="AP35" s="3">
        <f t="shared" si="21"/>
        <v>20302.095695391101</v>
      </c>
      <c r="AQ35" s="3">
        <f t="shared" si="21"/>
        <v>20099.07473843719</v>
      </c>
      <c r="AR35" s="3">
        <f t="shared" si="21"/>
        <v>19898.083991052819</v>
      </c>
      <c r="AS35" s="3">
        <f t="shared" si="21"/>
        <v>19699.103151142292</v>
      </c>
      <c r="AT35" s="3">
        <f t="shared" si="21"/>
        <v>19502.112119630867</v>
      </c>
      <c r="AU35" s="3">
        <f t="shared" si="21"/>
        <v>19307.090998434556</v>
      </c>
      <c r="AV35" s="3">
        <f t="shared" si="21"/>
        <v>19114.020088450212</v>
      </c>
      <c r="AW35" s="3">
        <f t="shared" si="21"/>
        <v>18922.879887565708</v>
      </c>
      <c r="AX35" s="3">
        <f t="shared" si="21"/>
        <v>18733.651088690051</v>
      </c>
      <c r="AY35" s="3">
        <f t="shared" si="21"/>
        <v>18546.31457780315</v>
      </c>
      <c r="AZ35" s="3">
        <f t="shared" si="21"/>
        <v>18360.85143202512</v>
      </c>
      <c r="BA35" s="3">
        <f t="shared" si="21"/>
        <v>18177.242917704869</v>
      </c>
      <c r="BB35" s="3">
        <f t="shared" si="21"/>
        <v>17995.470488527819</v>
      </c>
      <c r="BC35" s="3">
        <f t="shared" si="21"/>
        <v>17815.515783642539</v>
      </c>
      <c r="BD35" s="3">
        <f t="shared" si="21"/>
        <v>17637.360625806112</v>
      </c>
      <c r="BE35" s="3">
        <f t="shared" si="21"/>
        <v>17460.987019548051</v>
      </c>
      <c r="BF35" s="3">
        <f t="shared" si="21"/>
        <v>17286.377149352571</v>
      </c>
      <c r="BG35" s="3">
        <f t="shared" si="21"/>
        <v>17113.513377859046</v>
      </c>
      <c r="BH35" s="3">
        <f t="shared" si="21"/>
        <v>16942.378244080457</v>
      </c>
      <c r="BI35" s="3">
        <f t="shared" si="21"/>
        <v>16772.954461639652</v>
      </c>
      <c r="BJ35" s="3">
        <f t="shared" si="21"/>
        <v>16605.224917023257</v>
      </c>
      <c r="BK35" s="3">
        <f t="shared" si="21"/>
        <v>16439.172667853025</v>
      </c>
      <c r="BL35" s="3">
        <f t="shared" si="21"/>
        <v>16274.780941174495</v>
      </c>
      <c r="BM35" s="3">
        <f t="shared" si="21"/>
        <v>16112.03313176275</v>
      </c>
      <c r="BN35" s="3">
        <f t="shared" si="21"/>
        <v>15950.912800445121</v>
      </c>
      <c r="BO35" s="3">
        <f t="shared" si="21"/>
        <v>15791.403672440671</v>
      </c>
      <c r="BP35" s="3">
        <f t="shared" si="21"/>
        <v>15633.489635716263</v>
      </c>
      <c r="BQ35" s="3">
        <f t="shared" si="21"/>
        <v>15477.154739359101</v>
      </c>
      <c r="BR35" s="3">
        <f t="shared" si="21"/>
        <v>15322.383191965509</v>
      </c>
      <c r="BS35" s="3">
        <f t="shared" si="21"/>
        <v>15169.159360045855</v>
      </c>
      <c r="BT35" s="3">
        <f t="shared" si="21"/>
        <v>15017.467766445396</v>
      </c>
      <c r="BU35" s="3">
        <f t="shared" si="21"/>
        <v>14867.293088780942</v>
      </c>
      <c r="BV35" s="3">
        <f t="shared" si="21"/>
        <v>14718.620157893132</v>
      </c>
      <c r="BW35" s="3">
        <f t="shared" si="21"/>
        <v>14571.4339563142</v>
      </c>
      <c r="BX35" s="3">
        <f t="shared" si="21"/>
        <v>14425.719616751057</v>
      </c>
      <c r="BY35" s="3">
        <f t="shared" si="21"/>
        <v>14281.462420583546</v>
      </c>
      <c r="BZ35" s="3">
        <f t="shared" si="21"/>
        <v>14138.647796377711</v>
      </c>
      <c r="CA35" s="3">
        <f t="shared" si="21"/>
        <v>13997.261318413934</v>
      </c>
      <c r="CB35" s="3">
        <f t="shared" si="21"/>
        <v>13857.288705229794</v>
      </c>
      <c r="CC35" s="3">
        <f t="shared" si="21"/>
        <v>13718.715818177496</v>
      </c>
      <c r="CD35" s="3">
        <f t="shared" si="21"/>
        <v>13581.52865999572</v>
      </c>
      <c r="CE35" s="3">
        <f t="shared" si="21"/>
        <v>13445.713373395762</v>
      </c>
      <c r="CF35" s="3">
        <f t="shared" si="21"/>
        <v>13311.256239661803</v>
      </c>
      <c r="CG35" s="3">
        <f t="shared" si="21"/>
        <v>13178.143677265185</v>
      </c>
      <c r="CH35" s="3">
        <f t="shared" si="21"/>
        <v>13046.362240492534</v>
      </c>
      <c r="CI35" s="3">
        <f t="shared" si="21"/>
        <v>12915.898618087607</v>
      </c>
      <c r="CJ35" s="3">
        <f t="shared" si="21"/>
        <v>12786.73963190673</v>
      </c>
      <c r="CK35" s="3">
        <f t="shared" si="21"/>
        <v>12658.872235587663</v>
      </c>
      <c r="CL35" s="3">
        <f t="shared" si="21"/>
        <v>12532.283513231787</v>
      </c>
      <c r="CM35" s="3">
        <f t="shared" si="21"/>
        <v>12406.960678099469</v>
      </c>
      <c r="CN35" s="3">
        <f t="shared" si="21"/>
        <v>12282.891071318474</v>
      </c>
      <c r="CO35" s="3">
        <f t="shared" si="21"/>
        <v>12160.06216060529</v>
      </c>
      <c r="CP35" s="3">
        <f t="shared" si="21"/>
        <v>12038.461538999238</v>
      </c>
      <c r="CQ35" s="3">
        <f t="shared" si="21"/>
        <v>11918.076923609246</v>
      </c>
    </row>
    <row r="36" spans="2:95" x14ac:dyDescent="0.15">
      <c r="B36" s="1" t="s">
        <v>32</v>
      </c>
      <c r="Q36" s="10">
        <f>+Q35/Q37</f>
        <v>5.3891276321443922</v>
      </c>
      <c r="R36" s="10">
        <f>+R35/R37</f>
        <v>6.3634311512415351</v>
      </c>
      <c r="S36" s="10">
        <f>+S35/S37</f>
        <v>6.7962873674059789</v>
      </c>
      <c r="T36" s="10">
        <f t="shared" ref="T36:AE36" si="22">+T35/T37</f>
        <v>6.8662970106075205</v>
      </c>
      <c r="U36" s="10">
        <f t="shared" si="22"/>
        <v>6.6457920154291212</v>
      </c>
      <c r="V36" s="10">
        <f t="shared" si="22"/>
        <v>6.5991851244744462</v>
      </c>
      <c r="W36" s="10">
        <f t="shared" si="22"/>
        <v>6.3436496301580707</v>
      </c>
      <c r="X36" s="10">
        <f t="shared" si="22"/>
        <v>6.3083919770557548</v>
      </c>
      <c r="Y36" s="10">
        <f t="shared" si="22"/>
        <v>6.0765670816512767</v>
      </c>
      <c r="Z36" s="10">
        <f t="shared" si="22"/>
        <v>6.0520213937971903</v>
      </c>
      <c r="AA36" s="10">
        <f t="shared" si="22"/>
        <v>5.8425514537774434</v>
      </c>
      <c r="AB36" s="10">
        <f t="shared" si="22"/>
        <v>5.8281424433929239</v>
      </c>
      <c r="AC36" s="10">
        <f t="shared" si="22"/>
        <v>5.6397761668122177</v>
      </c>
      <c r="AD36" s="10">
        <f t="shared" si="22"/>
        <v>5.6349867077554538</v>
      </c>
      <c r="AE36" s="10">
        <f t="shared" si="22"/>
        <v>5.466570863104657</v>
      </c>
    </row>
    <row r="37" spans="2:95" s="3" customFormat="1" x14ac:dyDescent="0.15">
      <c r="B37" s="3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Q37" s="3">
        <v>4654</v>
      </c>
      <c r="R37" s="3">
        <v>4430</v>
      </c>
      <c r="S37" s="3">
        <v>4148</v>
      </c>
      <c r="T37" s="3">
        <v>4148</v>
      </c>
      <c r="U37" s="3">
        <f>+T37</f>
        <v>4148</v>
      </c>
      <c r="V37" s="3">
        <f t="shared" ref="V37:AE37" si="23">+U37</f>
        <v>4148</v>
      </c>
      <c r="W37" s="3">
        <f t="shared" si="23"/>
        <v>4148</v>
      </c>
      <c r="X37" s="3">
        <f t="shared" si="23"/>
        <v>4148</v>
      </c>
      <c r="Y37" s="3">
        <f t="shared" si="23"/>
        <v>4148</v>
      </c>
      <c r="Z37" s="3">
        <f t="shared" si="23"/>
        <v>4148</v>
      </c>
      <c r="AA37" s="3">
        <f t="shared" si="23"/>
        <v>4148</v>
      </c>
      <c r="AB37" s="3">
        <f t="shared" si="23"/>
        <v>4148</v>
      </c>
      <c r="AC37" s="3">
        <f t="shared" si="23"/>
        <v>4148</v>
      </c>
      <c r="AD37" s="3">
        <f t="shared" si="23"/>
        <v>4148</v>
      </c>
      <c r="AE37" s="3">
        <f t="shared" si="23"/>
        <v>4148</v>
      </c>
    </row>
    <row r="39" spans="2:95" x14ac:dyDescent="0.15">
      <c r="B39" s="1" t="s">
        <v>30</v>
      </c>
      <c r="K39" s="7">
        <f>+K25/G25-1</f>
        <v>1.2360648007813779E-2</v>
      </c>
      <c r="L39" s="7">
        <f>+L25/H25-1</f>
        <v>-2.7037656081014605E-2</v>
      </c>
      <c r="R39" s="11">
        <f>+R25/Q25-1</f>
        <v>4.3321733900416826E-2</v>
      </c>
      <c r="S39" s="11">
        <f>+S25/R25-1</f>
        <v>1.1941331005460576E-3</v>
      </c>
    </row>
    <row r="40" spans="2:95" x14ac:dyDescent="0.15">
      <c r="B40" s="1" t="s">
        <v>31</v>
      </c>
      <c r="G40" s="7">
        <f>+G27/G25</f>
        <v>0.69674312081102019</v>
      </c>
      <c r="H40" s="7">
        <f>+H27/H25</f>
        <v>0.70999246222921375</v>
      </c>
      <c r="K40" s="7">
        <f>+K27/K25</f>
        <v>0.70646749617406346</v>
      </c>
      <c r="L40" s="7">
        <f>+L27/L25</f>
        <v>0.73184451630288327</v>
      </c>
      <c r="Q40" s="7">
        <f>+Q27/Q25</f>
        <v>0.66963096618980111</v>
      </c>
      <c r="R40" s="7">
        <f>+R27/R25</f>
        <v>0.68530063330231328</v>
      </c>
      <c r="S40" s="7">
        <f>+S27/S25</f>
        <v>0.69761129207383277</v>
      </c>
      <c r="T40" s="7">
        <f>+T27/T25</f>
        <v>0.7</v>
      </c>
      <c r="AG40" s="1" t="s">
        <v>110</v>
      </c>
      <c r="AH40" s="11">
        <v>-0.01</v>
      </c>
    </row>
    <row r="41" spans="2:95" x14ac:dyDescent="0.15">
      <c r="AG41" s="1" t="s">
        <v>107</v>
      </c>
      <c r="AH41" s="11">
        <v>0.03</v>
      </c>
    </row>
    <row r="42" spans="2:95" x14ac:dyDescent="0.15">
      <c r="B42" s="1" t="s">
        <v>42</v>
      </c>
      <c r="K42" s="4">
        <f>+K43-K57</f>
        <v>-80510</v>
      </c>
      <c r="L42" s="4">
        <f>+L43-L57</f>
        <v>-82892</v>
      </c>
      <c r="M42" s="4">
        <f>+L42+M35</f>
        <v>-75079</v>
      </c>
      <c r="N42" s="4">
        <f>+M42+N35</f>
        <v>-67266</v>
      </c>
      <c r="S42" s="3">
        <f>+N42</f>
        <v>-67266</v>
      </c>
      <c r="T42" s="3">
        <f>+S42+T35</f>
        <v>-38784.600000000006</v>
      </c>
      <c r="U42" s="3">
        <f>+T42+U35</f>
        <v>-11217.85472000001</v>
      </c>
      <c r="V42" s="3">
        <f>+U42+V35</f>
        <v>16155.565176319993</v>
      </c>
      <c r="W42" s="3">
        <f>+V42+W35</f>
        <v>42469.023842215669</v>
      </c>
      <c r="X42" s="3">
        <f>+W42+X35</f>
        <v>68636.233763042939</v>
      </c>
      <c r="Y42" s="3">
        <f>+X42+Y35</f>
        <v>93841.834017732443</v>
      </c>
      <c r="Z42" s="3">
        <f>+Y42+Z35</f>
        <v>118945.61875920319</v>
      </c>
      <c r="AA42" s="3">
        <f>+Z42+AA35</f>
        <v>143180.52218947202</v>
      </c>
      <c r="AB42" s="3">
        <f>+AA42+AB35</f>
        <v>167355.65704466586</v>
      </c>
      <c r="AC42" s="3">
        <f>+AB42+AC35</f>
        <v>190749.44858460294</v>
      </c>
      <c r="AD42" s="3">
        <f>+AC42+AD35</f>
        <v>214123.37344837256</v>
      </c>
      <c r="AE42" s="3">
        <f>+AD42+AE35</f>
        <v>236798.70938853067</v>
      </c>
      <c r="AG42" s="1" t="s">
        <v>108</v>
      </c>
      <c r="AH42" s="11">
        <v>7.0000000000000007E-2</v>
      </c>
    </row>
    <row r="43" spans="2:95" x14ac:dyDescent="0.15">
      <c r="B43" s="1" t="s">
        <v>3</v>
      </c>
      <c r="K43" s="4">
        <f>6515+9548</f>
        <v>16063</v>
      </c>
      <c r="L43" s="4">
        <f>6065+9171</f>
        <v>15236</v>
      </c>
      <c r="AG43" s="1" t="s">
        <v>109</v>
      </c>
      <c r="AH43" s="3">
        <f>NPV(AH42,U35:BL35)+Main!$G$5-Main!$G$6</f>
        <v>230517.70806420711</v>
      </c>
    </row>
    <row r="44" spans="2:95" x14ac:dyDescent="0.15">
      <c r="B44" s="1" t="s">
        <v>43</v>
      </c>
      <c r="K44" s="4">
        <v>13144</v>
      </c>
      <c r="L44" s="4">
        <v>13167</v>
      </c>
      <c r="AG44" s="1" t="s">
        <v>111</v>
      </c>
      <c r="AH44" s="10">
        <f>AH43/Main!$G$3</f>
        <v>59.526820258793499</v>
      </c>
    </row>
    <row r="45" spans="2:95" x14ac:dyDescent="0.15">
      <c r="B45" s="1" t="s">
        <v>44</v>
      </c>
      <c r="K45" s="4">
        <v>4319</v>
      </c>
      <c r="L45" s="4">
        <v>4220</v>
      </c>
    </row>
    <row r="46" spans="2:95" x14ac:dyDescent="0.15">
      <c r="B46" s="1" t="s">
        <v>45</v>
      </c>
      <c r="K46" s="4">
        <v>12757</v>
      </c>
      <c r="L46" s="4">
        <v>12853</v>
      </c>
    </row>
    <row r="47" spans="2:95" x14ac:dyDescent="0.15">
      <c r="B47" s="1" t="s">
        <v>46</v>
      </c>
      <c r="K47" s="4">
        <v>59918</v>
      </c>
      <c r="L47" s="4">
        <v>60507</v>
      </c>
    </row>
    <row r="48" spans="2:95" x14ac:dyDescent="0.15">
      <c r="B48" s="1" t="s">
        <v>47</v>
      </c>
      <c r="K48" s="4">
        <f>58668+27063</f>
        <v>85731</v>
      </c>
      <c r="L48" s="4">
        <f>58376+26363</f>
        <v>84739</v>
      </c>
    </row>
    <row r="49" spans="2:12" x14ac:dyDescent="0.15">
      <c r="B49" s="1" t="s">
        <v>50</v>
      </c>
      <c r="K49" s="4">
        <v>59365</v>
      </c>
      <c r="L49" s="4">
        <v>59365</v>
      </c>
    </row>
    <row r="50" spans="2:12" x14ac:dyDescent="0.15">
      <c r="B50" s="1" t="s">
        <v>49</v>
      </c>
      <c r="K50" s="4">
        <v>12304</v>
      </c>
      <c r="L50" s="4">
        <v>12468</v>
      </c>
    </row>
    <row r="51" spans="2:12" x14ac:dyDescent="0.15">
      <c r="B51" s="1" t="s">
        <v>48</v>
      </c>
      <c r="K51" s="4">
        <f>SUM(K43:K50)</f>
        <v>263601</v>
      </c>
      <c r="L51" s="4">
        <f>SUM(L43:L50)</f>
        <v>262555</v>
      </c>
    </row>
    <row r="52" spans="2:12" x14ac:dyDescent="0.15">
      <c r="K52" s="4"/>
      <c r="L52" s="4"/>
    </row>
    <row r="53" spans="2:12" x14ac:dyDescent="0.15">
      <c r="B53" s="1" t="s">
        <v>51</v>
      </c>
      <c r="K53" s="4">
        <v>11792</v>
      </c>
      <c r="L53" s="4">
        <v>11736</v>
      </c>
    </row>
    <row r="54" spans="2:12" x14ac:dyDescent="0.15">
      <c r="B54" s="1" t="s">
        <v>52</v>
      </c>
      <c r="K54" s="4">
        <v>1583</v>
      </c>
      <c r="L54" s="4">
        <v>1520</v>
      </c>
    </row>
    <row r="55" spans="2:12" x14ac:dyDescent="0.15">
      <c r="B55" s="1" t="s">
        <v>53</v>
      </c>
      <c r="K55" s="4">
        <v>3446</v>
      </c>
      <c r="L55" s="4">
        <v>3943</v>
      </c>
    </row>
    <row r="56" spans="2:12" x14ac:dyDescent="0.15">
      <c r="B56" s="1" t="s">
        <v>54</v>
      </c>
      <c r="K56" s="4">
        <v>11834</v>
      </c>
      <c r="L56" s="4">
        <v>7955</v>
      </c>
    </row>
    <row r="57" spans="2:12" x14ac:dyDescent="0.15">
      <c r="B57" s="1" t="s">
        <v>4</v>
      </c>
      <c r="K57" s="4">
        <f>2502+94071</f>
        <v>96573</v>
      </c>
      <c r="L57" s="4">
        <f>1021+97107</f>
        <v>98128</v>
      </c>
    </row>
    <row r="58" spans="2:12" x14ac:dyDescent="0.15">
      <c r="B58" s="1" t="s">
        <v>58</v>
      </c>
      <c r="K58" s="4">
        <v>9167</v>
      </c>
      <c r="L58" s="4">
        <v>9167</v>
      </c>
    </row>
    <row r="59" spans="2:12" x14ac:dyDescent="0.15">
      <c r="B59" s="1" t="s">
        <v>37</v>
      </c>
      <c r="K59" s="4">
        <v>25978</v>
      </c>
      <c r="L59" s="4">
        <v>26252</v>
      </c>
    </row>
    <row r="60" spans="2:12" x14ac:dyDescent="0.15">
      <c r="B60" s="1" t="s">
        <v>55</v>
      </c>
      <c r="K60" s="4">
        <v>19935</v>
      </c>
      <c r="L60" s="4">
        <v>19914</v>
      </c>
    </row>
    <row r="61" spans="2:12" x14ac:dyDescent="0.15">
      <c r="B61" s="1" t="s">
        <v>56</v>
      </c>
      <c r="K61" s="4">
        <f>83049+243</f>
        <v>83292</v>
      </c>
      <c r="L61" s="4">
        <f>236+83704</f>
        <v>83940</v>
      </c>
    </row>
    <row r="62" spans="2:12" x14ac:dyDescent="0.15">
      <c r="B62" s="1" t="s">
        <v>57</v>
      </c>
      <c r="K62" s="4">
        <f>SUM(K53:K61)</f>
        <v>263600</v>
      </c>
      <c r="L62" s="4">
        <f>SUM(L53:L61)</f>
        <v>262555</v>
      </c>
    </row>
    <row r="64" spans="2:12" x14ac:dyDescent="0.15">
      <c r="B64" s="1" t="s">
        <v>34</v>
      </c>
      <c r="K64" s="4">
        <f>+K35</f>
        <v>7030</v>
      </c>
      <c r="L64" s="4">
        <f>+L35</f>
        <v>7813</v>
      </c>
    </row>
    <row r="65" spans="2:19" x14ac:dyDescent="0.15">
      <c r="B65" s="1" t="s">
        <v>35</v>
      </c>
      <c r="K65" s="4">
        <v>3777</v>
      </c>
    </row>
    <row r="66" spans="2:19" x14ac:dyDescent="0.15">
      <c r="B66" s="1" t="s">
        <v>41</v>
      </c>
      <c r="K66" s="4">
        <v>3551</v>
      </c>
    </row>
    <row r="67" spans="2:19" x14ac:dyDescent="0.15">
      <c r="B67" s="1" t="s">
        <v>40</v>
      </c>
      <c r="K67" s="4">
        <v>373</v>
      </c>
    </row>
    <row r="68" spans="2:19" x14ac:dyDescent="0.15">
      <c r="B68" s="1" t="s">
        <v>39</v>
      </c>
      <c r="K68" s="4">
        <v>103</v>
      </c>
    </row>
    <row r="69" spans="2:19" x14ac:dyDescent="0.15">
      <c r="B69" s="1" t="s">
        <v>38</v>
      </c>
      <c r="K69" s="4">
        <v>-164</v>
      </c>
    </row>
    <row r="70" spans="2:19" x14ac:dyDescent="0.15">
      <c r="B70" s="1" t="s">
        <v>37</v>
      </c>
      <c r="K70" s="4">
        <v>-17</v>
      </c>
    </row>
    <row r="71" spans="2:19" x14ac:dyDescent="0.15">
      <c r="B71" s="1" t="s">
        <v>36</v>
      </c>
      <c r="K71" s="4">
        <f>643+124-446-97</f>
        <v>224</v>
      </c>
    </row>
    <row r="72" spans="2:19" x14ac:dyDescent="0.15">
      <c r="B72" s="1" t="s">
        <v>33</v>
      </c>
      <c r="K72" s="4">
        <f>SUM(K65:K71)</f>
        <v>7847</v>
      </c>
      <c r="Q72" s="1">
        <v>29146</v>
      </c>
      <c r="R72" s="1">
        <v>26413</v>
      </c>
      <c r="S72" s="1">
        <v>28501</v>
      </c>
    </row>
    <row r="74" spans="2:19" x14ac:dyDescent="0.15">
      <c r="Q74" s="1">
        <v>9174</v>
      </c>
      <c r="R74" s="1">
        <v>10626</v>
      </c>
      <c r="S74" s="1">
        <v>12242</v>
      </c>
    </row>
    <row r="75" spans="2:19" x14ac:dyDescent="0.15">
      <c r="B75" s="1" t="s">
        <v>106</v>
      </c>
      <c r="Q75" s="1">
        <f>+Q72-Q74</f>
        <v>19972</v>
      </c>
      <c r="R75" s="1">
        <f>+R72-R74</f>
        <v>15787</v>
      </c>
      <c r="S75" s="1">
        <f>+S72-S74</f>
        <v>16259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2024-09-18T01:20:26Z</dcterms:created>
  <dcterms:modified xsi:type="dcterms:W3CDTF">2024-09-18T02:08:51Z</dcterms:modified>
</cp:coreProperties>
</file>