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382AF5A-7207-4BF1-93A5-347A3DCF1DED}" xr6:coauthVersionLast="47" xr6:coauthVersionMax="47" xr10:uidLastSave="{00000000-0000-0000-0000-000000000000}"/>
  <bookViews>
    <workbookView xWindow="-31305" yWindow="1305" windowWidth="22470" windowHeight="17985" xr2:uid="{1CAAA591-69FE-48DF-AEDB-515C2C73C10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8" i="2" l="1"/>
  <c r="S78" i="2"/>
  <c r="R78" i="2"/>
  <c r="T24" i="2"/>
  <c r="S24" i="2"/>
  <c r="R24" i="2"/>
  <c r="T18" i="2"/>
  <c r="S18" i="2"/>
  <c r="R18" i="2"/>
  <c r="R16" i="2"/>
  <c r="S16" i="2"/>
  <c r="T16" i="2"/>
  <c r="L7" i="1"/>
  <c r="R12" i="2"/>
  <c r="S12" i="2"/>
  <c r="T12" i="2"/>
  <c r="R9" i="2"/>
  <c r="S9" i="2"/>
  <c r="S13" i="2" s="1"/>
  <c r="S15" i="2" s="1"/>
  <c r="T9" i="2"/>
  <c r="T23" i="2" s="1"/>
  <c r="R2" i="2"/>
  <c r="S2" i="2" s="1"/>
  <c r="T2" i="2" s="1"/>
  <c r="U2" i="2" s="1"/>
  <c r="V2" i="2" s="1"/>
  <c r="W2" i="2" s="1"/>
  <c r="X2" i="2" s="1"/>
  <c r="Y2" i="2" s="1"/>
  <c r="T13" i="2" l="1"/>
  <c r="T15" i="2" s="1"/>
  <c r="T17" i="2" s="1"/>
  <c r="S23" i="2"/>
  <c r="R13" i="2"/>
  <c r="R15" i="2" s="1"/>
  <c r="R17" i="2" s="1"/>
  <c r="R19" i="2" s="1"/>
  <c r="R20" i="2" s="1"/>
  <c r="S17" i="2"/>
  <c r="S19" i="2" s="1"/>
  <c r="S20" i="2" s="1"/>
  <c r="T19" i="2"/>
  <c r="T20" i="2" s="1"/>
  <c r="L75" i="2"/>
  <c r="K74" i="2"/>
  <c r="K69" i="2"/>
  <c r="K66" i="2"/>
  <c r="L66" i="2" s="1"/>
  <c r="K61" i="2"/>
  <c r="L61" i="2" s="1"/>
  <c r="G18" i="2"/>
  <c r="G16" i="2"/>
  <c r="G12" i="2"/>
  <c r="G9" i="2"/>
  <c r="G13" i="2" s="1"/>
  <c r="G15" i="2" s="1"/>
  <c r="K18" i="2"/>
  <c r="K16" i="2"/>
  <c r="K12" i="2"/>
  <c r="K9" i="2"/>
  <c r="L73" i="2"/>
  <c r="L72" i="2"/>
  <c r="L71" i="2"/>
  <c r="L70" i="2"/>
  <c r="L69" i="2"/>
  <c r="L65" i="2"/>
  <c r="L64" i="2"/>
  <c r="L60" i="2"/>
  <c r="L59" i="2"/>
  <c r="L58" i="2"/>
  <c r="L57" i="2"/>
  <c r="L56" i="2"/>
  <c r="L55" i="2"/>
  <c r="L54" i="2"/>
  <c r="L53" i="2"/>
  <c r="L52" i="2"/>
  <c r="L18" i="2"/>
  <c r="H18" i="2"/>
  <c r="H16" i="2"/>
  <c r="H12" i="2"/>
  <c r="H9" i="2"/>
  <c r="L48" i="2"/>
  <c r="L49" i="2" s="1"/>
  <c r="L34" i="2"/>
  <c r="L27" i="2"/>
  <c r="L16" i="2"/>
  <c r="L12" i="2"/>
  <c r="L9" i="2"/>
  <c r="L13" i="2" s="1"/>
  <c r="L15" i="2" s="1"/>
  <c r="L17" i="2" s="1"/>
  <c r="L4" i="1"/>
  <c r="K62" i="2" l="1"/>
  <c r="K67" i="2"/>
  <c r="K76" i="2" s="1"/>
  <c r="L67" i="2"/>
  <c r="G17" i="2"/>
  <c r="G19" i="2" s="1"/>
  <c r="G20" i="2" s="1"/>
  <c r="K23" i="2"/>
  <c r="K13" i="2"/>
  <c r="K15" i="2" s="1"/>
  <c r="K17" i="2" s="1"/>
  <c r="K19" i="2" s="1"/>
  <c r="L62" i="2"/>
  <c r="L37" i="2"/>
  <c r="L19" i="2"/>
  <c r="L20" i="2" s="1"/>
  <c r="L74" i="2"/>
  <c r="L23" i="2"/>
  <c r="L26" i="2"/>
  <c r="H13" i="2"/>
  <c r="H15" i="2" s="1"/>
  <c r="H17" i="2" s="1"/>
  <c r="H19" i="2" s="1"/>
  <c r="H20" i="2" s="1"/>
  <c r="L51" i="2" l="1"/>
  <c r="K20" i="2"/>
  <c r="K51" i="2"/>
  <c r="L76" i="2"/>
</calcChain>
</file>

<file path=xl/sharedStrings.xml><?xml version="1.0" encoding="utf-8"?>
<sst xmlns="http://schemas.openxmlformats.org/spreadsheetml/2006/main" count="97" uniqueCount="86">
  <si>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</si>
  <si>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</si>
  <si>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</si>
  <si>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</si>
  <si>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</si>
  <si>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</si>
  <si>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</si>
  <si>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</si>
  <si>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</si>
  <si>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</si>
  <si>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</si>
  <si>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</si>
  <si>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</si>
  <si>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</si>
  <si>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</si>
  <si>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</si>
  <si>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</si>
  <si>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</si>
  <si>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</si>
  <si>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</si>
  <si>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Service</t>
  </si>
  <si>
    <t>Product</t>
  </si>
  <si>
    <t>Operating Income</t>
  </si>
  <si>
    <t>Operating Expenses</t>
  </si>
  <si>
    <t>Gross Profit</t>
  </si>
  <si>
    <t>COGS</t>
  </si>
  <si>
    <t>CoS</t>
  </si>
  <si>
    <t>CoP</t>
  </si>
  <si>
    <t>Interest Income</t>
  </si>
  <si>
    <t>Pretax Income</t>
  </si>
  <si>
    <t>Taxes</t>
  </si>
  <si>
    <t>Net Income</t>
  </si>
  <si>
    <t>EPS</t>
  </si>
  <si>
    <t>AR</t>
  </si>
  <si>
    <t>Inventory</t>
  </si>
  <si>
    <t>Prepaids</t>
  </si>
  <si>
    <t>OCA</t>
  </si>
  <si>
    <t>PP&amp;E</t>
  </si>
  <si>
    <t>Assets</t>
  </si>
  <si>
    <t>OA</t>
  </si>
  <si>
    <t>DTA</t>
  </si>
  <si>
    <t>Goodwill</t>
  </si>
  <si>
    <t>Lease</t>
  </si>
  <si>
    <t>L+SE</t>
  </si>
  <si>
    <t>SE</t>
  </si>
  <si>
    <t>AP</t>
  </si>
  <si>
    <t>Accrued Compensation</t>
  </si>
  <si>
    <t>DR</t>
  </si>
  <si>
    <t>Accrued Liabilities</t>
  </si>
  <si>
    <t>OCL</t>
  </si>
  <si>
    <t>DT</t>
  </si>
  <si>
    <t>OLTL</t>
  </si>
  <si>
    <t>Net Cash</t>
  </si>
  <si>
    <t>Revenue y/y</t>
  </si>
  <si>
    <t>Model NI</t>
  </si>
  <si>
    <t>Reported NI</t>
  </si>
  <si>
    <t>D&amp;A</t>
  </si>
  <si>
    <t>SBC</t>
  </si>
  <si>
    <t>Impairments</t>
  </si>
  <si>
    <t>Investments</t>
  </si>
  <si>
    <t>Credit Losses</t>
  </si>
  <si>
    <t>Divestitures</t>
  </si>
  <si>
    <t>Other</t>
  </si>
  <si>
    <t>WC</t>
  </si>
  <si>
    <t>CFFO</t>
  </si>
  <si>
    <t>Acquisitions</t>
  </si>
  <si>
    <t>CapEx</t>
  </si>
  <si>
    <t>CFFI</t>
  </si>
  <si>
    <t>ESOP</t>
  </si>
  <si>
    <t>Buyback</t>
  </si>
  <si>
    <t>Purchases of Equity</t>
  </si>
  <si>
    <t>CFFF</t>
  </si>
  <si>
    <t>FX</t>
  </si>
  <si>
    <t>CIC</t>
  </si>
  <si>
    <t>RMS</t>
  </si>
  <si>
    <t>DSA</t>
  </si>
  <si>
    <t>Founded: 1947</t>
  </si>
  <si>
    <t>IPO: 2000</t>
  </si>
  <si>
    <t>HQ: Wilmington, MA</t>
  </si>
  <si>
    <t>140 rodents</t>
  </si>
  <si>
    <t>RMS - 19%</t>
  </si>
  <si>
    <t>DSA - 63%</t>
  </si>
  <si>
    <t>Toxicology?</t>
  </si>
  <si>
    <t>Manufacturing - 17%</t>
  </si>
  <si>
    <t>Manufacturing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</si>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</sst>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00A6687-DD71-46E6-A3F2-3FF7721052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17348</xdr:colOff>
      <xdr:row>0</xdr:row>
      <xdr:rowOff>47115</xdr:rowOff>
    </xdr:from>
    <xdr:to>
      <xdr:col>12</xdr:col>
      <xdr:colOff>17348</xdr:colOff>
      <xdr:row>79</xdr:row>
      <xdr:rowOff>125186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E0E3034-3C24-0480-237C-D3530CCD60BB}"/>
            </a:ext>
          </a:extLst>
        </xdr:cNvPr>
        <xdr:cNvCxnSpPr/>
      </xdr:nvCxnSpPr>
      <xdr:spPr>
        <a:xfrm>
          <a:off x="7865948" y="47115"/>
          <a:ext cx="0" cy="1216121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E10E-492B-42C3-A2B1-B5B22F9FA67B}">
  <dimension ref="E2:M12"/>
  <sheetViews>
    <sheetView tabSelected="1" zoomScale="160" zoomScaleNormal="160" workbookViewId="0">
      <selection activeCell="I3" sqref="I3"/>
    </sheetView>
  </sheetViews>
  <sheetFormatPr defaultRowHeight="12.75" x14ac:dyDescent="0.2"/>
  <sheetData>
    <row r="2" spans="5:13" x14ac:dyDescent="0.2">
      <c r="E2" s="9" t="s">
        <v>80</v>
      </c>
      <c r="K2" t="s">
        <v>0</v>
      </c>
      <c r="L2" s="1">
        <v>200</v>
      </c>
    </row>
    <row r="3" spans="5:13" x14ac:dyDescent="0.2">
      <c r="E3" t="s">
        <v>79</v>
      </c>
      <c r="K3" t="s">
        <v>1</v>
      </c>
      <c r="L3" s="2">
        <v>51.630726000000003</v>
      </c>
      <c r="M3" s="3" t="s">
        <v>6</v>
      </c>
    </row>
    <row r="4" spans="5:13" x14ac:dyDescent="0.2">
      <c r="K4" t="s">
        <v>2</v>
      </c>
      <c r="L4" s="2">
        <f>+L2*L3</f>
        <v>10326.145200000001</v>
      </c>
    </row>
    <row r="5" spans="5:13" x14ac:dyDescent="0.2">
      <c r="E5" s="9" t="s">
        <v>81</v>
      </c>
      <c r="K5" t="s">
        <v>3</v>
      </c>
      <c r="L5" s="2">
        <v>411</v>
      </c>
      <c r="M5" s="3" t="s">
        <v>6</v>
      </c>
    </row>
    <row r="6" spans="5:13" x14ac:dyDescent="0.2">
      <c r="E6" t="s">
        <v>82</v>
      </c>
      <c r="K6" t="s">
        <v>4</v>
      </c>
      <c r="L6" s="2">
        <v>2409</v>
      </c>
      <c r="M6" s="3" t="s">
        <v>6</v>
      </c>
    </row>
    <row r="7" spans="5:13" x14ac:dyDescent="0.2">
      <c r="K7" t="s">
        <v>5</v>
      </c>
      <c r="L7" s="2">
        <f>+L4-L5+L6</f>
        <v>12324.145200000001</v>
      </c>
    </row>
    <row r="8" spans="5:13" x14ac:dyDescent="0.2">
      <c r="E8" s="9" t="s">
        <v>83</v>
      </c>
    </row>
    <row r="10" spans="5:13" x14ac:dyDescent="0.2">
      <c r="K10" t="s">
        <v>76</v>
      </c>
    </row>
    <row r="11" spans="5:13" x14ac:dyDescent="0.2">
      <c r="K11" t="s">
        <v>77</v>
      </c>
    </row>
    <row r="12" spans="5:13" x14ac:dyDescent="0.2">
      <c r="K1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803A-3AF6-40B3-A49B-4B32D63A3671}">
  <dimension ref="A1:Y78"/>
  <sheetViews>
    <sheetView zoomScale="130" zoomScaleNormal="130" workbookViewId="0">
      <pane xSplit="2" ySplit="2" topLeftCell="K48" activePane="bottomRight" state="frozen"/>
      <selection pane="topRight" activeCell="C1" sqref="C1"/>
      <selection pane="bottomLeft" activeCell="A3" sqref="A3"/>
      <selection pane="bottomRight" activeCell="T78" sqref="T78"/>
    </sheetView>
  </sheetViews>
  <sheetFormatPr defaultRowHeight="12.75" x14ac:dyDescent="0.2"/>
  <cols>
    <col min="1" max="1" width="5" bestFit="1" customWidth="1"/>
    <col min="2" max="2" width="21.28515625" customWidth="1"/>
    <col min="3" max="14" width="9.140625" style="3"/>
  </cols>
  <sheetData>
    <row r="1" spans="1:25" x14ac:dyDescent="0.2">
      <c r="A1" t="s">
        <v>7</v>
      </c>
    </row>
    <row r="2" spans="1:25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6</v>
      </c>
      <c r="M2" s="3" t="s">
        <v>18</v>
      </c>
      <c r="N2" s="3" t="s">
        <v>19</v>
      </c>
      <c r="Q2">
        <v>2020</v>
      </c>
      <c r="R2">
        <f>+Q2+1</f>
        <v>2021</v>
      </c>
      <c r="S2">
        <f t="shared" ref="S2:Y2" si="0">+R2+1</f>
        <v>2022</v>
      </c>
      <c r="T2">
        <f t="shared" si="0"/>
        <v>2023</v>
      </c>
      <c r="U2">
        <f t="shared" si="0"/>
        <v>2024</v>
      </c>
      <c r="V2">
        <f t="shared" si="0"/>
        <v>2025</v>
      </c>
      <c r="W2">
        <f t="shared" si="0"/>
        <v>2026</v>
      </c>
      <c r="X2">
        <f t="shared" si="0"/>
        <v>2027</v>
      </c>
      <c r="Y2">
        <f t="shared" si="0"/>
        <v>2028</v>
      </c>
    </row>
    <row r="3" spans="1:25" s="2" customFormat="1" x14ac:dyDescent="0.2">
      <c r="B3" s="2" t="s">
        <v>74</v>
      </c>
      <c r="C3" s="4"/>
      <c r="D3" s="4"/>
      <c r="E3" s="4"/>
      <c r="F3" s="4"/>
      <c r="G3" s="4"/>
      <c r="H3" s="4">
        <v>209.94800000000001</v>
      </c>
      <c r="I3" s="4"/>
      <c r="J3" s="4"/>
      <c r="K3" s="4"/>
      <c r="L3" s="4">
        <v>206.38900000000001</v>
      </c>
      <c r="M3" s="4"/>
      <c r="N3" s="4"/>
      <c r="S3" s="2">
        <v>739.17499999999995</v>
      </c>
      <c r="T3" s="2">
        <v>792.34299999999996</v>
      </c>
    </row>
    <row r="4" spans="1:25" s="2" customFormat="1" x14ac:dyDescent="0.2">
      <c r="B4" s="2" t="s">
        <v>75</v>
      </c>
      <c r="C4" s="4"/>
      <c r="D4" s="4"/>
      <c r="E4" s="4"/>
      <c r="F4" s="4"/>
      <c r="G4" s="4"/>
      <c r="H4" s="4">
        <v>663.45699999999999</v>
      </c>
      <c r="I4" s="4"/>
      <c r="J4" s="4"/>
      <c r="K4" s="4"/>
      <c r="L4" s="4">
        <v>627.41899999999998</v>
      </c>
      <c r="M4" s="4"/>
      <c r="N4" s="4"/>
      <c r="S4" s="2">
        <v>2447.3159999999998</v>
      </c>
      <c r="T4" s="2">
        <v>2615.623</v>
      </c>
    </row>
    <row r="5" spans="1:25" s="2" customFormat="1" x14ac:dyDescent="0.2">
      <c r="B5" s="2" t="s">
        <v>84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S5" s="2">
        <v>789.56899999999996</v>
      </c>
      <c r="T5" s="2">
        <v>721.44299999999998</v>
      </c>
    </row>
    <row r="7" spans="1:25" s="2" customFormat="1" x14ac:dyDescent="0.2">
      <c r="B7" s="2" t="s">
        <v>20</v>
      </c>
      <c r="C7" s="4"/>
      <c r="D7" s="4"/>
      <c r="E7" s="4"/>
      <c r="F7" s="4"/>
      <c r="G7" s="4">
        <v>857.36599999999999</v>
      </c>
      <c r="H7" s="4">
        <v>874.89099999999996</v>
      </c>
      <c r="I7" s="4"/>
      <c r="J7" s="4"/>
      <c r="K7" s="4">
        <v>816.86199999999997</v>
      </c>
      <c r="L7" s="4">
        <v>842.9</v>
      </c>
      <c r="M7" s="4"/>
      <c r="N7" s="4"/>
      <c r="R7" s="2">
        <v>2755.5790000000002</v>
      </c>
      <c r="S7" s="2">
        <v>3216.904</v>
      </c>
      <c r="T7" s="2">
        <v>3440.0189999999998</v>
      </c>
    </row>
    <row r="8" spans="1:25" s="2" customFormat="1" x14ac:dyDescent="0.2">
      <c r="B8" s="2" t="s">
        <v>21</v>
      </c>
      <c r="C8" s="4"/>
      <c r="D8" s="4"/>
      <c r="E8" s="4"/>
      <c r="F8" s="4"/>
      <c r="G8" s="4">
        <v>172.00700000000001</v>
      </c>
      <c r="H8" s="4">
        <v>185.04599999999999</v>
      </c>
      <c r="I8" s="4"/>
      <c r="J8" s="4"/>
      <c r="K8" s="4">
        <v>194.69800000000001</v>
      </c>
      <c r="L8" s="4">
        <v>183.21700000000001</v>
      </c>
      <c r="M8" s="4"/>
      <c r="N8" s="4"/>
      <c r="R8" s="2">
        <v>784.58100000000002</v>
      </c>
      <c r="S8" s="2">
        <v>759.15599999999995</v>
      </c>
      <c r="T8" s="2">
        <v>689.39</v>
      </c>
    </row>
    <row r="9" spans="1:25" s="5" customFormat="1" x14ac:dyDescent="0.2">
      <c r="B9" s="5" t="s">
        <v>8</v>
      </c>
      <c r="C9" s="6"/>
      <c r="D9" s="6"/>
      <c r="E9" s="6"/>
      <c r="F9" s="6"/>
      <c r="G9" s="6">
        <f>+G7+G8</f>
        <v>1029.373</v>
      </c>
      <c r="H9" s="6">
        <f>+H7+H8</f>
        <v>1059.9369999999999</v>
      </c>
      <c r="I9" s="6"/>
      <c r="J9" s="6"/>
      <c r="K9" s="6">
        <f>+K7+K8</f>
        <v>1011.56</v>
      </c>
      <c r="L9" s="6">
        <f>+L7+L8</f>
        <v>1026.117</v>
      </c>
      <c r="M9" s="6"/>
      <c r="N9" s="6"/>
      <c r="R9" s="5">
        <f>+R7+R8</f>
        <v>3540.1600000000003</v>
      </c>
      <c r="S9" s="5">
        <f>+S7+S8</f>
        <v>3976.06</v>
      </c>
      <c r="T9" s="5">
        <f>+T7+T8</f>
        <v>4129.4089999999997</v>
      </c>
    </row>
    <row r="10" spans="1:25" s="2" customFormat="1" x14ac:dyDescent="0.2">
      <c r="B10" s="2" t="s">
        <v>26</v>
      </c>
      <c r="C10" s="4"/>
      <c r="D10" s="4"/>
      <c r="E10" s="4"/>
      <c r="F10" s="4"/>
      <c r="G10" s="4">
        <v>565.47699999999998</v>
      </c>
      <c r="H10" s="4">
        <v>578.09900000000005</v>
      </c>
      <c r="I10" s="4"/>
      <c r="J10" s="4"/>
      <c r="K10" s="4">
        <v>578.16399999999999</v>
      </c>
      <c r="L10" s="4">
        <v>577.38300000000004</v>
      </c>
      <c r="M10" s="4"/>
      <c r="N10" s="4"/>
    </row>
    <row r="11" spans="1:25" s="2" customFormat="1" x14ac:dyDescent="0.2">
      <c r="B11" s="2" t="s">
        <v>27</v>
      </c>
      <c r="C11" s="4"/>
      <c r="D11" s="4"/>
      <c r="E11" s="4"/>
      <c r="F11" s="4"/>
      <c r="G11" s="4">
        <v>86.242000000000004</v>
      </c>
      <c r="H11" s="4">
        <v>82.861000000000004</v>
      </c>
      <c r="I11" s="4"/>
      <c r="J11" s="4"/>
      <c r="K11" s="4">
        <v>88.552999999999997</v>
      </c>
      <c r="L11" s="4">
        <v>95.021000000000001</v>
      </c>
      <c r="M11" s="4"/>
      <c r="N11" s="4"/>
    </row>
    <row r="12" spans="1:25" s="2" customFormat="1" x14ac:dyDescent="0.2">
      <c r="B12" s="2" t="s">
        <v>25</v>
      </c>
      <c r="C12" s="4"/>
      <c r="D12" s="4"/>
      <c r="E12" s="4"/>
      <c r="F12" s="4"/>
      <c r="G12" s="4">
        <f>+G10+G11</f>
        <v>651.71899999999994</v>
      </c>
      <c r="H12" s="4">
        <f>+H10+H11</f>
        <v>660.96</v>
      </c>
      <c r="I12" s="4"/>
      <c r="J12" s="4"/>
      <c r="K12" s="4">
        <f>+K10+K11</f>
        <v>666.71699999999998</v>
      </c>
      <c r="L12" s="4">
        <f>+L10+L11</f>
        <v>672.404</v>
      </c>
      <c r="M12" s="4"/>
      <c r="N12" s="4"/>
      <c r="R12" s="2">
        <f>1837.487+368.035</f>
        <v>2205.5219999999999</v>
      </c>
      <c r="S12" s="2">
        <f>2143.318+370.091</f>
        <v>2513.4090000000001</v>
      </c>
      <c r="T12" s="2">
        <f>2295.983+330.87</f>
        <v>2626.8530000000001</v>
      </c>
    </row>
    <row r="13" spans="1:25" s="2" customFormat="1" x14ac:dyDescent="0.2">
      <c r="B13" s="2" t="s">
        <v>24</v>
      </c>
      <c r="C13" s="4"/>
      <c r="D13" s="4"/>
      <c r="E13" s="4"/>
      <c r="F13" s="4"/>
      <c r="G13" s="4">
        <f>+G9-G12</f>
        <v>377.65400000000011</v>
      </c>
      <c r="H13" s="4">
        <f>+H9-H12</f>
        <v>398.97699999999986</v>
      </c>
      <c r="I13" s="4"/>
      <c r="J13" s="4"/>
      <c r="K13" s="4">
        <f>+K9-K12</f>
        <v>344.84299999999996</v>
      </c>
      <c r="L13" s="4">
        <f>+L9-L12</f>
        <v>353.71299999999997</v>
      </c>
      <c r="M13" s="4"/>
      <c r="N13" s="4"/>
      <c r="R13" s="2">
        <f>+R9-R12</f>
        <v>1334.6380000000004</v>
      </c>
      <c r="S13" s="2">
        <f>+S9-S12</f>
        <v>1462.6509999999998</v>
      </c>
      <c r="T13" s="2">
        <f>+T9-T12</f>
        <v>1502.5559999999996</v>
      </c>
    </row>
    <row r="14" spans="1:25" s="2" customFormat="1" x14ac:dyDescent="0.2">
      <c r="B14" s="2" t="s">
        <v>23</v>
      </c>
      <c r="C14" s="4"/>
      <c r="D14" s="4"/>
      <c r="E14" s="4"/>
      <c r="F14" s="4"/>
      <c r="G14" s="4">
        <v>174.846</v>
      </c>
      <c r="H14" s="4">
        <v>199.75800000000001</v>
      </c>
      <c r="I14" s="4"/>
      <c r="J14" s="4"/>
      <c r="K14" s="4">
        <v>186.291</v>
      </c>
      <c r="L14" s="4">
        <v>169.791</v>
      </c>
      <c r="M14" s="4"/>
      <c r="N14" s="4"/>
      <c r="R14" s="2">
        <v>619.91899999999998</v>
      </c>
      <c r="S14" s="2">
        <v>665.09799999999996</v>
      </c>
      <c r="T14" s="2">
        <v>747.85500000000002</v>
      </c>
    </row>
    <row r="15" spans="1:25" s="2" customFormat="1" x14ac:dyDescent="0.2">
      <c r="B15" s="2" t="s">
        <v>22</v>
      </c>
      <c r="C15" s="4"/>
      <c r="D15" s="4"/>
      <c r="E15" s="4"/>
      <c r="F15" s="4"/>
      <c r="G15" s="4">
        <f>+G13-G14</f>
        <v>202.80800000000011</v>
      </c>
      <c r="H15" s="4">
        <f>+H13-H14</f>
        <v>199.21899999999985</v>
      </c>
      <c r="I15" s="4"/>
      <c r="J15" s="4"/>
      <c r="K15" s="4">
        <f>+K13-K14</f>
        <v>158.55199999999996</v>
      </c>
      <c r="L15" s="4">
        <f>+L13-L14</f>
        <v>183.92199999999997</v>
      </c>
      <c r="M15" s="4"/>
      <c r="N15" s="4"/>
      <c r="R15" s="2">
        <f>+R13-R14</f>
        <v>714.71900000000039</v>
      </c>
      <c r="S15" s="2">
        <f>+S13-S14</f>
        <v>797.55299999999988</v>
      </c>
      <c r="T15" s="2">
        <f>+T13-T14</f>
        <v>754.70099999999957</v>
      </c>
    </row>
    <row r="16" spans="1:25" s="2" customFormat="1" x14ac:dyDescent="0.2">
      <c r="B16" s="2" t="s">
        <v>28</v>
      </c>
      <c r="C16" s="4"/>
      <c r="D16" s="4"/>
      <c r="E16" s="4"/>
      <c r="F16" s="4"/>
      <c r="G16" s="4">
        <f>-34.38+0.806-3.277</f>
        <v>-36.851000000000006</v>
      </c>
      <c r="H16" s="4">
        <f>-35.044+1.426-2.663</f>
        <v>-36.280999999999992</v>
      </c>
      <c r="I16" s="4"/>
      <c r="J16" s="4"/>
      <c r="K16" s="4">
        <f>-35.001+2.2+5.833</f>
        <v>-26.967999999999996</v>
      </c>
      <c r="L16" s="4">
        <f>3.01-32.769-2.24</f>
        <v>-31.999000000000002</v>
      </c>
      <c r="M16" s="4"/>
      <c r="N16" s="4"/>
      <c r="R16" s="2">
        <f>0.652-73.91-35.894</f>
        <v>-109.15199999999999</v>
      </c>
      <c r="S16" s="2">
        <f>0.78-59.291+30.523</f>
        <v>-27.987999999999996</v>
      </c>
      <c r="T16" s="2">
        <f>5.196-136.71+95.537</f>
        <v>-35.977000000000004</v>
      </c>
    </row>
    <row r="17" spans="2:20" s="2" customFormat="1" x14ac:dyDescent="0.2">
      <c r="B17" s="2" t="s">
        <v>29</v>
      </c>
      <c r="C17" s="4"/>
      <c r="D17" s="4"/>
      <c r="E17" s="4"/>
      <c r="F17" s="4"/>
      <c r="G17" s="4">
        <f>+G15+G16</f>
        <v>165.95700000000011</v>
      </c>
      <c r="H17" s="4">
        <f>+H15+H16</f>
        <v>162.93799999999987</v>
      </c>
      <c r="I17" s="4"/>
      <c r="J17" s="4"/>
      <c r="K17" s="4">
        <f>+K15+K16</f>
        <v>131.58399999999997</v>
      </c>
      <c r="L17" s="4">
        <f>+L15+L16</f>
        <v>151.92299999999997</v>
      </c>
      <c r="M17" s="4"/>
      <c r="N17" s="4"/>
      <c r="R17" s="2">
        <f t="shared" ref="R17:S17" si="1">+R15+R16</f>
        <v>605.56700000000046</v>
      </c>
      <c r="S17" s="2">
        <f t="shared" si="1"/>
        <v>769.56499999999994</v>
      </c>
      <c r="T17" s="2">
        <f>+T15+T16</f>
        <v>718.72399999999959</v>
      </c>
    </row>
    <row r="18" spans="2:20" s="2" customFormat="1" x14ac:dyDescent="0.2">
      <c r="B18" s="2" t="s">
        <v>30</v>
      </c>
      <c r="C18" s="4"/>
      <c r="D18" s="4"/>
      <c r="E18" s="4"/>
      <c r="F18" s="4"/>
      <c r="G18" s="4">
        <f>27.087+0.823</f>
        <v>27.91</v>
      </c>
      <c r="H18" s="4">
        <f>29.221+2.423</f>
        <v>31.643999999999998</v>
      </c>
      <c r="I18" s="4"/>
      <c r="J18" s="4"/>
      <c r="K18" s="4">
        <f>24.529+1.522</f>
        <v>26.050999999999998</v>
      </c>
      <c r="L18" s="4">
        <f>25.392+0.18</f>
        <v>25.571999999999999</v>
      </c>
      <c r="M18" s="4"/>
      <c r="N18" s="4"/>
      <c r="R18" s="2">
        <f>81.873+7.855</f>
        <v>89.728000000000009</v>
      </c>
      <c r="S18" s="2">
        <f>130.379+6.382</f>
        <v>136.761</v>
      </c>
      <c r="T18" s="2">
        <f>100.914+5.746</f>
        <v>106.66</v>
      </c>
    </row>
    <row r="19" spans="2:20" s="2" customFormat="1" x14ac:dyDescent="0.2">
      <c r="B19" s="2" t="s">
        <v>31</v>
      </c>
      <c r="C19" s="4"/>
      <c r="D19" s="4"/>
      <c r="E19" s="4"/>
      <c r="F19" s="4"/>
      <c r="G19" s="4">
        <f>+G17-G18</f>
        <v>138.04700000000011</v>
      </c>
      <c r="H19" s="4">
        <f>+H17-H18</f>
        <v>131.29399999999987</v>
      </c>
      <c r="I19" s="4"/>
      <c r="J19" s="4"/>
      <c r="K19" s="4">
        <f>+K17-K18</f>
        <v>105.53299999999997</v>
      </c>
      <c r="L19" s="4">
        <f>+L17-L18</f>
        <v>126.35099999999997</v>
      </c>
      <c r="M19" s="4"/>
      <c r="N19" s="4"/>
      <c r="R19" s="2">
        <f t="shared" ref="R19:S19" si="2">+R17-R18</f>
        <v>515.8390000000004</v>
      </c>
      <c r="S19" s="2">
        <f t="shared" si="2"/>
        <v>632.80399999999997</v>
      </c>
      <c r="T19" s="2">
        <f>+T17-T18</f>
        <v>612.06399999999962</v>
      </c>
    </row>
    <row r="20" spans="2:20" x14ac:dyDescent="0.2">
      <c r="B20" s="2" t="s">
        <v>32</v>
      </c>
      <c r="G20" s="7">
        <f>+G19/G21</f>
        <v>2.6842770475227526</v>
      </c>
      <c r="H20" s="7">
        <f>+H19/H21</f>
        <v>2.5510327005654085</v>
      </c>
      <c r="K20" s="7">
        <f>+K19/K21</f>
        <v>2.0356660622661158</v>
      </c>
      <c r="L20" s="7">
        <f>+L19/L21</f>
        <v>2.4370443235736601</v>
      </c>
      <c r="R20" s="1">
        <f>+R19/R21</f>
        <v>10.030899368011676</v>
      </c>
      <c r="S20" s="1">
        <f t="shared" ref="S20:T20" si="3">+S19/S21</f>
        <v>12.33512017309604</v>
      </c>
      <c r="T20" s="1">
        <f t="shared" si="3"/>
        <v>11.896056442051654</v>
      </c>
    </row>
    <row r="21" spans="2:20" s="2" customFormat="1" x14ac:dyDescent="0.2">
      <c r="B21" s="2" t="s">
        <v>1</v>
      </c>
      <c r="C21" s="4"/>
      <c r="D21" s="4"/>
      <c r="E21" s="4"/>
      <c r="F21" s="4"/>
      <c r="G21" s="4">
        <v>51.427999999999997</v>
      </c>
      <c r="H21" s="4">
        <v>51.466999999999999</v>
      </c>
      <c r="I21" s="4"/>
      <c r="J21" s="4"/>
      <c r="K21" s="4">
        <v>51.841999999999999</v>
      </c>
      <c r="L21" s="4">
        <v>51.845999999999997</v>
      </c>
      <c r="M21" s="4"/>
      <c r="N21" s="4"/>
      <c r="R21" s="2">
        <v>51.424999999999997</v>
      </c>
      <c r="S21" s="2">
        <v>51.301000000000002</v>
      </c>
      <c r="T21" s="2">
        <v>51.451000000000001</v>
      </c>
    </row>
    <row r="23" spans="2:20" x14ac:dyDescent="0.2">
      <c r="B23" s="2" t="s">
        <v>53</v>
      </c>
      <c r="K23" s="8">
        <f>+K9/G9-1</f>
        <v>-1.7304708788748235E-2</v>
      </c>
      <c r="L23" s="8">
        <f>+L9/H9-1</f>
        <v>-3.1907556769883438E-2</v>
      </c>
      <c r="S23" s="10">
        <f>+S9/R9-1</f>
        <v>0.12313002802133233</v>
      </c>
      <c r="T23" s="10">
        <f>+T9/S9-1</f>
        <v>3.8568079958551937E-2</v>
      </c>
    </row>
    <row r="24" spans="2:20" x14ac:dyDescent="0.2">
      <c r="B24" s="2" t="s">
        <v>85</v>
      </c>
      <c r="K24" s="8"/>
      <c r="L24" s="8"/>
      <c r="R24" s="10">
        <f>+R13/R9</f>
        <v>0.37699934466238821</v>
      </c>
      <c r="S24" s="10">
        <f t="shared" ref="S24:T24" si="4">+S13/S9</f>
        <v>0.36786441854499174</v>
      </c>
      <c r="T24" s="10">
        <f t="shared" si="4"/>
        <v>0.36386708122155004</v>
      </c>
    </row>
    <row r="26" spans="2:20" x14ac:dyDescent="0.2">
      <c r="B26" s="2" t="s">
        <v>52</v>
      </c>
      <c r="L26" s="4">
        <f>+L27-L44</f>
        <v>-1998.308</v>
      </c>
    </row>
    <row r="27" spans="2:20" s="2" customFormat="1" x14ac:dyDescent="0.2">
      <c r="B27" s="2" t="s">
        <v>3</v>
      </c>
      <c r="C27" s="4"/>
      <c r="D27" s="4"/>
      <c r="E27" s="4"/>
      <c r="F27" s="4"/>
      <c r="G27" s="4"/>
      <c r="H27" s="4"/>
      <c r="I27" s="4"/>
      <c r="J27" s="4"/>
      <c r="K27" s="4"/>
      <c r="L27" s="4">
        <f>179.213+231.859</f>
        <v>411.072</v>
      </c>
      <c r="M27" s="4"/>
      <c r="N27" s="4"/>
    </row>
    <row r="28" spans="2:20" s="2" customFormat="1" x14ac:dyDescent="0.2">
      <c r="B28" s="2" t="s">
        <v>33</v>
      </c>
      <c r="C28" s="4"/>
      <c r="D28" s="4"/>
      <c r="E28" s="4"/>
      <c r="F28" s="4"/>
      <c r="G28" s="4"/>
      <c r="H28" s="4"/>
      <c r="I28" s="4"/>
      <c r="J28" s="4"/>
      <c r="K28" s="4"/>
      <c r="L28" s="4">
        <v>762.221</v>
      </c>
      <c r="M28" s="4"/>
      <c r="N28" s="4"/>
    </row>
    <row r="29" spans="2:20" s="2" customFormat="1" x14ac:dyDescent="0.2">
      <c r="B29" s="2" t="s">
        <v>34</v>
      </c>
      <c r="C29" s="4"/>
      <c r="D29" s="4"/>
      <c r="E29" s="4"/>
      <c r="F29" s="4"/>
      <c r="G29" s="4"/>
      <c r="H29" s="4"/>
      <c r="I29" s="4"/>
      <c r="J29" s="4"/>
      <c r="K29" s="4"/>
      <c r="L29" s="4">
        <v>349.11099999999999</v>
      </c>
      <c r="M29" s="4"/>
      <c r="N29" s="4"/>
    </row>
    <row r="30" spans="2:20" s="2" customFormat="1" x14ac:dyDescent="0.2">
      <c r="B30" s="2" t="s">
        <v>35</v>
      </c>
      <c r="C30" s="4"/>
      <c r="D30" s="4"/>
      <c r="E30" s="4"/>
      <c r="F30" s="4"/>
      <c r="G30" s="4"/>
      <c r="H30" s="4"/>
      <c r="I30" s="4"/>
      <c r="J30" s="4"/>
      <c r="K30" s="4"/>
      <c r="L30" s="4">
        <v>97.891999999999996</v>
      </c>
      <c r="M30" s="4"/>
      <c r="N30" s="4"/>
    </row>
    <row r="31" spans="2:20" s="2" customFormat="1" x14ac:dyDescent="0.2">
      <c r="B31" s="2" t="s">
        <v>36</v>
      </c>
      <c r="C31" s="4"/>
      <c r="D31" s="4"/>
      <c r="E31" s="4"/>
      <c r="F31" s="4"/>
      <c r="G31" s="4"/>
      <c r="H31" s="4"/>
      <c r="I31" s="4"/>
      <c r="J31" s="4"/>
      <c r="K31" s="4"/>
      <c r="L31" s="4">
        <v>110.836</v>
      </c>
      <c r="M31" s="4"/>
      <c r="N31" s="4"/>
    </row>
    <row r="32" spans="2:20" s="2" customFormat="1" x14ac:dyDescent="0.2">
      <c r="B32" s="2" t="s">
        <v>37</v>
      </c>
      <c r="C32" s="4"/>
      <c r="D32" s="4"/>
      <c r="E32" s="4"/>
      <c r="F32" s="4"/>
      <c r="G32" s="4"/>
      <c r="H32" s="4"/>
      <c r="I32" s="4"/>
      <c r="J32" s="4"/>
      <c r="K32" s="4"/>
      <c r="L32" s="4">
        <v>1613.895</v>
      </c>
      <c r="M32" s="4"/>
      <c r="N32" s="4"/>
    </row>
    <row r="33" spans="2:14" s="2" customFormat="1" x14ac:dyDescent="0.2">
      <c r="B33" s="2" t="s">
        <v>42</v>
      </c>
      <c r="C33" s="4"/>
      <c r="D33" s="4"/>
      <c r="E33" s="4"/>
      <c r="F33" s="4"/>
      <c r="G33" s="4"/>
      <c r="H33" s="4"/>
      <c r="I33" s="4"/>
      <c r="J33" s="4"/>
      <c r="K33" s="4"/>
      <c r="L33" s="4">
        <v>386.14699999999999</v>
      </c>
      <c r="M33" s="4"/>
      <c r="N33" s="4"/>
    </row>
    <row r="34" spans="2:14" s="2" customFormat="1" x14ac:dyDescent="0.2">
      <c r="B34" s="2" t="s">
        <v>41</v>
      </c>
      <c r="C34" s="4"/>
      <c r="D34" s="4"/>
      <c r="E34" s="4"/>
      <c r="F34" s="4"/>
      <c r="G34" s="4"/>
      <c r="H34" s="4"/>
      <c r="I34" s="4"/>
      <c r="J34" s="4"/>
      <c r="K34" s="4"/>
      <c r="L34" s="4">
        <f>3079.693+800.129</f>
        <v>3879.8220000000001</v>
      </c>
      <c r="M34" s="4"/>
      <c r="N34" s="4"/>
    </row>
    <row r="35" spans="2:14" s="2" customFormat="1" x14ac:dyDescent="0.2">
      <c r="B35" s="2" t="s">
        <v>40</v>
      </c>
      <c r="C35" s="4"/>
      <c r="D35" s="4"/>
      <c r="E35" s="4"/>
      <c r="F35" s="4"/>
      <c r="G35" s="4"/>
      <c r="H35" s="4"/>
      <c r="I35" s="4"/>
      <c r="J35" s="4"/>
      <c r="K35" s="4"/>
      <c r="L35" s="4">
        <v>36.109000000000002</v>
      </c>
      <c r="M35" s="4"/>
      <c r="N35" s="4"/>
    </row>
    <row r="36" spans="2:14" s="2" customFormat="1" x14ac:dyDescent="0.2">
      <c r="B36" s="2" t="s">
        <v>39</v>
      </c>
      <c r="C36" s="4"/>
      <c r="D36" s="4"/>
      <c r="E36" s="4"/>
      <c r="F36" s="4"/>
      <c r="G36" s="4"/>
      <c r="H36" s="4"/>
      <c r="I36" s="4"/>
      <c r="J36" s="4"/>
      <c r="K36" s="4"/>
      <c r="L36" s="4">
        <v>301.178</v>
      </c>
      <c r="M36" s="4"/>
      <c r="N36" s="4"/>
    </row>
    <row r="37" spans="2:14" s="2" customFormat="1" x14ac:dyDescent="0.2">
      <c r="B37" s="2" t="s">
        <v>38</v>
      </c>
      <c r="C37" s="4"/>
      <c r="D37" s="4"/>
      <c r="E37" s="4"/>
      <c r="F37" s="4"/>
      <c r="G37" s="4"/>
      <c r="H37" s="4"/>
      <c r="I37" s="4"/>
      <c r="J37" s="4"/>
      <c r="K37" s="4"/>
      <c r="L37" s="4">
        <f>SUM(L27:L36)</f>
        <v>7948.2830000000004</v>
      </c>
      <c r="M37" s="4"/>
      <c r="N37" s="4"/>
    </row>
    <row r="39" spans="2:14" s="2" customFormat="1" x14ac:dyDescent="0.2">
      <c r="B39" s="2" t="s">
        <v>45</v>
      </c>
      <c r="C39" s="4"/>
      <c r="D39" s="4"/>
      <c r="E39" s="4"/>
      <c r="F39" s="4"/>
      <c r="G39" s="4"/>
      <c r="H39" s="4"/>
      <c r="I39" s="4"/>
      <c r="J39" s="4"/>
      <c r="K39" s="4"/>
      <c r="L39" s="4">
        <v>133.101</v>
      </c>
      <c r="M39" s="4"/>
      <c r="N39" s="4"/>
    </row>
    <row r="40" spans="2:14" s="2" customFormat="1" x14ac:dyDescent="0.2">
      <c r="B40" s="2" t="s">
        <v>46</v>
      </c>
      <c r="C40" s="4"/>
      <c r="D40" s="4"/>
      <c r="E40" s="4"/>
      <c r="F40" s="4"/>
      <c r="G40" s="4"/>
      <c r="H40" s="4"/>
      <c r="I40" s="4"/>
      <c r="J40" s="4"/>
      <c r="K40" s="4"/>
      <c r="L40" s="4">
        <v>176.667</v>
      </c>
      <c r="M40" s="4"/>
      <c r="N40" s="4"/>
    </row>
    <row r="41" spans="2:14" s="2" customFormat="1" x14ac:dyDescent="0.2">
      <c r="B41" s="2" t="s">
        <v>47</v>
      </c>
      <c r="C41" s="4"/>
      <c r="D41" s="4"/>
      <c r="E41" s="4"/>
      <c r="F41" s="4"/>
      <c r="G41" s="4"/>
      <c r="H41" s="4"/>
      <c r="I41" s="4"/>
      <c r="J41" s="4"/>
      <c r="K41" s="4"/>
      <c r="L41" s="4">
        <v>247.17699999999999</v>
      </c>
      <c r="M41" s="4"/>
      <c r="N41" s="4"/>
    </row>
    <row r="42" spans="2:14" s="2" customFormat="1" x14ac:dyDescent="0.2">
      <c r="B42" s="2" t="s">
        <v>48</v>
      </c>
      <c r="C42" s="4"/>
      <c r="D42" s="4"/>
      <c r="E42" s="4"/>
      <c r="F42" s="4"/>
      <c r="G42" s="4"/>
      <c r="H42" s="4"/>
      <c r="I42" s="4"/>
      <c r="J42" s="4"/>
      <c r="K42" s="4"/>
      <c r="L42" s="4">
        <v>192.15600000000001</v>
      </c>
      <c r="M42" s="4"/>
      <c r="N42" s="4"/>
    </row>
    <row r="43" spans="2:14" s="2" customFormat="1" x14ac:dyDescent="0.2">
      <c r="B43" s="2" t="s">
        <v>49</v>
      </c>
      <c r="C43" s="4"/>
      <c r="D43" s="4"/>
      <c r="E43" s="4"/>
      <c r="F43" s="4"/>
      <c r="G43" s="4"/>
      <c r="H43" s="4"/>
      <c r="I43" s="4"/>
      <c r="J43" s="4"/>
      <c r="K43" s="4"/>
      <c r="L43" s="4">
        <v>198.41800000000001</v>
      </c>
      <c r="M43" s="4"/>
      <c r="N43" s="4"/>
    </row>
    <row r="44" spans="2:14" s="2" customFormat="1" x14ac:dyDescent="0.2">
      <c r="B44" s="2" t="s">
        <v>4</v>
      </c>
      <c r="C44" s="4"/>
      <c r="D44" s="4"/>
      <c r="E44" s="4"/>
      <c r="F44" s="4"/>
      <c r="G44" s="4"/>
      <c r="H44" s="4"/>
      <c r="I44" s="4"/>
      <c r="J44" s="4"/>
      <c r="K44" s="4"/>
      <c r="L44" s="4">
        <v>2409.38</v>
      </c>
      <c r="M44" s="4"/>
      <c r="N44" s="4"/>
    </row>
    <row r="45" spans="2:14" s="2" customFormat="1" x14ac:dyDescent="0.2">
      <c r="B45" s="2" t="s">
        <v>42</v>
      </c>
      <c r="C45" s="4"/>
      <c r="D45" s="4"/>
      <c r="E45" s="4"/>
      <c r="F45" s="4"/>
      <c r="G45" s="4"/>
      <c r="H45" s="4"/>
      <c r="I45" s="4"/>
      <c r="J45" s="4"/>
      <c r="K45" s="4"/>
      <c r="L45" s="4">
        <v>428.58699999999999</v>
      </c>
      <c r="M45" s="4"/>
      <c r="N45" s="4"/>
    </row>
    <row r="46" spans="2:14" s="2" customFormat="1" x14ac:dyDescent="0.2">
      <c r="B46" s="2" t="s">
        <v>50</v>
      </c>
      <c r="C46" s="4"/>
      <c r="D46" s="4"/>
      <c r="E46" s="4"/>
      <c r="F46" s="4"/>
      <c r="G46" s="4"/>
      <c r="H46" s="4"/>
      <c r="I46" s="4"/>
      <c r="J46" s="4"/>
      <c r="K46" s="4"/>
      <c r="L46" s="4">
        <v>165.18299999999999</v>
      </c>
      <c r="M46" s="4"/>
      <c r="N46" s="4"/>
    </row>
    <row r="47" spans="2:14" s="2" customFormat="1" x14ac:dyDescent="0.2">
      <c r="B47" s="2" t="s">
        <v>51</v>
      </c>
      <c r="C47" s="4"/>
      <c r="D47" s="4"/>
      <c r="E47" s="4"/>
      <c r="F47" s="4"/>
      <c r="G47" s="4"/>
      <c r="H47" s="4"/>
      <c r="I47" s="4"/>
      <c r="J47" s="4"/>
      <c r="K47" s="4"/>
      <c r="L47" s="4">
        <v>224.52</v>
      </c>
      <c r="M47" s="4"/>
      <c r="N47" s="4"/>
    </row>
    <row r="48" spans="2:14" s="2" customFormat="1" x14ac:dyDescent="0.2">
      <c r="B48" s="2" t="s">
        <v>44</v>
      </c>
      <c r="C48" s="4"/>
      <c r="D48" s="4"/>
      <c r="E48" s="4"/>
      <c r="F48" s="4"/>
      <c r="G48" s="4"/>
      <c r="H48" s="4"/>
      <c r="I48" s="4"/>
      <c r="J48" s="4"/>
      <c r="K48" s="4"/>
      <c r="L48" s="4">
        <f>3727.018+46.076</f>
        <v>3773.0940000000001</v>
      </c>
      <c r="M48" s="4"/>
      <c r="N48" s="4"/>
    </row>
    <row r="49" spans="2:20" s="2" customFormat="1" x14ac:dyDescent="0.2">
      <c r="B49" s="2" t="s">
        <v>43</v>
      </c>
      <c r="C49" s="4"/>
      <c r="D49" s="4"/>
      <c r="E49" s="4"/>
      <c r="F49" s="4"/>
      <c r="G49" s="4"/>
      <c r="H49" s="4"/>
      <c r="I49" s="4"/>
      <c r="J49" s="4"/>
      <c r="K49" s="4"/>
      <c r="L49" s="4">
        <f>SUM(L39:L48)</f>
        <v>7948.2830000000004</v>
      </c>
      <c r="M49" s="4"/>
      <c r="N49" s="4"/>
    </row>
    <row r="51" spans="2:20" s="2" customFormat="1" x14ac:dyDescent="0.2">
      <c r="B51" s="2" t="s">
        <v>54</v>
      </c>
      <c r="C51" s="4"/>
      <c r="D51" s="4"/>
      <c r="E51" s="4"/>
      <c r="F51" s="4"/>
      <c r="G51" s="4"/>
      <c r="H51" s="4"/>
      <c r="I51" s="4"/>
      <c r="J51" s="4"/>
      <c r="K51" s="4">
        <f>K19</f>
        <v>105.53299999999997</v>
      </c>
      <c r="L51" s="4">
        <f>L19</f>
        <v>126.35099999999997</v>
      </c>
      <c r="M51" s="4"/>
      <c r="N51" s="4"/>
    </row>
    <row r="52" spans="2:20" s="2" customFormat="1" x14ac:dyDescent="0.2">
      <c r="B52" s="2" t="s">
        <v>55</v>
      </c>
      <c r="C52" s="4"/>
      <c r="D52" s="4"/>
      <c r="E52" s="4"/>
      <c r="F52" s="4"/>
      <c r="G52" s="4"/>
      <c r="H52" s="4"/>
      <c r="I52" s="4"/>
      <c r="J52" s="4"/>
      <c r="K52" s="4">
        <v>74.481999999999999</v>
      </c>
      <c r="L52" s="4">
        <f>168.743-K52</f>
        <v>94.260999999999996</v>
      </c>
      <c r="M52" s="4"/>
      <c r="N52" s="4"/>
    </row>
    <row r="53" spans="2:20" s="2" customFormat="1" x14ac:dyDescent="0.2">
      <c r="B53" s="2" t="s">
        <v>56</v>
      </c>
      <c r="C53" s="4"/>
      <c r="D53" s="4"/>
      <c r="E53" s="4"/>
      <c r="F53" s="4"/>
      <c r="G53" s="4"/>
      <c r="H53" s="4"/>
      <c r="I53" s="4"/>
      <c r="J53" s="4"/>
      <c r="K53" s="4">
        <v>85.356999999999999</v>
      </c>
      <c r="L53" s="4">
        <f>171.439-K53</f>
        <v>86.081999999999994</v>
      </c>
      <c r="M53" s="4"/>
      <c r="N53" s="4"/>
    </row>
    <row r="54" spans="2:20" s="2" customFormat="1" x14ac:dyDescent="0.2">
      <c r="B54" s="2" t="s">
        <v>57</v>
      </c>
      <c r="C54" s="4"/>
      <c r="D54" s="4"/>
      <c r="E54" s="4"/>
      <c r="F54" s="4"/>
      <c r="G54" s="4"/>
      <c r="H54" s="4"/>
      <c r="I54" s="4"/>
      <c r="J54" s="4"/>
      <c r="K54" s="4">
        <v>16.738</v>
      </c>
      <c r="L54" s="4">
        <f>33.325-K54</f>
        <v>16.587000000000003</v>
      </c>
      <c r="M54" s="4"/>
      <c r="N54" s="4"/>
    </row>
    <row r="55" spans="2:20" s="2" customFormat="1" x14ac:dyDescent="0.2">
      <c r="B55" s="2" t="s">
        <v>50</v>
      </c>
      <c r="C55" s="4"/>
      <c r="D55" s="4"/>
      <c r="E55" s="4"/>
      <c r="F55" s="4"/>
      <c r="G55" s="4"/>
      <c r="H55" s="4"/>
      <c r="I55" s="4"/>
      <c r="J55" s="4"/>
      <c r="K55" s="4">
        <v>-0.98699999999999999</v>
      </c>
      <c r="L55" s="4">
        <f>-13.073-K55</f>
        <v>-12.086</v>
      </c>
      <c r="M55" s="4"/>
      <c r="N55" s="4"/>
    </row>
    <row r="56" spans="2:20" s="2" customFormat="1" x14ac:dyDescent="0.2">
      <c r="B56" s="2" t="s">
        <v>58</v>
      </c>
      <c r="C56" s="4"/>
      <c r="D56" s="4"/>
      <c r="E56" s="4"/>
      <c r="F56" s="4"/>
      <c r="G56" s="4"/>
      <c r="H56" s="4"/>
      <c r="I56" s="4"/>
      <c r="J56" s="4"/>
      <c r="K56" s="4">
        <v>5.4320000000000004</v>
      </c>
      <c r="L56" s="4">
        <f>14.25-K56</f>
        <v>8.8179999999999996</v>
      </c>
      <c r="M56" s="4"/>
      <c r="N56" s="4"/>
    </row>
    <row r="57" spans="2:20" s="2" customFormat="1" x14ac:dyDescent="0.2">
      <c r="B57" s="2" t="s">
        <v>59</v>
      </c>
      <c r="C57" s="4"/>
      <c r="D57" s="4"/>
      <c r="E57" s="4"/>
      <c r="F57" s="4"/>
      <c r="G57" s="4"/>
      <c r="H57" s="4"/>
      <c r="I57" s="4"/>
      <c r="J57" s="4"/>
      <c r="K57" s="4">
        <v>-5.88</v>
      </c>
      <c r="L57" s="4">
        <f>-6.305-K57</f>
        <v>-0.42499999999999982</v>
      </c>
      <c r="M57" s="4"/>
      <c r="N57" s="4"/>
    </row>
    <row r="58" spans="2:20" s="2" customFormat="1" x14ac:dyDescent="0.2">
      <c r="B58" s="2" t="s">
        <v>60</v>
      </c>
      <c r="C58" s="4"/>
      <c r="D58" s="4"/>
      <c r="E58" s="4"/>
      <c r="F58" s="4"/>
      <c r="G58" s="4"/>
      <c r="H58" s="4"/>
      <c r="I58" s="4"/>
      <c r="J58" s="4"/>
      <c r="K58" s="4">
        <v>0.83899999999999997</v>
      </c>
      <c r="L58" s="4">
        <f>4.719-K58</f>
        <v>3.8800000000000003</v>
      </c>
      <c r="M58" s="4"/>
      <c r="N58" s="4"/>
    </row>
    <row r="59" spans="2:20" s="2" customFormat="1" x14ac:dyDescent="0.2">
      <c r="B59" s="2" t="s">
        <v>61</v>
      </c>
      <c r="C59" s="4"/>
      <c r="D59" s="4"/>
      <c r="E59" s="4"/>
      <c r="F59" s="4"/>
      <c r="G59" s="4"/>
      <c r="H59" s="4"/>
      <c r="I59" s="4"/>
      <c r="J59" s="4"/>
      <c r="K59" s="4">
        <v>0</v>
      </c>
      <c r="L59" s="4">
        <f>0.659-K59</f>
        <v>0.65900000000000003</v>
      </c>
      <c r="M59" s="4"/>
      <c r="N59" s="4"/>
    </row>
    <row r="60" spans="2:20" s="2" customFormat="1" x14ac:dyDescent="0.2">
      <c r="B60" s="2" t="s">
        <v>62</v>
      </c>
      <c r="C60" s="4"/>
      <c r="D60" s="4"/>
      <c r="E60" s="4"/>
      <c r="F60" s="4"/>
      <c r="G60" s="4"/>
      <c r="H60" s="4"/>
      <c r="I60" s="4"/>
      <c r="J60" s="4"/>
      <c r="K60" s="4">
        <v>1.9990000000000001</v>
      </c>
      <c r="L60" s="4">
        <f>9.09-K60</f>
        <v>7.0909999999999993</v>
      </c>
      <c r="M60" s="4"/>
      <c r="N60" s="4"/>
    </row>
    <row r="61" spans="2:20" s="2" customFormat="1" x14ac:dyDescent="0.2">
      <c r="B61" s="2" t="s">
        <v>63</v>
      </c>
      <c r="C61" s="4"/>
      <c r="D61" s="4"/>
      <c r="E61" s="4"/>
      <c r="F61" s="4"/>
      <c r="G61" s="4"/>
      <c r="H61" s="4"/>
      <c r="I61" s="4"/>
      <c r="J61" s="4"/>
      <c r="K61" s="4">
        <f>-17.281+5.6-8.541-20.945+19.957+6.14-33.022</f>
        <v>-48.091999999999999</v>
      </c>
      <c r="L61" s="4">
        <f>1.072+9.75-6.436-33.153+8.151+7.849-46.657-K61</f>
        <v>-11.331999999999994</v>
      </c>
      <c r="M61" s="4"/>
      <c r="N61" s="4"/>
    </row>
    <row r="62" spans="2:20" s="2" customFormat="1" x14ac:dyDescent="0.2">
      <c r="B62" s="2" t="s">
        <v>64</v>
      </c>
      <c r="C62" s="4"/>
      <c r="D62" s="4"/>
      <c r="E62" s="4"/>
      <c r="F62" s="4"/>
      <c r="G62" s="4"/>
      <c r="H62" s="4"/>
      <c r="I62" s="4"/>
      <c r="J62" s="4"/>
      <c r="K62" s="4">
        <f>SUM(K52:K61)</f>
        <v>129.88799999999998</v>
      </c>
      <c r="L62" s="4">
        <f>SUM(L52:L61)</f>
        <v>193.535</v>
      </c>
      <c r="M62" s="4"/>
      <c r="N62" s="4"/>
      <c r="R62" s="2">
        <v>760.79899999999998</v>
      </c>
      <c r="S62" s="2">
        <v>619.64</v>
      </c>
      <c r="T62" s="2">
        <v>683.89800000000002</v>
      </c>
    </row>
    <row r="63" spans="2:20" s="2" customFormat="1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R63" s="2">
        <v>228.77199999999999</v>
      </c>
      <c r="S63" s="2">
        <v>327.733</v>
      </c>
      <c r="T63" s="2">
        <v>318.52800000000002</v>
      </c>
    </row>
    <row r="64" spans="2:20" s="2" customFormat="1" x14ac:dyDescent="0.2">
      <c r="B64" s="2" t="s">
        <v>65</v>
      </c>
      <c r="C64" s="4"/>
      <c r="D64" s="4"/>
      <c r="E64" s="4"/>
      <c r="F64" s="4"/>
      <c r="G64" s="4"/>
      <c r="H64" s="4"/>
      <c r="I64" s="4"/>
      <c r="J64" s="4"/>
      <c r="K64" s="4">
        <v>0</v>
      </c>
      <c r="L64" s="4">
        <f>-5.479-K64</f>
        <v>-5.4790000000000001</v>
      </c>
      <c r="M64" s="4"/>
      <c r="N64" s="4"/>
    </row>
    <row r="65" spans="2:20" s="2" customFormat="1" x14ac:dyDescent="0.2">
      <c r="B65" s="2" t="s">
        <v>66</v>
      </c>
      <c r="C65" s="4"/>
      <c r="D65" s="4"/>
      <c r="E65" s="4"/>
      <c r="F65" s="4"/>
      <c r="G65" s="4"/>
      <c r="H65" s="4"/>
      <c r="I65" s="4"/>
      <c r="J65" s="4"/>
      <c r="K65" s="4">
        <v>-79.144000000000005</v>
      </c>
      <c r="L65" s="4">
        <f>-118.63-K65</f>
        <v>-39.48599999999999</v>
      </c>
      <c r="M65" s="4"/>
      <c r="N65" s="4"/>
    </row>
    <row r="66" spans="2:20" s="2" customFormat="1" x14ac:dyDescent="0.2">
      <c r="B66" s="2" t="s">
        <v>59</v>
      </c>
      <c r="C66" s="4"/>
      <c r="D66" s="4"/>
      <c r="E66" s="4"/>
      <c r="F66" s="4"/>
      <c r="G66" s="4"/>
      <c r="H66" s="4"/>
      <c r="I66" s="4"/>
      <c r="J66" s="4"/>
      <c r="K66" s="4">
        <f>-13.867+7.503-0.283</f>
        <v>-6.6470000000000011</v>
      </c>
      <c r="L66" s="4">
        <f>-35.538+12.359-0.37-K66</f>
        <v>-16.901999999999994</v>
      </c>
      <c r="M66" s="4"/>
      <c r="N66" s="4"/>
    </row>
    <row r="67" spans="2:20" s="2" customFormat="1" x14ac:dyDescent="0.2">
      <c r="B67" s="2" t="s">
        <v>67</v>
      </c>
      <c r="C67" s="4"/>
      <c r="D67" s="4"/>
      <c r="E67" s="4"/>
      <c r="F67" s="4"/>
      <c r="G67" s="4"/>
      <c r="H67" s="4"/>
      <c r="I67" s="4"/>
      <c r="J67" s="4"/>
      <c r="K67" s="4">
        <f>SUM(K64:K66)</f>
        <v>-85.791000000000011</v>
      </c>
      <c r="L67" s="4">
        <f>SUM(L64:L66)</f>
        <v>-61.866999999999983</v>
      </c>
      <c r="M67" s="4"/>
      <c r="N67" s="4"/>
    </row>
    <row r="68" spans="2:20" s="2" customFormat="1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20" s="2" customFormat="1" x14ac:dyDescent="0.2">
      <c r="B69" s="2" t="s">
        <v>4</v>
      </c>
      <c r="C69" s="4"/>
      <c r="D69" s="4"/>
      <c r="E69" s="4"/>
      <c r="F69" s="4"/>
      <c r="G69" s="4"/>
      <c r="H69" s="4"/>
      <c r="I69" s="4"/>
      <c r="J69" s="4"/>
      <c r="K69" s="4">
        <f>300.882-292.482</f>
        <v>8.3999999999999773</v>
      </c>
      <c r="L69" s="4">
        <f>741.2-987.344-K69</f>
        <v>-254.54399999999998</v>
      </c>
      <c r="M69" s="4"/>
      <c r="N69" s="4"/>
    </row>
    <row r="70" spans="2:20" s="2" customFormat="1" x14ac:dyDescent="0.2">
      <c r="B70" s="2" t="s">
        <v>68</v>
      </c>
      <c r="C70" s="4"/>
      <c r="D70" s="4"/>
      <c r="E70" s="4"/>
      <c r="F70" s="4"/>
      <c r="G70" s="4"/>
      <c r="H70" s="4"/>
      <c r="I70" s="4"/>
      <c r="J70" s="4"/>
      <c r="K70" s="4">
        <v>21.504999999999999</v>
      </c>
      <c r="L70" s="4">
        <f>22.331-K70</f>
        <v>0.82600000000000051</v>
      </c>
      <c r="M70" s="4"/>
      <c r="N70" s="4"/>
    </row>
    <row r="71" spans="2:20" s="2" customFormat="1" x14ac:dyDescent="0.2">
      <c r="B71" s="2" t="s">
        <v>69</v>
      </c>
      <c r="C71" s="4"/>
      <c r="D71" s="4"/>
      <c r="E71" s="4"/>
      <c r="F71" s="4"/>
      <c r="G71" s="4"/>
      <c r="H71" s="4"/>
      <c r="I71" s="4"/>
      <c r="J71" s="4"/>
      <c r="K71" s="4">
        <v>-9.3510000000000009</v>
      </c>
      <c r="L71" s="4">
        <f>-18.265-K71</f>
        <v>-8.9139999999999997</v>
      </c>
      <c r="M71" s="4"/>
      <c r="N71" s="4"/>
    </row>
    <row r="72" spans="2:20" s="2" customFormat="1" x14ac:dyDescent="0.2">
      <c r="B72" s="2" t="s">
        <v>70</v>
      </c>
      <c r="C72" s="4"/>
      <c r="D72" s="4"/>
      <c r="E72" s="4"/>
      <c r="F72" s="4"/>
      <c r="G72" s="4"/>
      <c r="H72" s="4"/>
      <c r="I72" s="4"/>
      <c r="J72" s="4"/>
      <c r="K72" s="4">
        <v>0</v>
      </c>
      <c r="L72" s="4">
        <f>-12-K72</f>
        <v>-12</v>
      </c>
      <c r="M72" s="4"/>
      <c r="N72" s="4"/>
    </row>
    <row r="73" spans="2:20" s="2" customFormat="1" x14ac:dyDescent="0.2">
      <c r="B73" s="2" t="s">
        <v>62</v>
      </c>
      <c r="C73" s="4"/>
      <c r="D73" s="4"/>
      <c r="E73" s="4"/>
      <c r="F73" s="4"/>
      <c r="G73" s="4"/>
      <c r="H73" s="4"/>
      <c r="I73" s="4"/>
      <c r="J73" s="4"/>
      <c r="K73" s="4">
        <v>-2.2080000000000002</v>
      </c>
      <c r="L73" s="4">
        <f>-13.434-K73</f>
        <v>-11.225999999999999</v>
      </c>
      <c r="M73" s="4"/>
      <c r="N73" s="4"/>
    </row>
    <row r="74" spans="2:20" s="2" customFormat="1" x14ac:dyDescent="0.2">
      <c r="B74" s="2" t="s">
        <v>71</v>
      </c>
      <c r="C74" s="4"/>
      <c r="D74" s="4"/>
      <c r="E74" s="4"/>
      <c r="F74" s="4"/>
      <c r="G74" s="4"/>
      <c r="H74" s="4"/>
      <c r="I74" s="4"/>
      <c r="J74" s="4"/>
      <c r="K74" s="4">
        <f>SUM(K69:K73)</f>
        <v>18.345999999999975</v>
      </c>
      <c r="L74" s="4">
        <f>SUM(L69:L73)</f>
        <v>-285.858</v>
      </c>
      <c r="M74" s="4"/>
      <c r="N74" s="4"/>
    </row>
    <row r="75" spans="2:20" s="2" customFormat="1" x14ac:dyDescent="0.2">
      <c r="B75" s="2" t="s">
        <v>72</v>
      </c>
      <c r="C75" s="4"/>
      <c r="D75" s="4"/>
      <c r="E75" s="4"/>
      <c r="F75" s="4"/>
      <c r="G75" s="4"/>
      <c r="H75" s="4"/>
      <c r="I75" s="4"/>
      <c r="J75" s="4"/>
      <c r="K75" s="4">
        <v>-8.3870000000000005</v>
      </c>
      <c r="L75" s="4">
        <f>-11.729-K75</f>
        <v>-3.3419999999999987</v>
      </c>
      <c r="M75" s="4"/>
      <c r="N75" s="4"/>
    </row>
    <row r="76" spans="2:20" s="2" customFormat="1" x14ac:dyDescent="0.2">
      <c r="B76" s="2" t="s">
        <v>73</v>
      </c>
      <c r="C76" s="4"/>
      <c r="D76" s="4"/>
      <c r="E76" s="4"/>
      <c r="F76" s="4"/>
      <c r="G76" s="4"/>
      <c r="H76" s="4"/>
      <c r="I76" s="4"/>
      <c r="J76" s="4"/>
      <c r="K76" s="4">
        <f>+K75+K74+K67+K62</f>
        <v>54.055999999999941</v>
      </c>
      <c r="L76" s="4">
        <f>+L75+L74+L67+L62</f>
        <v>-157.53199999999995</v>
      </c>
      <c r="M76" s="4"/>
      <c r="N76" s="4"/>
    </row>
    <row r="78" spans="2:20" x14ac:dyDescent="0.2">
      <c r="R78" s="2">
        <f>+R62-R63</f>
        <v>532.02700000000004</v>
      </c>
      <c r="S78" s="2">
        <f>+S62-S63</f>
        <v>291.90699999999998</v>
      </c>
      <c r="T78" s="2">
        <f>+T62-T63</f>
        <v>365.37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2024-10-01T13:36:29Z</dcterms:created>
  <dcterms:modified xsi:type="dcterms:W3CDTF">2024-10-01T15:52:41Z</dcterms:modified>
</cp:coreProperties>
</file>