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2ED284A-36A6-4554-88A6-8BCF41559A12}" xr6:coauthVersionLast="47" xr6:coauthVersionMax="47" xr10:uidLastSave="{00000000-0000-0000-0000-000000000000}"/>
  <bookViews>
    <workbookView xWindow="-23700" yWindow="360" windowWidth="23625" windowHeight="20160" activeTab="1" xr2:uid="{7A8C064B-01E9-40C1-B2EA-2A3C3C9AE0A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1" i="2" l="1"/>
  <c r="AI20" i="2"/>
  <c r="AH14" i="2"/>
  <c r="AI14" i="2" s="1"/>
  <c r="AG14" i="2"/>
  <c r="V18" i="2"/>
  <c r="W18" i="2"/>
  <c r="X18" i="2"/>
  <c r="Y18" i="2"/>
  <c r="Z18" i="2"/>
  <c r="AA18" i="2"/>
  <c r="AB18" i="2"/>
  <c r="AC18" i="2"/>
  <c r="AD18" i="2"/>
  <c r="AE18" i="2"/>
  <c r="AF18" i="2"/>
  <c r="U18" i="2"/>
  <c r="U8" i="2"/>
  <c r="V8" i="2" s="1"/>
  <c r="U7" i="2"/>
  <c r="U9" i="2" s="1"/>
  <c r="U10" i="2" s="1"/>
  <c r="U12" i="2" s="1"/>
  <c r="U13" i="2" s="1"/>
  <c r="U14" i="2" s="1"/>
  <c r="U15" i="2" s="1"/>
  <c r="V6" i="2"/>
  <c r="W6" i="2" s="1"/>
  <c r="X6" i="2" s="1"/>
  <c r="Y6" i="2" s="1"/>
  <c r="Z6" i="2" s="1"/>
  <c r="AA6" i="2" s="1"/>
  <c r="AB6" i="2" s="1"/>
  <c r="AC6" i="2" s="1"/>
  <c r="AD6" i="2" s="1"/>
  <c r="AE6" i="2" s="1"/>
  <c r="AF6" i="2" s="1"/>
  <c r="U6" i="2"/>
  <c r="V16" i="2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U16" i="2"/>
  <c r="AF5" i="2"/>
  <c r="AE5" i="2"/>
  <c r="AD5" i="2"/>
  <c r="AC5" i="2"/>
  <c r="AB5" i="2"/>
  <c r="AA5" i="2"/>
  <c r="Z5" i="2"/>
  <c r="Y5" i="2"/>
  <c r="X5" i="2"/>
  <c r="W5" i="2"/>
  <c r="V5" i="2"/>
  <c r="U5" i="2"/>
  <c r="T20" i="2"/>
  <c r="S20" i="2"/>
  <c r="R20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U3" i="2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J16" i="2"/>
  <c r="J13" i="2"/>
  <c r="J8" i="2"/>
  <c r="J9" i="2" s="1"/>
  <c r="J7" i="2"/>
  <c r="J6" i="2"/>
  <c r="J4" i="2"/>
  <c r="J3" i="2"/>
  <c r="J5" i="2" s="1"/>
  <c r="E9" i="2"/>
  <c r="I9" i="2"/>
  <c r="I5" i="2"/>
  <c r="I10" i="2" s="1"/>
  <c r="I12" i="2" s="1"/>
  <c r="I14" i="2" s="1"/>
  <c r="I15" i="2" s="1"/>
  <c r="E5" i="2"/>
  <c r="S25" i="2"/>
  <c r="R25" i="2"/>
  <c r="T25" i="2"/>
  <c r="S18" i="2"/>
  <c r="T18" i="2"/>
  <c r="T11" i="2"/>
  <c r="S11" i="2"/>
  <c r="R11" i="2"/>
  <c r="S9" i="2"/>
  <c r="R9" i="2"/>
  <c r="T9" i="2"/>
  <c r="T5" i="2"/>
  <c r="S5" i="2"/>
  <c r="R5" i="2"/>
  <c r="G11" i="2"/>
  <c r="G9" i="2"/>
  <c r="G5" i="2"/>
  <c r="G20" i="2" s="1"/>
  <c r="K18" i="2"/>
  <c r="K13" i="2"/>
  <c r="K11" i="2"/>
  <c r="K9" i="2"/>
  <c r="K5" i="2"/>
  <c r="K20" i="2" s="1"/>
  <c r="L18" i="2"/>
  <c r="H11" i="2"/>
  <c r="L11" i="2"/>
  <c r="H9" i="2"/>
  <c r="H5" i="2"/>
  <c r="H20" i="2" s="1"/>
  <c r="L9" i="2"/>
  <c r="L5" i="2"/>
  <c r="L10" i="2" s="1"/>
  <c r="L12" i="2" s="1"/>
  <c r="L14" i="2" s="1"/>
  <c r="L15" i="2" s="1"/>
  <c r="J7" i="1"/>
  <c r="J6" i="1"/>
  <c r="J5" i="1"/>
  <c r="J4" i="1"/>
  <c r="AJ14" i="2" l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W8" i="2"/>
  <c r="V7" i="2"/>
  <c r="W7" i="2" s="1"/>
  <c r="X7" i="2" s="1"/>
  <c r="Y7" i="2" s="1"/>
  <c r="Z7" i="2" s="1"/>
  <c r="AA7" i="2" s="1"/>
  <c r="AB7" i="2" s="1"/>
  <c r="AC7" i="2" s="1"/>
  <c r="AD7" i="2" s="1"/>
  <c r="AE7" i="2" s="1"/>
  <c r="AF7" i="2" s="1"/>
  <c r="T10" i="2"/>
  <c r="I20" i="2"/>
  <c r="J20" i="2"/>
  <c r="J10" i="2"/>
  <c r="T12" i="2"/>
  <c r="T14" i="2" s="1"/>
  <c r="T15" i="2" s="1"/>
  <c r="J11" i="2"/>
  <c r="L20" i="2"/>
  <c r="E10" i="2"/>
  <c r="E12" i="2" s="1"/>
  <c r="E14" i="2" s="1"/>
  <c r="E15" i="2" s="1"/>
  <c r="R10" i="2"/>
  <c r="R12" i="2" s="1"/>
  <c r="R14" i="2" s="1"/>
  <c r="R15" i="2" s="1"/>
  <c r="S10" i="2"/>
  <c r="S12" i="2" s="1"/>
  <c r="S14" i="2" s="1"/>
  <c r="S15" i="2" s="1"/>
  <c r="G10" i="2"/>
  <c r="G12" i="2" s="1"/>
  <c r="G14" i="2" s="1"/>
  <c r="G15" i="2" s="1"/>
  <c r="K10" i="2"/>
  <c r="K12" i="2" s="1"/>
  <c r="K14" i="2" s="1"/>
  <c r="K15" i="2" s="1"/>
  <c r="H10" i="2"/>
  <c r="H12" i="2" s="1"/>
  <c r="H14" i="2" s="1"/>
  <c r="H15" i="2" s="1"/>
  <c r="X8" i="2" l="1"/>
  <c r="W9" i="2"/>
  <c r="W10" i="2" s="1"/>
  <c r="W12" i="2" s="1"/>
  <c r="V9" i="2"/>
  <c r="V10" i="2" s="1"/>
  <c r="V12" i="2" s="1"/>
  <c r="J12" i="2"/>
  <c r="J14" i="2" s="1"/>
  <c r="J15" i="2" s="1"/>
  <c r="V13" i="2" l="1"/>
  <c r="V14" i="2" s="1"/>
  <c r="V15" i="2" s="1"/>
  <c r="W13" i="2"/>
  <c r="W14" i="2" s="1"/>
  <c r="W15" i="2" s="1"/>
  <c r="X9" i="2"/>
  <c r="X10" i="2" s="1"/>
  <c r="X12" i="2" s="1"/>
  <c r="Y8" i="2"/>
  <c r="Z8" i="2" l="1"/>
  <c r="Y9" i="2"/>
  <c r="Y10" i="2" s="1"/>
  <c r="Y12" i="2" s="1"/>
  <c r="X13" i="2"/>
  <c r="X14" i="2" s="1"/>
  <c r="X15" i="2" s="1"/>
  <c r="Y13" i="2" l="1"/>
  <c r="Y14" i="2"/>
  <c r="Y15" i="2" s="1"/>
  <c r="Z9" i="2"/>
  <c r="Z10" i="2" s="1"/>
  <c r="Z12" i="2" s="1"/>
  <c r="AA8" i="2"/>
  <c r="AA9" i="2" l="1"/>
  <c r="AA10" i="2" s="1"/>
  <c r="AA12" i="2" s="1"/>
  <c r="AA13" i="2" s="1"/>
  <c r="AA14" i="2" s="1"/>
  <c r="AA15" i="2" s="1"/>
  <c r="AB8" i="2"/>
  <c r="Z13" i="2"/>
  <c r="Z14" i="2" s="1"/>
  <c r="Z15" i="2" s="1"/>
  <c r="AB9" i="2" l="1"/>
  <c r="AB10" i="2" s="1"/>
  <c r="AB12" i="2" s="1"/>
  <c r="AC8" i="2"/>
  <c r="AD8" i="2" l="1"/>
  <c r="AC9" i="2"/>
  <c r="AC10" i="2" s="1"/>
  <c r="AC12" i="2" s="1"/>
  <c r="AB13" i="2"/>
  <c r="AB14" i="2"/>
  <c r="AB15" i="2" s="1"/>
  <c r="AC13" i="2" l="1"/>
  <c r="AC14" i="2" s="1"/>
  <c r="AC15" i="2" s="1"/>
  <c r="AE8" i="2"/>
  <c r="AD9" i="2"/>
  <c r="AD10" i="2" s="1"/>
  <c r="AD12" i="2" s="1"/>
  <c r="AD13" i="2" l="1"/>
  <c r="AD14" i="2" s="1"/>
  <c r="AD15" i="2" s="1"/>
  <c r="AF8" i="2"/>
  <c r="AF9" i="2" s="1"/>
  <c r="AF10" i="2" s="1"/>
  <c r="AF12" i="2" s="1"/>
  <c r="AE9" i="2"/>
  <c r="AE10" i="2" s="1"/>
  <c r="AE12" i="2" s="1"/>
  <c r="AE13" i="2" l="1"/>
  <c r="AE14" i="2" s="1"/>
  <c r="AE15" i="2" s="1"/>
  <c r="AF13" i="2"/>
  <c r="AF14" i="2" s="1"/>
  <c r="AF15" i="2" s="1"/>
</calcChain>
</file>

<file path=xl/sharedStrings.xml><?xml version="1.0" encoding="utf-8"?>
<sst xmlns="http://schemas.openxmlformats.org/spreadsheetml/2006/main" count="43" uniqueCount="39">
  <si>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</si>
  <si>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</si>
  <si>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</si>
  <si>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</si>
  <si>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</si>
  <si>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</si>
  <si>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</si>
  <si>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</si>
  <si>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</si>
  <si>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</si>
  <si>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</si>
  <si>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</si>
  <si>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</si>
  <si>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</si>
  <si>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</si>
  <si>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</si>
  <si>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</si>
  <si>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</si>
  <si>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</si>
  <si>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</si>
  <si>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Operating Income</t>
  </si>
  <si>
    <t>Operating Expenses</t>
  </si>
  <si>
    <t>COGS</t>
  </si>
  <si>
    <t>Gross Profit</t>
  </si>
  <si>
    <t>S&amp;M</t>
  </si>
  <si>
    <t>PD</t>
  </si>
  <si>
    <t>G&amp;A</t>
  </si>
  <si>
    <t>EPS</t>
  </si>
  <si>
    <t>Net Income</t>
  </si>
  <si>
    <t>Taxes</t>
  </si>
  <si>
    <t>Pretax Income</t>
  </si>
  <si>
    <t>Interest Income</t>
  </si>
  <si>
    <t>Revenue y/y</t>
  </si>
  <si>
    <t>Founded</t>
  </si>
  <si>
    <t>Gross Margin</t>
  </si>
  <si>
    <t>Terminal</t>
  </si>
  <si>
    <t>Discount</t>
  </si>
  <si>
    <t>NPV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</si>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</sst>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/>
    <xf numFmtId="9" fontId="0" fillId="0" borderId="0" xfId="0" applyNumberFormat="1"/>
    <xf numFmtId="3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D43ABBB-76AE-4239-90BA-8416140BF8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20053</xdr:colOff>
      <xdr:row>0</xdr:row>
      <xdr:rowOff>35092</xdr:rowOff>
    </xdr:from>
    <xdr:to>
      <xdr:col>12</xdr:col>
      <xdr:colOff>20053</xdr:colOff>
      <xdr:row>35</xdr:row>
      <xdr:rowOff>35092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D9DD8E2-A4AE-61FC-DA50-68154B52AA6B}"/>
            </a:ext>
          </a:extLst>
        </xdr:cNvPr>
        <xdr:cNvCxnSpPr/>
      </xdr:nvCxnSpPr>
      <xdr:spPr>
        <a:xfrm>
          <a:off x="7680158" y="35092"/>
          <a:ext cx="0" cy="56147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8309-1B6A-49A7-AE04-422F914EDB68}">
  <dimension ref="I2:K9"/>
  <sheetViews>
    <sheetView zoomScale="175" zoomScaleNormal="175" workbookViewId="0">
      <selection activeCell="I10" sqref="I10"/>
    </sheetView>
  </sheetViews>
  <sheetFormatPr defaultRowHeight="12.75" x14ac:dyDescent="0.2"/>
  <sheetData>
    <row r="2" spans="9:11" x14ac:dyDescent="0.2">
      <c r="I2" t="s">
        <v>0</v>
      </c>
      <c r="J2">
        <v>66.66</v>
      </c>
    </row>
    <row r="3" spans="9:11" x14ac:dyDescent="0.2">
      <c r="I3" t="s">
        <v>1</v>
      </c>
      <c r="J3" s="1">
        <v>489</v>
      </c>
      <c r="K3" s="2" t="s">
        <v>6</v>
      </c>
    </row>
    <row r="4" spans="9:11" x14ac:dyDescent="0.2">
      <c r="I4" t="s">
        <v>2</v>
      </c>
      <c r="J4" s="1">
        <f>+J2*J3</f>
        <v>32596.739999999998</v>
      </c>
    </row>
    <row r="5" spans="9:11" x14ac:dyDescent="0.2">
      <c r="I5" t="s">
        <v>3</v>
      </c>
      <c r="J5" s="1">
        <f>1963+3203+1910+1722</f>
        <v>8798</v>
      </c>
      <c r="K5" s="2" t="s">
        <v>6</v>
      </c>
    </row>
    <row r="6" spans="9:11" x14ac:dyDescent="0.2">
      <c r="I6" t="s">
        <v>4</v>
      </c>
      <c r="J6" s="1">
        <f>1551+6174</f>
        <v>7725</v>
      </c>
      <c r="K6" s="2" t="s">
        <v>6</v>
      </c>
    </row>
    <row r="7" spans="9:11" x14ac:dyDescent="0.2">
      <c r="I7" t="s">
        <v>5</v>
      </c>
      <c r="J7" s="1">
        <f>+J4-J5+J6</f>
        <v>31523.739999999998</v>
      </c>
    </row>
    <row r="9" spans="9:11" x14ac:dyDescent="0.2">
      <c r="I9" t="s">
        <v>33</v>
      </c>
      <c r="J9">
        <v>1995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41EA-7772-4160-9477-89E06535EB4A}">
  <dimension ref="A1:BW25"/>
  <sheetViews>
    <sheetView tabSelected="1" zoomScale="190" zoomScaleNormal="190" workbookViewId="0">
      <pane xSplit="2" ySplit="2" topLeftCell="AE3" activePane="bottomRight" state="frozen"/>
      <selection pane="topRight" activeCell="C1" sqref="C1"/>
      <selection pane="bottomLeft" activeCell="A3" sqref="A3"/>
      <selection pane="bottomRight" activeCell="AI21" sqref="AI21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2"/>
    <col min="35" max="35" width="11" bestFit="1" customWidth="1"/>
  </cols>
  <sheetData>
    <row r="1" spans="1:75" x14ac:dyDescent="0.2">
      <c r="A1" t="s">
        <v>7</v>
      </c>
    </row>
    <row r="2" spans="1:75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6</v>
      </c>
      <c r="M2" s="2" t="s">
        <v>18</v>
      </c>
      <c r="N2" s="2" t="s">
        <v>19</v>
      </c>
      <c r="P2">
        <v>2019</v>
      </c>
      <c r="Q2">
        <v>2020</v>
      </c>
      <c r="R2">
        <v>2021</v>
      </c>
      <c r="S2">
        <v>2022</v>
      </c>
      <c r="T2">
        <v>2023</v>
      </c>
      <c r="U2">
        <v>2024</v>
      </c>
      <c r="V2">
        <f>+U2+1</f>
        <v>2025</v>
      </c>
      <c r="W2">
        <f t="shared" ref="W2:AF2" si="0">+V2+1</f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  <c r="AB2">
        <f t="shared" si="0"/>
        <v>2031</v>
      </c>
      <c r="AC2">
        <f t="shared" si="0"/>
        <v>2032</v>
      </c>
      <c r="AD2">
        <f t="shared" si="0"/>
        <v>2033</v>
      </c>
      <c r="AE2">
        <f t="shared" si="0"/>
        <v>2034</v>
      </c>
      <c r="AF2">
        <f t="shared" si="0"/>
        <v>2035</v>
      </c>
    </row>
    <row r="3" spans="1:75" s="5" customFormat="1" x14ac:dyDescent="0.2">
      <c r="B3" s="5" t="s">
        <v>8</v>
      </c>
      <c r="C3" s="6"/>
      <c r="D3" s="6"/>
      <c r="E3" s="6">
        <v>2380</v>
      </c>
      <c r="F3" s="6"/>
      <c r="G3" s="6">
        <v>2510</v>
      </c>
      <c r="H3" s="6">
        <v>2540</v>
      </c>
      <c r="I3" s="6">
        <v>2500</v>
      </c>
      <c r="J3" s="6">
        <f>+T3-I3-H3-G3</f>
        <v>2562</v>
      </c>
      <c r="K3" s="6">
        <v>2556</v>
      </c>
      <c r="L3" s="6">
        <v>2572</v>
      </c>
      <c r="M3" s="6"/>
      <c r="N3" s="6"/>
      <c r="R3" s="5">
        <v>10420</v>
      </c>
      <c r="S3" s="5">
        <v>9795</v>
      </c>
      <c r="T3" s="5">
        <v>10112</v>
      </c>
      <c r="U3" s="5">
        <f>+T3*0.98</f>
        <v>9909.76</v>
      </c>
      <c r="V3" s="5">
        <f t="shared" ref="V3:AF3" si="1">+U3*0.98</f>
        <v>9711.5648000000001</v>
      </c>
      <c r="W3" s="5">
        <f t="shared" si="1"/>
        <v>9517.3335040000002</v>
      </c>
      <c r="X3" s="5">
        <f t="shared" si="1"/>
        <v>9326.9868339200002</v>
      </c>
      <c r="Y3" s="5">
        <f t="shared" si="1"/>
        <v>9140.4470972416002</v>
      </c>
      <c r="Z3" s="5">
        <f t="shared" si="1"/>
        <v>8957.6381552967687</v>
      </c>
      <c r="AA3" s="5">
        <f t="shared" si="1"/>
        <v>8778.4853921908325</v>
      </c>
      <c r="AB3" s="5">
        <f t="shared" si="1"/>
        <v>8602.9156843470155</v>
      </c>
      <c r="AC3" s="5">
        <f t="shared" si="1"/>
        <v>8430.8573706600746</v>
      </c>
      <c r="AD3" s="5">
        <f t="shared" si="1"/>
        <v>8262.2402232468721</v>
      </c>
      <c r="AE3" s="5">
        <f t="shared" si="1"/>
        <v>8096.9954187819349</v>
      </c>
      <c r="AF3" s="5">
        <f t="shared" si="1"/>
        <v>7935.055510406296</v>
      </c>
    </row>
    <row r="4" spans="1:75" s="1" customFormat="1" x14ac:dyDescent="0.2">
      <c r="B4" s="1" t="s">
        <v>22</v>
      </c>
      <c r="C4" s="4"/>
      <c r="D4" s="4"/>
      <c r="E4" s="4">
        <v>647</v>
      </c>
      <c r="F4" s="4"/>
      <c r="G4" s="4">
        <v>700</v>
      </c>
      <c r="H4" s="4">
        <v>718</v>
      </c>
      <c r="I4" s="4">
        <v>705</v>
      </c>
      <c r="J4" s="10">
        <f>+T4-I4-H4-G4</f>
        <v>710</v>
      </c>
      <c r="K4" s="4">
        <v>700</v>
      </c>
      <c r="L4" s="4">
        <v>735</v>
      </c>
      <c r="M4" s="4"/>
      <c r="N4" s="4"/>
      <c r="R4" s="1">
        <v>2650</v>
      </c>
      <c r="S4" s="1">
        <v>2680</v>
      </c>
      <c r="T4" s="1">
        <v>2833</v>
      </c>
    </row>
    <row r="5" spans="1:75" s="1" customFormat="1" x14ac:dyDescent="0.2">
      <c r="B5" s="1" t="s">
        <v>23</v>
      </c>
      <c r="C5" s="4"/>
      <c r="D5" s="4"/>
      <c r="E5" s="4">
        <f>+E3-E4</f>
        <v>1733</v>
      </c>
      <c r="F5" s="4"/>
      <c r="G5" s="4">
        <f>+G3-G4</f>
        <v>1810</v>
      </c>
      <c r="H5" s="4">
        <f>+H3-H4</f>
        <v>1822</v>
      </c>
      <c r="I5" s="4">
        <f>+I3-I4</f>
        <v>1795</v>
      </c>
      <c r="J5" s="4">
        <f>+J3-J4</f>
        <v>1852</v>
      </c>
      <c r="K5" s="4">
        <f>+K3-K4</f>
        <v>1856</v>
      </c>
      <c r="L5" s="4">
        <f>+L3-L4</f>
        <v>1837</v>
      </c>
      <c r="M5" s="4"/>
      <c r="N5" s="4"/>
      <c r="R5" s="1">
        <f>+R3-R4</f>
        <v>7770</v>
      </c>
      <c r="S5" s="1">
        <f>+S3-S4</f>
        <v>7115</v>
      </c>
      <c r="T5" s="1">
        <f>+T3-T4</f>
        <v>7279</v>
      </c>
      <c r="U5" s="1">
        <f>+U3*0.7</f>
        <v>6936.8319999999994</v>
      </c>
      <c r="V5" s="1">
        <f>+V3*0.69</f>
        <v>6700.9797119999994</v>
      </c>
      <c r="W5" s="1">
        <f>+W3*0.69</f>
        <v>6566.9601177599998</v>
      </c>
      <c r="X5" s="1">
        <f>+X3*0.68</f>
        <v>6342.3510470656011</v>
      </c>
      <c r="Y5" s="1">
        <f>+Y3*0.68</f>
        <v>6215.5040261242884</v>
      </c>
      <c r="Z5" s="1">
        <f>+Z3*0.67</f>
        <v>6001.6175640488354</v>
      </c>
      <c r="AA5" s="1">
        <f>+AA3*0.67</f>
        <v>5881.5852127678581</v>
      </c>
      <c r="AB5" s="1">
        <f>+AB3*0.66</f>
        <v>5677.9243516690303</v>
      </c>
      <c r="AC5" s="1">
        <f>+AC3*0.66</f>
        <v>5564.3658646356498</v>
      </c>
      <c r="AD5" s="1">
        <f>+AD3*0.65</f>
        <v>5370.4561451104673</v>
      </c>
      <c r="AE5" s="1">
        <f>+AE3*0.65</f>
        <v>5263.0470222082577</v>
      </c>
      <c r="AF5" s="1">
        <f>+AF3*0.64</f>
        <v>5078.4355266600296</v>
      </c>
    </row>
    <row r="6" spans="1:75" s="1" customFormat="1" x14ac:dyDescent="0.2">
      <c r="B6" s="1" t="s">
        <v>24</v>
      </c>
      <c r="C6" s="4"/>
      <c r="D6" s="4"/>
      <c r="E6" s="4">
        <v>538</v>
      </c>
      <c r="F6" s="4"/>
      <c r="G6" s="4">
        <v>511</v>
      </c>
      <c r="H6" s="4">
        <v>566</v>
      </c>
      <c r="I6" s="4">
        <v>567</v>
      </c>
      <c r="J6" s="10">
        <f t="shared" ref="J6:J8" si="2">+T6-I6-H6-G6</f>
        <v>573</v>
      </c>
      <c r="K6" s="4">
        <v>541</v>
      </c>
      <c r="L6" s="4">
        <v>577</v>
      </c>
      <c r="M6" s="4"/>
      <c r="N6" s="4"/>
      <c r="R6" s="1">
        <v>2170</v>
      </c>
      <c r="S6" s="1">
        <v>2136</v>
      </c>
      <c r="T6" s="1">
        <v>2217</v>
      </c>
      <c r="U6" s="1">
        <f>+T6*0.95</f>
        <v>2106.15</v>
      </c>
      <c r="V6" s="1">
        <f t="shared" ref="V6:AF6" si="3">+U6*0.95</f>
        <v>2000.8425</v>
      </c>
      <c r="W6" s="1">
        <f t="shared" si="3"/>
        <v>1900.8003749999998</v>
      </c>
      <c r="X6" s="1">
        <f t="shared" si="3"/>
        <v>1805.7603562499996</v>
      </c>
      <c r="Y6" s="1">
        <f t="shared" si="3"/>
        <v>1715.4723384374995</v>
      </c>
      <c r="Z6" s="1">
        <f t="shared" si="3"/>
        <v>1629.6987215156244</v>
      </c>
      <c r="AA6" s="1">
        <f t="shared" si="3"/>
        <v>1548.2137854398432</v>
      </c>
      <c r="AB6" s="1">
        <f t="shared" si="3"/>
        <v>1470.803096167851</v>
      </c>
      <c r="AC6" s="1">
        <f t="shared" si="3"/>
        <v>1397.2629413594584</v>
      </c>
      <c r="AD6" s="1">
        <f t="shared" si="3"/>
        <v>1327.3997942914855</v>
      </c>
      <c r="AE6" s="1">
        <f t="shared" si="3"/>
        <v>1261.0298045769111</v>
      </c>
      <c r="AF6" s="1">
        <f t="shared" si="3"/>
        <v>1197.9783143480656</v>
      </c>
    </row>
    <row r="7" spans="1:75" s="1" customFormat="1" x14ac:dyDescent="0.2">
      <c r="B7" s="1" t="s">
        <v>25</v>
      </c>
      <c r="C7" s="4"/>
      <c r="D7" s="4"/>
      <c r="E7" s="4">
        <v>345</v>
      </c>
      <c r="F7" s="4"/>
      <c r="G7" s="4">
        <v>352</v>
      </c>
      <c r="H7" s="4">
        <v>392</v>
      </c>
      <c r="I7" s="4">
        <v>401</v>
      </c>
      <c r="J7" s="10">
        <f t="shared" si="2"/>
        <v>399</v>
      </c>
      <c r="K7" s="4">
        <v>351</v>
      </c>
      <c r="L7" s="4">
        <v>379</v>
      </c>
      <c r="M7" s="4"/>
      <c r="N7" s="4"/>
      <c r="R7" s="1">
        <v>1325</v>
      </c>
      <c r="S7" s="1">
        <v>1330</v>
      </c>
      <c r="T7" s="1">
        <v>1544</v>
      </c>
      <c r="U7" s="1">
        <f t="shared" ref="U7:AF7" si="4">+T7*0.95</f>
        <v>1466.8</v>
      </c>
      <c r="V7" s="1">
        <f t="shared" si="4"/>
        <v>1393.4599999999998</v>
      </c>
      <c r="W7" s="1">
        <f t="shared" si="4"/>
        <v>1323.7869999999998</v>
      </c>
      <c r="X7" s="1">
        <f t="shared" si="4"/>
        <v>1257.5976499999997</v>
      </c>
      <c r="Y7" s="1">
        <f t="shared" si="4"/>
        <v>1194.7177674999996</v>
      </c>
      <c r="Z7" s="1">
        <f t="shared" si="4"/>
        <v>1134.9818791249995</v>
      </c>
      <c r="AA7" s="1">
        <f t="shared" si="4"/>
        <v>1078.2327851687494</v>
      </c>
      <c r="AB7" s="1">
        <f t="shared" si="4"/>
        <v>1024.3211459103118</v>
      </c>
      <c r="AC7" s="1">
        <f t="shared" si="4"/>
        <v>973.10508861479616</v>
      </c>
      <c r="AD7" s="1">
        <f t="shared" si="4"/>
        <v>924.44983418405627</v>
      </c>
      <c r="AE7" s="1">
        <f t="shared" si="4"/>
        <v>878.22734247485346</v>
      </c>
      <c r="AF7" s="1">
        <f t="shared" si="4"/>
        <v>834.31597535111075</v>
      </c>
    </row>
    <row r="8" spans="1:75" s="1" customFormat="1" x14ac:dyDescent="0.2">
      <c r="B8" s="1" t="s">
        <v>26</v>
      </c>
      <c r="C8" s="4"/>
      <c r="D8" s="4"/>
      <c r="E8" s="4">
        <v>212</v>
      </c>
      <c r="F8" s="4"/>
      <c r="G8" s="4">
        <v>297</v>
      </c>
      <c r="H8" s="4">
        <v>251</v>
      </c>
      <c r="I8" s="4">
        <v>283</v>
      </c>
      <c r="J8" s="10">
        <f t="shared" si="2"/>
        <v>365</v>
      </c>
      <c r="K8" s="4">
        <v>238</v>
      </c>
      <c r="L8" s="4">
        <v>241</v>
      </c>
      <c r="M8" s="4"/>
      <c r="N8" s="4"/>
      <c r="R8" s="1">
        <v>921</v>
      </c>
      <c r="S8" s="1">
        <v>963</v>
      </c>
      <c r="T8" s="1">
        <v>1196</v>
      </c>
      <c r="U8" s="1">
        <f t="shared" ref="U8:AF8" si="5">+T8*0.95</f>
        <v>1136.2</v>
      </c>
      <c r="V8" s="1">
        <f t="shared" si="5"/>
        <v>1079.3900000000001</v>
      </c>
      <c r="W8" s="1">
        <f t="shared" si="5"/>
        <v>1025.4204999999999</v>
      </c>
      <c r="X8" s="1">
        <f t="shared" si="5"/>
        <v>974.14947499999994</v>
      </c>
      <c r="Y8" s="1">
        <f t="shared" si="5"/>
        <v>925.44200124999986</v>
      </c>
      <c r="Z8" s="1">
        <f t="shared" si="5"/>
        <v>879.16990118749982</v>
      </c>
      <c r="AA8" s="1">
        <f t="shared" si="5"/>
        <v>835.21140612812474</v>
      </c>
      <c r="AB8" s="1">
        <f t="shared" si="5"/>
        <v>793.45083582171844</v>
      </c>
      <c r="AC8" s="1">
        <f t="shared" si="5"/>
        <v>753.77829403063254</v>
      </c>
      <c r="AD8" s="1">
        <f t="shared" si="5"/>
        <v>716.08937932910089</v>
      </c>
      <c r="AE8" s="1">
        <f t="shared" si="5"/>
        <v>680.28491036264586</v>
      </c>
      <c r="AF8" s="1">
        <f t="shared" si="5"/>
        <v>646.27066484451359</v>
      </c>
    </row>
    <row r="9" spans="1:75" s="1" customFormat="1" x14ac:dyDescent="0.2">
      <c r="B9" s="1" t="s">
        <v>21</v>
      </c>
      <c r="C9" s="4"/>
      <c r="D9" s="4"/>
      <c r="E9" s="4">
        <f>+E8+E7+E6</f>
        <v>1095</v>
      </c>
      <c r="F9" s="4"/>
      <c r="G9" s="4">
        <f>+G8+G7+G6</f>
        <v>1160</v>
      </c>
      <c r="H9" s="4">
        <f>+H8+H7+H6</f>
        <v>1209</v>
      </c>
      <c r="I9" s="4">
        <f>+I8+I7+I6</f>
        <v>1251</v>
      </c>
      <c r="J9" s="4">
        <f>+J8+J7+J6</f>
        <v>1337</v>
      </c>
      <c r="K9" s="4">
        <f>+K8+K7+K6</f>
        <v>1130</v>
      </c>
      <c r="L9" s="4">
        <f>+L8+L7+L6</f>
        <v>1197</v>
      </c>
      <c r="M9" s="4"/>
      <c r="N9" s="4"/>
      <c r="R9" s="1">
        <f t="shared" ref="R9:S9" si="6">+R8+R7+R6</f>
        <v>4416</v>
      </c>
      <c r="S9" s="1">
        <f t="shared" si="6"/>
        <v>4429</v>
      </c>
      <c r="T9" s="1">
        <f>+T8+T7+T6</f>
        <v>4957</v>
      </c>
      <c r="U9" s="1">
        <f t="shared" ref="U9:AF9" si="7">+U8+U7+U6</f>
        <v>4709.1499999999996</v>
      </c>
      <c r="V9" s="1">
        <f t="shared" si="7"/>
        <v>4473.6925000000001</v>
      </c>
      <c r="W9" s="1">
        <f t="shared" si="7"/>
        <v>4250.0078749999993</v>
      </c>
      <c r="X9" s="1">
        <f t="shared" si="7"/>
        <v>4037.5074812499997</v>
      </c>
      <c r="Y9" s="1">
        <f t="shared" si="7"/>
        <v>3835.6321071874991</v>
      </c>
      <c r="Z9" s="1">
        <f t="shared" si="7"/>
        <v>3643.8505018281239</v>
      </c>
      <c r="AA9" s="1">
        <f t="shared" si="7"/>
        <v>3461.6579767367175</v>
      </c>
      <c r="AB9" s="1">
        <f t="shared" si="7"/>
        <v>3288.5750778998813</v>
      </c>
      <c r="AC9" s="1">
        <f t="shared" si="7"/>
        <v>3124.146324004887</v>
      </c>
      <c r="AD9" s="1">
        <f t="shared" si="7"/>
        <v>2967.9390078046426</v>
      </c>
      <c r="AE9" s="1">
        <f t="shared" si="7"/>
        <v>2819.5420574144105</v>
      </c>
      <c r="AF9" s="1">
        <f t="shared" si="7"/>
        <v>2678.56495454369</v>
      </c>
    </row>
    <row r="10" spans="1:75" s="1" customFormat="1" x14ac:dyDescent="0.2">
      <c r="B10" s="1" t="s">
        <v>20</v>
      </c>
      <c r="C10" s="4"/>
      <c r="D10" s="4"/>
      <c r="E10" s="4">
        <f>+E5-E9</f>
        <v>638</v>
      </c>
      <c r="F10" s="4"/>
      <c r="G10" s="4">
        <f>+G5-G9</f>
        <v>650</v>
      </c>
      <c r="H10" s="4">
        <f>+H5-H9</f>
        <v>613</v>
      </c>
      <c r="I10" s="4">
        <f>+I5-I9</f>
        <v>544</v>
      </c>
      <c r="J10" s="4">
        <f>+J5-J9</f>
        <v>515</v>
      </c>
      <c r="K10" s="4">
        <f>+K5-K9</f>
        <v>726</v>
      </c>
      <c r="L10" s="4">
        <f>+L5-L9</f>
        <v>640</v>
      </c>
      <c r="M10" s="4"/>
      <c r="N10" s="4"/>
      <c r="R10" s="1">
        <f t="shared" ref="R10:S10" si="8">+R5-R9</f>
        <v>3354</v>
      </c>
      <c r="S10" s="1">
        <f t="shared" si="8"/>
        <v>2686</v>
      </c>
      <c r="T10" s="1">
        <f>+T5-T9</f>
        <v>2322</v>
      </c>
      <c r="U10" s="1">
        <f t="shared" ref="U10:AF10" si="9">+U5-U9</f>
        <v>2227.6819999999998</v>
      </c>
      <c r="V10" s="1">
        <f t="shared" si="9"/>
        <v>2227.2872119999993</v>
      </c>
      <c r="W10" s="1">
        <f t="shared" si="9"/>
        <v>2316.9522427600004</v>
      </c>
      <c r="X10" s="1">
        <f t="shared" si="9"/>
        <v>2304.8435658156013</v>
      </c>
      <c r="Y10" s="1">
        <f t="shared" si="9"/>
        <v>2379.8719189367894</v>
      </c>
      <c r="Z10" s="1">
        <f t="shared" si="9"/>
        <v>2357.7670622207115</v>
      </c>
      <c r="AA10" s="1">
        <f t="shared" si="9"/>
        <v>2419.9272360311406</v>
      </c>
      <c r="AB10" s="1">
        <f t="shared" si="9"/>
        <v>2389.349273769149</v>
      </c>
      <c r="AC10" s="1">
        <f t="shared" si="9"/>
        <v>2440.2195406307628</v>
      </c>
      <c r="AD10" s="1">
        <f t="shared" si="9"/>
        <v>2402.5171373058247</v>
      </c>
      <c r="AE10" s="1">
        <f t="shared" si="9"/>
        <v>2443.5049647938472</v>
      </c>
      <c r="AF10" s="1">
        <f t="shared" si="9"/>
        <v>2399.8705721163396</v>
      </c>
    </row>
    <row r="11" spans="1:75" s="1" customFormat="1" x14ac:dyDescent="0.2">
      <c r="B11" s="1" t="s">
        <v>31</v>
      </c>
      <c r="C11" s="4"/>
      <c r="D11" s="4"/>
      <c r="E11" s="4">
        <v>-29</v>
      </c>
      <c r="F11" s="4"/>
      <c r="G11" s="4">
        <f>-68+42</f>
        <v>-26</v>
      </c>
      <c r="H11" s="4">
        <f>-65+46</f>
        <v>-19</v>
      </c>
      <c r="I11" s="4">
        <v>-6</v>
      </c>
      <c r="J11" s="10">
        <f t="shared" ref="J11" si="10">+T11-I11-H11-G11</f>
        <v>-15</v>
      </c>
      <c r="K11" s="4">
        <f>-66+68</f>
        <v>2</v>
      </c>
      <c r="L11" s="4">
        <f>-65+66</f>
        <v>1</v>
      </c>
      <c r="M11" s="4"/>
      <c r="N11" s="4"/>
      <c r="R11" s="1">
        <f>-269+109</f>
        <v>-160</v>
      </c>
      <c r="S11" s="1">
        <f>-235+70</f>
        <v>-165</v>
      </c>
      <c r="T11" s="1">
        <f>-263+197</f>
        <v>-66</v>
      </c>
    </row>
    <row r="12" spans="1:75" s="1" customFormat="1" x14ac:dyDescent="0.2">
      <c r="B12" s="1" t="s">
        <v>30</v>
      </c>
      <c r="C12" s="4"/>
      <c r="D12" s="4"/>
      <c r="E12" s="4">
        <f>E10+E11</f>
        <v>609</v>
      </c>
      <c r="F12" s="4"/>
      <c r="G12" s="4">
        <f>G10+G11</f>
        <v>624</v>
      </c>
      <c r="H12" s="4">
        <f>H10+H11</f>
        <v>594</v>
      </c>
      <c r="I12" s="4">
        <f t="shared" ref="I12:L12" si="11">I10+I11</f>
        <v>538</v>
      </c>
      <c r="J12" s="4">
        <f t="shared" si="11"/>
        <v>500</v>
      </c>
      <c r="K12" s="4">
        <f t="shared" si="11"/>
        <v>728</v>
      </c>
      <c r="L12" s="4">
        <f t="shared" si="11"/>
        <v>641</v>
      </c>
      <c r="M12" s="4"/>
      <c r="N12" s="4"/>
      <c r="R12" s="1">
        <f>+R10+R11</f>
        <v>3194</v>
      </c>
      <c r="S12" s="1">
        <f t="shared" ref="S12:T12" si="12">+S10+S11</f>
        <v>2521</v>
      </c>
      <c r="T12" s="1">
        <f t="shared" si="12"/>
        <v>2256</v>
      </c>
      <c r="U12" s="1">
        <f t="shared" ref="U12" si="13">+U10+U11</f>
        <v>2227.6819999999998</v>
      </c>
      <c r="V12" s="1">
        <f t="shared" ref="V12" si="14">+V10+V11</f>
        <v>2227.2872119999993</v>
      </c>
      <c r="W12" s="1">
        <f t="shared" ref="W12" si="15">+W10+W11</f>
        <v>2316.9522427600004</v>
      </c>
      <c r="X12" s="1">
        <f t="shared" ref="X12" si="16">+X10+X11</f>
        <v>2304.8435658156013</v>
      </c>
      <c r="Y12" s="1">
        <f t="shared" ref="Y12" si="17">+Y10+Y11</f>
        <v>2379.8719189367894</v>
      </c>
      <c r="Z12" s="1">
        <f t="shared" ref="Z12" si="18">+Z10+Z11</f>
        <v>2357.7670622207115</v>
      </c>
      <c r="AA12" s="1">
        <f t="shared" ref="AA12" si="19">+AA10+AA11</f>
        <v>2419.9272360311406</v>
      </c>
      <c r="AB12" s="1">
        <f t="shared" ref="AB12" si="20">+AB10+AB11</f>
        <v>2389.349273769149</v>
      </c>
      <c r="AC12" s="1">
        <f t="shared" ref="AC12" si="21">+AC10+AC11</f>
        <v>2440.2195406307628</v>
      </c>
      <c r="AD12" s="1">
        <f t="shared" ref="AD12" si="22">+AD10+AD11</f>
        <v>2402.5171373058247</v>
      </c>
      <c r="AE12" s="1">
        <f t="shared" ref="AE12" si="23">+AE10+AE11</f>
        <v>2443.5049647938472</v>
      </c>
      <c r="AF12" s="1">
        <f t="shared" ref="AF12" si="24">+AF10+AF11</f>
        <v>2399.8705721163396</v>
      </c>
    </row>
    <row r="13" spans="1:75" s="1" customFormat="1" x14ac:dyDescent="0.2">
      <c r="B13" s="1" t="s">
        <v>29</v>
      </c>
      <c r="C13" s="4"/>
      <c r="D13" s="4"/>
      <c r="E13" s="4">
        <v>16</v>
      </c>
      <c r="F13" s="4"/>
      <c r="G13" s="4">
        <v>161</v>
      </c>
      <c r="H13" s="4">
        <v>113</v>
      </c>
      <c r="I13" s="4">
        <v>355</v>
      </c>
      <c r="J13" s="10">
        <f t="shared" ref="J13" si="25">+T13-I13-H13-G13</f>
        <v>303</v>
      </c>
      <c r="K13" s="4">
        <f>97+1</f>
        <v>98</v>
      </c>
      <c r="L13" s="4">
        <v>102</v>
      </c>
      <c r="M13" s="4"/>
      <c r="N13" s="4"/>
      <c r="R13" s="1">
        <v>146</v>
      </c>
      <c r="S13" s="1">
        <v>0</v>
      </c>
      <c r="T13" s="1">
        <v>932</v>
      </c>
      <c r="U13" s="1">
        <f>+U12*0.15</f>
        <v>334.15229999999997</v>
      </c>
      <c r="V13" s="1">
        <f t="shared" ref="V13:AF13" si="26">+V12*0.15</f>
        <v>334.09308179999988</v>
      </c>
      <c r="W13" s="1">
        <f t="shared" si="26"/>
        <v>347.54283641400008</v>
      </c>
      <c r="X13" s="1">
        <f t="shared" si="26"/>
        <v>345.72653487234021</v>
      </c>
      <c r="Y13" s="1">
        <f t="shared" si="26"/>
        <v>356.98078784051842</v>
      </c>
      <c r="Z13" s="1">
        <f t="shared" si="26"/>
        <v>353.66505933310674</v>
      </c>
      <c r="AA13" s="1">
        <f t="shared" si="26"/>
        <v>362.98908540467107</v>
      </c>
      <c r="AB13" s="1">
        <f t="shared" si="26"/>
        <v>358.40239106537234</v>
      </c>
      <c r="AC13" s="1">
        <f t="shared" si="26"/>
        <v>366.03293109461441</v>
      </c>
      <c r="AD13" s="1">
        <f t="shared" si="26"/>
        <v>360.37757059587369</v>
      </c>
      <c r="AE13" s="1">
        <f t="shared" si="26"/>
        <v>366.52574471907707</v>
      </c>
      <c r="AF13" s="1">
        <f t="shared" si="26"/>
        <v>359.98058581745096</v>
      </c>
    </row>
    <row r="14" spans="1:75" s="1" customFormat="1" x14ac:dyDescent="0.2">
      <c r="B14" s="1" t="s">
        <v>28</v>
      </c>
      <c r="C14" s="4"/>
      <c r="D14" s="4"/>
      <c r="E14" s="4">
        <f>+E12-E13</f>
        <v>593</v>
      </c>
      <c r="F14" s="4"/>
      <c r="G14" s="4">
        <f>+G12-G13</f>
        <v>463</v>
      </c>
      <c r="H14" s="4">
        <f>+H12-H13</f>
        <v>481</v>
      </c>
      <c r="I14" s="4">
        <f t="shared" ref="I14:L14" si="27">+I12-I13</f>
        <v>183</v>
      </c>
      <c r="J14" s="4">
        <f t="shared" si="27"/>
        <v>197</v>
      </c>
      <c r="K14" s="4">
        <f t="shared" si="27"/>
        <v>630</v>
      </c>
      <c r="L14" s="4">
        <f t="shared" si="27"/>
        <v>539</v>
      </c>
      <c r="M14" s="4"/>
      <c r="N14" s="4"/>
      <c r="R14" s="1">
        <f>+R12-R13</f>
        <v>3048</v>
      </c>
      <c r="S14" s="1">
        <f>+S12-S13</f>
        <v>2521</v>
      </c>
      <c r="T14" s="1">
        <f>+T12-T13</f>
        <v>1324</v>
      </c>
      <c r="U14" s="1">
        <f t="shared" ref="U14:AF14" si="28">+U12-U13</f>
        <v>1893.5296999999998</v>
      </c>
      <c r="V14" s="1">
        <f t="shared" si="28"/>
        <v>1893.1941301999993</v>
      </c>
      <c r="W14" s="1">
        <f t="shared" si="28"/>
        <v>1969.4094063460004</v>
      </c>
      <c r="X14" s="1">
        <f t="shared" si="28"/>
        <v>1959.1170309432612</v>
      </c>
      <c r="Y14" s="1">
        <f t="shared" si="28"/>
        <v>2022.891131096271</v>
      </c>
      <c r="Z14" s="1">
        <f t="shared" si="28"/>
        <v>2004.1020028876048</v>
      </c>
      <c r="AA14" s="1">
        <f t="shared" si="28"/>
        <v>2056.9381506264695</v>
      </c>
      <c r="AB14" s="1">
        <f t="shared" si="28"/>
        <v>2030.9468827037767</v>
      </c>
      <c r="AC14" s="1">
        <f t="shared" si="28"/>
        <v>2074.1866095361484</v>
      </c>
      <c r="AD14" s="1">
        <f t="shared" si="28"/>
        <v>2042.1395667099509</v>
      </c>
      <c r="AE14" s="1">
        <f t="shared" si="28"/>
        <v>2076.9792200747702</v>
      </c>
      <c r="AF14" s="1">
        <f t="shared" si="28"/>
        <v>2039.8899862988887</v>
      </c>
      <c r="AG14" s="1">
        <f>+AF14*(1+$AI$18)</f>
        <v>1999.092186572911</v>
      </c>
      <c r="AH14" s="1">
        <f t="shared" ref="AH14:BW14" si="29">+AG14*(1+$AI$18)</f>
        <v>1959.1103428414528</v>
      </c>
      <c r="AI14" s="1">
        <f t="shared" si="29"/>
        <v>1919.9281359846239</v>
      </c>
      <c r="AJ14" s="1">
        <f t="shared" si="29"/>
        <v>1881.5295732649313</v>
      </c>
      <c r="AK14" s="1">
        <f t="shared" si="29"/>
        <v>1843.8989817996326</v>
      </c>
      <c r="AL14" s="1">
        <f t="shared" si="29"/>
        <v>1807.0210021636399</v>
      </c>
      <c r="AM14" s="1">
        <f t="shared" si="29"/>
        <v>1770.8805821203671</v>
      </c>
      <c r="AN14" s="1">
        <f t="shared" si="29"/>
        <v>1735.4629704779597</v>
      </c>
      <c r="AO14" s="1">
        <f t="shared" si="29"/>
        <v>1700.7537110684004</v>
      </c>
      <c r="AP14" s="1">
        <f t="shared" si="29"/>
        <v>1666.7386368470325</v>
      </c>
      <c r="AQ14" s="1">
        <f t="shared" si="29"/>
        <v>1633.4038641100917</v>
      </c>
      <c r="AR14" s="1">
        <f t="shared" si="29"/>
        <v>1600.7357868278898</v>
      </c>
      <c r="AS14" s="1">
        <f t="shared" si="29"/>
        <v>1568.7210710913321</v>
      </c>
      <c r="AT14" s="1">
        <f t="shared" si="29"/>
        <v>1537.3466496695055</v>
      </c>
      <c r="AU14" s="1">
        <f t="shared" si="29"/>
        <v>1506.5997166761153</v>
      </c>
      <c r="AV14" s="1">
        <f t="shared" si="29"/>
        <v>1476.4677223425931</v>
      </c>
      <c r="AW14" s="1">
        <f t="shared" si="29"/>
        <v>1446.9383678957413</v>
      </c>
      <c r="AX14" s="1">
        <f t="shared" si="29"/>
        <v>1417.9996005378264</v>
      </c>
      <c r="AY14" s="1">
        <f t="shared" si="29"/>
        <v>1389.6396085270699</v>
      </c>
      <c r="AZ14" s="1">
        <f t="shared" si="29"/>
        <v>1361.8468163565285</v>
      </c>
      <c r="BA14" s="1">
        <f t="shared" si="29"/>
        <v>1334.6098800293978</v>
      </c>
      <c r="BB14" s="1">
        <f t="shared" si="29"/>
        <v>1307.9176824288097</v>
      </c>
      <c r="BC14" s="1">
        <f t="shared" si="29"/>
        <v>1281.7593287802335</v>
      </c>
      <c r="BD14" s="1">
        <f t="shared" si="29"/>
        <v>1256.1241422046289</v>
      </c>
      <c r="BE14" s="1">
        <f t="shared" si="29"/>
        <v>1231.0016593605362</v>
      </c>
      <c r="BF14" s="1">
        <f t="shared" si="29"/>
        <v>1206.3816261733255</v>
      </c>
      <c r="BG14" s="1">
        <f t="shared" si="29"/>
        <v>1182.253993649859</v>
      </c>
      <c r="BH14" s="1">
        <f t="shared" si="29"/>
        <v>1158.6089137768618</v>
      </c>
      <c r="BI14" s="1">
        <f t="shared" si="29"/>
        <v>1135.4367355013244</v>
      </c>
      <c r="BJ14" s="1">
        <f t="shared" si="29"/>
        <v>1112.728000791298</v>
      </c>
      <c r="BK14" s="1">
        <f t="shared" si="29"/>
        <v>1090.473440775472</v>
      </c>
      <c r="BL14" s="1">
        <f t="shared" si="29"/>
        <v>1068.6639719599625</v>
      </c>
      <c r="BM14" s="1">
        <f t="shared" si="29"/>
        <v>1047.2906925207633</v>
      </c>
      <c r="BN14" s="1">
        <f t="shared" si="29"/>
        <v>1026.344878670348</v>
      </c>
      <c r="BO14" s="1">
        <f t="shared" si="29"/>
        <v>1005.817981096941</v>
      </c>
      <c r="BP14" s="1">
        <f t="shared" si="29"/>
        <v>985.70162147500218</v>
      </c>
      <c r="BQ14" s="1">
        <f t="shared" si="29"/>
        <v>965.98758904550209</v>
      </c>
      <c r="BR14" s="1">
        <f t="shared" si="29"/>
        <v>946.66783726459198</v>
      </c>
      <c r="BS14" s="1">
        <f t="shared" si="29"/>
        <v>927.73448051930018</v>
      </c>
      <c r="BT14" s="1">
        <f t="shared" si="29"/>
        <v>909.17979090891413</v>
      </c>
      <c r="BU14" s="1">
        <f t="shared" si="29"/>
        <v>890.9961950907358</v>
      </c>
      <c r="BV14" s="1">
        <f t="shared" si="29"/>
        <v>873.17627118892108</v>
      </c>
      <c r="BW14" s="1">
        <f t="shared" si="29"/>
        <v>855.71274576514259</v>
      </c>
    </row>
    <row r="15" spans="1:75" x14ac:dyDescent="0.2">
      <c r="B15" t="s">
        <v>27</v>
      </c>
      <c r="E15" s="3">
        <f>+E14/E16</f>
        <v>1.082116788321168</v>
      </c>
      <c r="G15" s="3">
        <f>+G14/G16</f>
        <v>0.86219739292364994</v>
      </c>
      <c r="H15" s="3">
        <f>+H14/H16</f>
        <v>0.8957169459962756</v>
      </c>
      <c r="I15" s="3">
        <f>+I14/I16</f>
        <v>0.34398496240601506</v>
      </c>
      <c r="J15" s="3">
        <f>+J14/J16</f>
        <v>0.3696060037523452</v>
      </c>
      <c r="K15" s="3">
        <f>+K14/K16</f>
        <v>1.2138728323699421</v>
      </c>
      <c r="L15" s="3">
        <f>+L14/L16</f>
        <v>1.0631163708086786</v>
      </c>
      <c r="R15" s="8">
        <f>+R14/R16</f>
        <v>4.5972850678733028</v>
      </c>
      <c r="S15" s="8">
        <f>+S14/S16</f>
        <v>4.5179211469534053</v>
      </c>
      <c r="T15" s="8">
        <f>+T14/T16</f>
        <v>2.4840525328330205</v>
      </c>
      <c r="U15" s="8">
        <f t="shared" ref="U15:AF15" si="30">+U14/U16</f>
        <v>3.5525885553470915</v>
      </c>
      <c r="V15" s="8">
        <f t="shared" si="30"/>
        <v>3.551958968480299</v>
      </c>
      <c r="W15" s="8">
        <f t="shared" si="30"/>
        <v>3.6949519818874306</v>
      </c>
      <c r="X15" s="8">
        <f t="shared" si="30"/>
        <v>3.6756417090867939</v>
      </c>
      <c r="Y15" s="8">
        <f t="shared" si="30"/>
        <v>3.7952929288860617</v>
      </c>
      <c r="Z15" s="8">
        <f t="shared" si="30"/>
        <v>3.7600412812150186</v>
      </c>
      <c r="AA15" s="8">
        <f t="shared" si="30"/>
        <v>3.8591710143085729</v>
      </c>
      <c r="AB15" s="8">
        <f t="shared" si="30"/>
        <v>3.8104069093879489</v>
      </c>
      <c r="AC15" s="8">
        <f t="shared" si="30"/>
        <v>3.891532100443055</v>
      </c>
      <c r="AD15" s="8">
        <f t="shared" si="30"/>
        <v>3.8314063165289887</v>
      </c>
      <c r="AE15" s="8">
        <f t="shared" si="30"/>
        <v>3.8967715198400943</v>
      </c>
      <c r="AF15" s="8">
        <f t="shared" si="30"/>
        <v>3.8271857153825306</v>
      </c>
    </row>
    <row r="16" spans="1:75" x14ac:dyDescent="0.2">
      <c r="B16" t="s">
        <v>1</v>
      </c>
      <c r="E16" s="2">
        <v>548</v>
      </c>
      <c r="G16" s="2">
        <v>537</v>
      </c>
      <c r="H16" s="2">
        <v>537</v>
      </c>
      <c r="I16" s="2">
        <v>532</v>
      </c>
      <c r="J16" s="2">
        <f>+T16</f>
        <v>533</v>
      </c>
      <c r="K16" s="2">
        <v>519</v>
      </c>
      <c r="L16" s="2">
        <v>507</v>
      </c>
      <c r="R16">
        <v>663</v>
      </c>
      <c r="S16">
        <v>558</v>
      </c>
      <c r="T16">
        <v>533</v>
      </c>
      <c r="U16">
        <f>+T16</f>
        <v>533</v>
      </c>
      <c r="V16">
        <f t="shared" ref="V16:AF16" si="31">+U16</f>
        <v>533</v>
      </c>
      <c r="W16">
        <f t="shared" si="31"/>
        <v>533</v>
      </c>
      <c r="X16">
        <f t="shared" si="31"/>
        <v>533</v>
      </c>
      <c r="Y16">
        <f t="shared" si="31"/>
        <v>533</v>
      </c>
      <c r="Z16">
        <f t="shared" si="31"/>
        <v>533</v>
      </c>
      <c r="AA16">
        <f t="shared" si="31"/>
        <v>533</v>
      </c>
      <c r="AB16">
        <f t="shared" si="31"/>
        <v>533</v>
      </c>
      <c r="AC16">
        <f t="shared" si="31"/>
        <v>533</v>
      </c>
      <c r="AD16">
        <f t="shared" si="31"/>
        <v>533</v>
      </c>
      <c r="AE16">
        <f t="shared" si="31"/>
        <v>533</v>
      </c>
      <c r="AF16">
        <f t="shared" si="31"/>
        <v>533</v>
      </c>
    </row>
    <row r="18" spans="2:35" x14ac:dyDescent="0.2">
      <c r="B18" t="s">
        <v>32</v>
      </c>
      <c r="J18" s="7"/>
      <c r="K18" s="7">
        <f>+K3/G3-1</f>
        <v>1.8326693227091573E-2</v>
      </c>
      <c r="L18" s="7">
        <f>+L3/H3-1</f>
        <v>1.2598425196850505E-2</v>
      </c>
      <c r="S18" s="9">
        <f>+S3/R3-1</f>
        <v>-5.9980806142034604E-2</v>
      </c>
      <c r="T18" s="9">
        <f>+T3/S3-1</f>
        <v>3.2363450740173549E-2</v>
      </c>
      <c r="U18" s="9">
        <f>+U3/T3-1</f>
        <v>-2.0000000000000018E-2</v>
      </c>
      <c r="V18" s="9">
        <f t="shared" ref="V18:AF18" si="32">+V3/U3-1</f>
        <v>-2.0000000000000018E-2</v>
      </c>
      <c r="W18" s="9">
        <f t="shared" si="32"/>
        <v>-2.0000000000000018E-2</v>
      </c>
      <c r="X18" s="9">
        <f t="shared" si="32"/>
        <v>-2.0000000000000018E-2</v>
      </c>
      <c r="Y18" s="9">
        <f t="shared" si="32"/>
        <v>-2.0000000000000018E-2</v>
      </c>
      <c r="Z18" s="9">
        <f t="shared" si="32"/>
        <v>-1.9999999999999907E-2</v>
      </c>
      <c r="AA18" s="9">
        <f t="shared" si="32"/>
        <v>-2.0000000000000129E-2</v>
      </c>
      <c r="AB18" s="9">
        <f t="shared" si="32"/>
        <v>-2.0000000000000018E-2</v>
      </c>
      <c r="AC18" s="9">
        <f t="shared" si="32"/>
        <v>-2.0000000000000018E-2</v>
      </c>
      <c r="AD18" s="9">
        <f t="shared" si="32"/>
        <v>-2.0000000000000129E-2</v>
      </c>
      <c r="AE18" s="9">
        <f t="shared" si="32"/>
        <v>-2.0000000000000018E-2</v>
      </c>
      <c r="AF18" s="9">
        <f t="shared" si="32"/>
        <v>-2.0000000000000018E-2</v>
      </c>
      <c r="AH18" t="s">
        <v>35</v>
      </c>
      <c r="AI18" s="9">
        <v>-0.02</v>
      </c>
    </row>
    <row r="19" spans="2:35" x14ac:dyDescent="0.2">
      <c r="AH19" t="s">
        <v>36</v>
      </c>
      <c r="AI19" s="9">
        <v>0.09</v>
      </c>
    </row>
    <row r="20" spans="2:35" x14ac:dyDescent="0.2">
      <c r="B20" t="s">
        <v>34</v>
      </c>
      <c r="G20" s="7">
        <f t="shared" ref="G20:L20" si="33">+G5/G3</f>
        <v>0.7211155378486056</v>
      </c>
      <c r="H20" s="7">
        <f t="shared" si="33"/>
        <v>0.71732283464566926</v>
      </c>
      <c r="I20" s="7">
        <f t="shared" si="33"/>
        <v>0.71799999999999997</v>
      </c>
      <c r="J20" s="7">
        <f t="shared" si="33"/>
        <v>0.72287275565964093</v>
      </c>
      <c r="K20" s="7">
        <f t="shared" si="33"/>
        <v>0.72613458528951491</v>
      </c>
      <c r="L20" s="7">
        <f>+L5/L3</f>
        <v>0.71423017107309483</v>
      </c>
      <c r="R20" s="7">
        <f t="shared" ref="R20:T20" si="34">+R5/R3</f>
        <v>0.74568138195777356</v>
      </c>
      <c r="S20" s="7">
        <f t="shared" si="34"/>
        <v>0.72639101582440024</v>
      </c>
      <c r="T20" s="7">
        <f t="shared" si="34"/>
        <v>0.71983781645569622</v>
      </c>
      <c r="AH20" t="s">
        <v>37</v>
      </c>
      <c r="AI20" s="1">
        <f>NPV(AI19,V14:DL14)</f>
        <v>20599.67013678795</v>
      </c>
    </row>
    <row r="21" spans="2:35" x14ac:dyDescent="0.2">
      <c r="AH21" t="s">
        <v>38</v>
      </c>
      <c r="AI21" s="8">
        <f>AI20/Main!J3</f>
        <v>42.126114799157364</v>
      </c>
    </row>
    <row r="23" spans="2:35" x14ac:dyDescent="0.2">
      <c r="R23" s="1">
        <v>2657</v>
      </c>
      <c r="S23" s="1">
        <v>2254</v>
      </c>
      <c r="T23" s="1">
        <v>2426</v>
      </c>
    </row>
    <row r="24" spans="2:35" x14ac:dyDescent="0.2">
      <c r="R24" s="1">
        <v>444</v>
      </c>
      <c r="S24" s="1">
        <v>449</v>
      </c>
      <c r="T24" s="1">
        <v>456</v>
      </c>
    </row>
    <row r="25" spans="2:35" x14ac:dyDescent="0.2">
      <c r="R25" s="1">
        <f t="shared" ref="R25:S25" si="35">+R23-R24</f>
        <v>2213</v>
      </c>
      <c r="S25" s="1">
        <f t="shared" si="35"/>
        <v>1805</v>
      </c>
      <c r="T25" s="1">
        <f>+T23-T24</f>
        <v>1970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2024-10-16T15:06:24Z</dcterms:created>
  <dcterms:modified xsi:type="dcterms:W3CDTF">2024-10-16T15:53:02Z</dcterms:modified>
</cp:coreProperties>
</file>