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311536A-BC0F-4423-9A80-54D2618D853F}" xr6:coauthVersionLast="47" xr6:coauthVersionMax="47" xr10:uidLastSave="{00000000-0000-0000-0000-000000000000}"/>
  <bookViews>
    <workbookView xWindow="-23460" yWindow="1125" windowWidth="23760" windowHeight="20760" activeTab="1" xr2:uid="{7988AE19-931E-46C1-9F7B-A4A68F0CA97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2" l="1"/>
  <c r="T19" i="2"/>
  <c r="S19" i="2"/>
  <c r="U18" i="2"/>
  <c r="T18" i="2"/>
  <c r="S18" i="2"/>
  <c r="U11" i="2"/>
  <c r="U7" i="2"/>
  <c r="U6" i="2"/>
  <c r="U5" i="2"/>
  <c r="U4" i="2"/>
  <c r="U14" i="2"/>
  <c r="U9" i="2"/>
  <c r="U2" i="2"/>
  <c r="T2" i="2"/>
  <c r="T11" i="2"/>
  <c r="T7" i="2"/>
  <c r="T8" i="2" s="1"/>
  <c r="T4" i="2"/>
  <c r="T14" i="2"/>
  <c r="T9" i="2"/>
  <c r="S4" i="2"/>
  <c r="S14" i="2"/>
  <c r="S9" i="2"/>
  <c r="S7" i="2"/>
  <c r="S6" i="2"/>
  <c r="S8" i="2" s="1"/>
  <c r="S10" i="2" s="1"/>
  <c r="S2" i="2"/>
  <c r="H18" i="2"/>
  <c r="D9" i="2"/>
  <c r="G9" i="2" s="1"/>
  <c r="D6" i="2"/>
  <c r="D19" i="2" s="1"/>
  <c r="G14" i="2"/>
  <c r="G11" i="2"/>
  <c r="G7" i="2"/>
  <c r="G5" i="2"/>
  <c r="G4" i="2"/>
  <c r="K19" i="2"/>
  <c r="K18" i="2"/>
  <c r="K13" i="2"/>
  <c r="K14" i="2"/>
  <c r="K12" i="2"/>
  <c r="K11" i="2"/>
  <c r="K10" i="2"/>
  <c r="K9" i="2"/>
  <c r="K8" i="2"/>
  <c r="K7" i="2"/>
  <c r="K6" i="2"/>
  <c r="K5" i="2"/>
  <c r="K4" i="2"/>
  <c r="E9" i="2"/>
  <c r="I18" i="2"/>
  <c r="I19" i="2"/>
  <c r="E6" i="2"/>
  <c r="E8" i="2" s="1"/>
  <c r="I13" i="2"/>
  <c r="I9" i="2"/>
  <c r="I8" i="2"/>
  <c r="I6" i="2"/>
  <c r="J19" i="2"/>
  <c r="F19" i="2"/>
  <c r="J18" i="2"/>
  <c r="F9" i="2"/>
  <c r="F6" i="2"/>
  <c r="F8" i="2" s="1"/>
  <c r="J13" i="2"/>
  <c r="J12" i="2"/>
  <c r="J9" i="2"/>
  <c r="J10" i="2" s="1"/>
  <c r="I10" i="2"/>
  <c r="I12" i="2" s="1"/>
  <c r="J8" i="2"/>
  <c r="J6" i="2"/>
  <c r="R19" i="2"/>
  <c r="Q19" i="2"/>
  <c r="P19" i="2"/>
  <c r="P13" i="2"/>
  <c r="R13" i="2"/>
  <c r="Q13" i="2"/>
  <c r="R12" i="2"/>
  <c r="Q12" i="2"/>
  <c r="P12" i="2"/>
  <c r="P9" i="2"/>
  <c r="Q9" i="2"/>
  <c r="R9" i="2"/>
  <c r="R10" i="2" s="1"/>
  <c r="Q10" i="2"/>
  <c r="P10" i="2"/>
  <c r="P6" i="2"/>
  <c r="P8" i="2" s="1"/>
  <c r="Q8" i="2"/>
  <c r="Q6" i="2"/>
  <c r="R8" i="2"/>
  <c r="R6" i="2"/>
  <c r="Q18" i="2"/>
  <c r="R18" i="2"/>
  <c r="H19" i="2"/>
  <c r="L19" i="2"/>
  <c r="L18" i="2"/>
  <c r="H9" i="2"/>
  <c r="L9" i="2"/>
  <c r="H6" i="2"/>
  <c r="H8" i="2" s="1"/>
  <c r="H10" i="2" s="1"/>
  <c r="H12" i="2" s="1"/>
  <c r="H13" i="2" s="1"/>
  <c r="L6" i="2"/>
  <c r="L8" i="2" s="1"/>
  <c r="K7" i="1"/>
  <c r="K6" i="1"/>
  <c r="K4" i="1"/>
  <c r="U8" i="2" l="1"/>
  <c r="U10" i="2" s="1"/>
  <c r="T6" i="2"/>
  <c r="T10" i="2" s="1"/>
  <c r="S11" i="2"/>
  <c r="S12" i="2"/>
  <c r="S13" i="2" s="1"/>
  <c r="S5" i="2"/>
  <c r="G6" i="2"/>
  <c r="G19" i="2"/>
  <c r="G8" i="2"/>
  <c r="D8" i="2"/>
  <c r="D10" i="2" s="1"/>
  <c r="D12" i="2" s="1"/>
  <c r="D13" i="2" s="1"/>
  <c r="G10" i="2"/>
  <c r="G12" i="2" s="1"/>
  <c r="G13" i="2" s="1"/>
  <c r="E10" i="2"/>
  <c r="E12" i="2" s="1"/>
  <c r="E13" i="2" s="1"/>
  <c r="E19" i="2"/>
  <c r="F10" i="2"/>
  <c r="F12" i="2" s="1"/>
  <c r="F13" i="2" s="1"/>
  <c r="L10" i="2"/>
  <c r="L12" i="2" s="1"/>
  <c r="L13" i="2" s="1"/>
  <c r="U12" i="2" l="1"/>
  <c r="U13" i="2" s="1"/>
  <c r="T12" i="2"/>
  <c r="T13" i="2" s="1"/>
  <c r="T5" i="2"/>
</calcChain>
</file>

<file path=xl/sharedStrings.xml><?xml version="1.0" encoding="utf-8"?>
<sst xmlns="http://schemas.openxmlformats.org/spreadsheetml/2006/main" count="23" uniqueCount="20">
  <si>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</si>
  <si>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</si>
  <si>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</si>
  <si>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</si>
  <si>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</si>
  <si>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</si>
  <si>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</si>
  <si>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</si>
  <si>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</si>
  <si>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EPS</t>
  </si>
  <si>
    <t>COGS</t>
  </si>
  <si>
    <t>Gross Profit</t>
  </si>
  <si>
    <t>SG&amp;A</t>
  </si>
  <si>
    <t>Operating Income</t>
  </si>
  <si>
    <t>Other Income</t>
  </si>
  <si>
    <t>Pretax Income</t>
  </si>
  <si>
    <t>Taxes</t>
  </si>
  <si>
    <t>Net Income</t>
  </si>
  <si>
    <t>Revenue y/y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</si>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</sst>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4" fontId="0" fillId="0" borderId="0" xfId="0" applyNumberFormat="1"/>
    <xf numFmtId="9" fontId="0" fillId="0" borderId="0" xfId="0" applyNumberFormat="1"/>
    <xf numFmtId="14" fontId="0" fillId="0" borderId="0" xfId="0" applyNumberFormat="1" applyAlignment="1">
      <alignment horizontal="right"/>
    </xf>
    <xf numFmtId="3" fontId="0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BDC00CF7-0AF4-4D10-AA3E-2525D7B9D05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0C23-8A45-4AD5-84F8-B9FD268666C7}">
  <dimension ref="J2:L7"/>
  <sheetViews>
    <sheetView zoomScale="190" zoomScaleNormal="190" workbookViewId="0"/>
  </sheetViews>
  <sheetFormatPr defaultRowHeight="12.75" x14ac:dyDescent="0.2"/>
  <sheetData>
    <row r="2" spans="10:12" x14ac:dyDescent="0.2">
      <c r="J2" t="s">
        <v>0</v>
      </c>
      <c r="K2" s="2">
        <v>109</v>
      </c>
    </row>
    <row r="3" spans="10:12" x14ac:dyDescent="0.2">
      <c r="J3" t="s">
        <v>1</v>
      </c>
      <c r="K3" s="1">
        <v>58.551000000000002</v>
      </c>
      <c r="L3" s="3" t="s">
        <v>6</v>
      </c>
    </row>
    <row r="4" spans="10:12" x14ac:dyDescent="0.2">
      <c r="J4" t="s">
        <v>2</v>
      </c>
      <c r="K4" s="1">
        <f>+K2*K3</f>
        <v>6382.0590000000002</v>
      </c>
    </row>
    <row r="5" spans="10:12" x14ac:dyDescent="0.2">
      <c r="J5" t="s">
        <v>3</v>
      </c>
      <c r="K5" s="1">
        <v>109.03400000000001</v>
      </c>
      <c r="L5" s="3" t="s">
        <v>6</v>
      </c>
    </row>
    <row r="6" spans="10:12" x14ac:dyDescent="0.2">
      <c r="J6" t="s">
        <v>4</v>
      </c>
      <c r="K6" s="1">
        <f>102.938+159.234</f>
        <v>262.17200000000003</v>
      </c>
      <c r="L6" s="3" t="s">
        <v>6</v>
      </c>
    </row>
    <row r="7" spans="10:12" x14ac:dyDescent="0.2">
      <c r="J7" t="s">
        <v>5</v>
      </c>
      <c r="K7" s="1">
        <f>+K4-K5+K6</f>
        <v>6535.1970000000001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0304-5E2A-4FC8-B00C-C183E2A51B89}">
  <dimension ref="A1:U23"/>
  <sheetViews>
    <sheetView tabSelected="1" zoomScale="175" zoomScaleNormal="175" workbookViewId="0">
      <pane xSplit="2" ySplit="3" topLeftCell="N4" activePane="bottomRight" state="frozen"/>
      <selection pane="topRight" activeCell="C1" sqref="C1"/>
      <selection pane="bottomLeft" activeCell="A3" sqref="A3"/>
      <selection pane="bottomRight" activeCell="U18" sqref="U18"/>
    </sheetView>
  </sheetViews>
  <sheetFormatPr defaultRowHeight="12.75" x14ac:dyDescent="0.2"/>
  <cols>
    <col min="1" max="1" width="5" bestFit="1" customWidth="1"/>
    <col min="2" max="2" width="15.7109375" bestFit="1" customWidth="1"/>
    <col min="3" max="5" width="9.140625" style="3"/>
    <col min="6" max="6" width="10.42578125" style="3" bestFit="1" customWidth="1"/>
    <col min="7" max="9" width="9.140625" style="3"/>
    <col min="10" max="10" width="10.42578125" style="3" bestFit="1" customWidth="1"/>
    <col min="11" max="14" width="9.140625" style="3"/>
  </cols>
  <sheetData>
    <row r="1" spans="1:21" x14ac:dyDescent="0.2">
      <c r="A1" s="6" t="s">
        <v>7</v>
      </c>
    </row>
    <row r="2" spans="1:21" x14ac:dyDescent="0.2">
      <c r="A2" s="6"/>
      <c r="D2" s="12">
        <v>44742</v>
      </c>
      <c r="E2" s="12">
        <v>44834</v>
      </c>
      <c r="F2" s="12">
        <v>44926</v>
      </c>
      <c r="G2" s="12">
        <v>45016</v>
      </c>
      <c r="H2" s="12">
        <v>45107</v>
      </c>
      <c r="I2" s="12">
        <v>45199</v>
      </c>
      <c r="J2" s="12">
        <v>45291</v>
      </c>
      <c r="K2" s="12">
        <v>45382</v>
      </c>
      <c r="L2" s="12">
        <v>45473</v>
      </c>
      <c r="P2" s="10">
        <v>44651</v>
      </c>
      <c r="Q2" s="10">
        <v>45016</v>
      </c>
      <c r="R2" s="10">
        <v>45382</v>
      </c>
      <c r="S2" s="10">
        <f>+R2+365</f>
        <v>45747</v>
      </c>
      <c r="T2" s="10">
        <f>+S2+365</f>
        <v>46112</v>
      </c>
      <c r="U2" s="10">
        <f>+T2+365</f>
        <v>46477</v>
      </c>
    </row>
    <row r="4" spans="1:21" s="8" customFormat="1" x14ac:dyDescent="0.2">
      <c r="B4" s="8" t="s">
        <v>8</v>
      </c>
      <c r="C4" s="9"/>
      <c r="D4" s="9">
        <v>122.601</v>
      </c>
      <c r="E4" s="9">
        <v>122.349</v>
      </c>
      <c r="F4" s="9">
        <v>146.53700000000001</v>
      </c>
      <c r="G4" s="9">
        <f>+Q4-F4-E4-D4</f>
        <v>187.35700000000003</v>
      </c>
      <c r="H4" s="9">
        <v>216.339</v>
      </c>
      <c r="I4" s="9">
        <v>215.50700000000001</v>
      </c>
      <c r="J4" s="9">
        <v>270.94299999999998</v>
      </c>
      <c r="K4" s="9">
        <f>+R4-J4-I4-H4</f>
        <v>321.14299999999997</v>
      </c>
      <c r="L4" s="9">
        <v>324.47699999999998</v>
      </c>
      <c r="M4" s="9"/>
      <c r="N4" s="9"/>
      <c r="P4" s="8">
        <v>392.15499999999997</v>
      </c>
      <c r="Q4" s="8">
        <v>578.84400000000005</v>
      </c>
      <c r="R4" s="8">
        <v>1023.932</v>
      </c>
      <c r="S4" s="8">
        <f>+R4*1.45</f>
        <v>1484.7013999999999</v>
      </c>
      <c r="T4" s="8">
        <f>+S4*1.35</f>
        <v>2004.34689</v>
      </c>
      <c r="U4" s="8">
        <f>+T4*1.25</f>
        <v>2505.4336125</v>
      </c>
    </row>
    <row r="5" spans="1:21" s="1" customFormat="1" x14ac:dyDescent="0.2">
      <c r="B5" s="1" t="s">
        <v>10</v>
      </c>
      <c r="C5" s="5"/>
      <c r="D5" s="5">
        <v>39.616</v>
      </c>
      <c r="E5" s="5">
        <v>42.789000000000001</v>
      </c>
      <c r="F5" s="5">
        <v>47.811999999999998</v>
      </c>
      <c r="G5" s="13">
        <f>+Q5-F5-E5-D5</f>
        <v>58.231000000000023</v>
      </c>
      <c r="H5" s="5">
        <v>63.767000000000003</v>
      </c>
      <c r="I5" s="5">
        <v>63.142000000000003</v>
      </c>
      <c r="J5" s="5">
        <v>78.986000000000004</v>
      </c>
      <c r="K5" s="13">
        <f>+R5-J5-I5-H5</f>
        <v>93.941000000000031</v>
      </c>
      <c r="L5" s="5">
        <v>93.194000000000003</v>
      </c>
      <c r="M5" s="5"/>
      <c r="N5" s="5"/>
      <c r="P5" s="1">
        <v>140.423</v>
      </c>
      <c r="Q5" s="1">
        <v>188.44800000000001</v>
      </c>
      <c r="R5" s="1">
        <v>299.83600000000001</v>
      </c>
      <c r="S5" s="1">
        <f>+S4-S6</f>
        <v>430.56340599999999</v>
      </c>
      <c r="T5" s="1">
        <f>+T4-T6</f>
        <v>581.26059810000015</v>
      </c>
      <c r="U5" s="1">
        <f>+U4-U6</f>
        <v>726.57574762500008</v>
      </c>
    </row>
    <row r="6" spans="1:21" s="1" customFormat="1" x14ac:dyDescent="0.2">
      <c r="B6" s="1" t="s">
        <v>11</v>
      </c>
      <c r="C6" s="5"/>
      <c r="D6" s="5">
        <f>+D4-D5</f>
        <v>82.984999999999999</v>
      </c>
      <c r="E6" s="5">
        <f>+E4-E5</f>
        <v>79.56</v>
      </c>
      <c r="F6" s="5">
        <f>+F4-F5</f>
        <v>98.725000000000009</v>
      </c>
      <c r="G6" s="5">
        <f>+G4-G5</f>
        <v>129.126</v>
      </c>
      <c r="H6" s="5">
        <f>+H4-H5</f>
        <v>152.572</v>
      </c>
      <c r="I6" s="5">
        <f>+I4-I5</f>
        <v>152.36500000000001</v>
      </c>
      <c r="J6" s="5">
        <f>+J4-J5</f>
        <v>191.95699999999999</v>
      </c>
      <c r="K6" s="5">
        <f>+K4-K5</f>
        <v>227.20199999999994</v>
      </c>
      <c r="L6" s="5">
        <f>+L4-L5</f>
        <v>231.28299999999996</v>
      </c>
      <c r="M6" s="5"/>
      <c r="N6" s="5"/>
      <c r="P6" s="1">
        <f>+P4-P5</f>
        <v>251.73199999999997</v>
      </c>
      <c r="Q6" s="1">
        <f>+Q4-Q5</f>
        <v>390.39600000000007</v>
      </c>
      <c r="R6" s="1">
        <f>+R4-R5</f>
        <v>724.096</v>
      </c>
      <c r="S6" s="1">
        <f>+S4*0.71</f>
        <v>1054.1379939999999</v>
      </c>
      <c r="T6" s="1">
        <f>+T4*0.71</f>
        <v>1423.0862918999999</v>
      </c>
      <c r="U6" s="1">
        <f>+U4*0.71</f>
        <v>1778.8578648749999</v>
      </c>
    </row>
    <row r="7" spans="1:21" s="1" customFormat="1" x14ac:dyDescent="0.2">
      <c r="B7" s="1" t="s">
        <v>12</v>
      </c>
      <c r="C7" s="5"/>
      <c r="D7" s="5">
        <v>61.555</v>
      </c>
      <c r="E7" s="5">
        <v>64.183000000000007</v>
      </c>
      <c r="F7" s="5">
        <v>75.433999999999997</v>
      </c>
      <c r="G7" s="13">
        <f>+Q7-F7-E7-D7</f>
        <v>121.08099999999996</v>
      </c>
      <c r="H7" s="5">
        <v>91.938999999999993</v>
      </c>
      <c r="I7" s="5">
        <v>112.18600000000001</v>
      </c>
      <c r="J7" s="5">
        <v>160.12100000000001</v>
      </c>
      <c r="K7" s="13">
        <f>+R7-J7-I7-H7</f>
        <v>210.172</v>
      </c>
      <c r="L7" s="5">
        <v>180.57499999999999</v>
      </c>
      <c r="M7" s="5"/>
      <c r="N7" s="5"/>
      <c r="P7" s="1">
        <v>221.91200000000001</v>
      </c>
      <c r="Q7" s="1">
        <v>322.25299999999999</v>
      </c>
      <c r="R7" s="1">
        <v>574.41800000000001</v>
      </c>
      <c r="S7" s="1">
        <f>+R7*1.3</f>
        <v>746.74340000000007</v>
      </c>
      <c r="T7" s="1">
        <f>+S7*1.25</f>
        <v>933.42925000000014</v>
      </c>
      <c r="U7" s="1">
        <f>+T7*1.15</f>
        <v>1073.4436375</v>
      </c>
    </row>
    <row r="8" spans="1:21" s="1" customFormat="1" x14ac:dyDescent="0.2">
      <c r="B8" s="1" t="s">
        <v>13</v>
      </c>
      <c r="C8" s="5"/>
      <c r="D8" s="5">
        <f>+D6-D7</f>
        <v>21.43</v>
      </c>
      <c r="E8" s="5">
        <f>+E6-E7</f>
        <v>15.376999999999995</v>
      </c>
      <c r="F8" s="5">
        <f>+F6-F7</f>
        <v>23.291000000000011</v>
      </c>
      <c r="G8" s="5">
        <f>+G6-G7</f>
        <v>8.0450000000000443</v>
      </c>
      <c r="H8" s="5">
        <f>+H6-H7</f>
        <v>60.63300000000001</v>
      </c>
      <c r="I8" s="5">
        <f>+I6-I7</f>
        <v>40.179000000000002</v>
      </c>
      <c r="J8" s="5">
        <f>+J6-J7</f>
        <v>31.835999999999984</v>
      </c>
      <c r="K8" s="5">
        <f>+K6-K7</f>
        <v>17.029999999999944</v>
      </c>
      <c r="L8" s="5">
        <f>+L6-L7</f>
        <v>50.70799999999997</v>
      </c>
      <c r="M8" s="5"/>
      <c r="N8" s="5"/>
      <c r="P8" s="1">
        <f>+P6-P7</f>
        <v>29.819999999999965</v>
      </c>
      <c r="Q8" s="1">
        <f>+Q6-Q7</f>
        <v>68.143000000000086</v>
      </c>
      <c r="R8" s="1">
        <f>+R6-R7</f>
        <v>149.678</v>
      </c>
      <c r="S8" s="1">
        <f>+S6-S7</f>
        <v>307.39459399999987</v>
      </c>
      <c r="T8" s="1">
        <f>+T6-T7</f>
        <v>489.65704189999974</v>
      </c>
      <c r="U8" s="1">
        <f>+U6-U7</f>
        <v>705.41422737499988</v>
      </c>
    </row>
    <row r="9" spans="1:21" s="1" customFormat="1" x14ac:dyDescent="0.2">
      <c r="B9" s="1" t="s">
        <v>14</v>
      </c>
      <c r="C9" s="5"/>
      <c r="D9" s="5">
        <f>-1.663-0.663</f>
        <v>-2.3260000000000001</v>
      </c>
      <c r="E9" s="5">
        <f>-1.262-0.786</f>
        <v>-2.048</v>
      </c>
      <c r="F9" s="5">
        <f>0.73-0.463</f>
        <v>0.26699999999999996</v>
      </c>
      <c r="G9" s="13">
        <f>+Q9-F9-E9-D9</f>
        <v>0.21399999999999997</v>
      </c>
      <c r="H9" s="5">
        <f>0.341+0.399</f>
        <v>0.74</v>
      </c>
      <c r="I9" s="5">
        <f>-1.062+0.623</f>
        <v>-0.43900000000000006</v>
      </c>
      <c r="J9" s="5">
        <f>2.565-3.985</f>
        <v>-1.42</v>
      </c>
      <c r="K9" s="13">
        <f>+R9-J9-I9-H9</f>
        <v>-4.694</v>
      </c>
      <c r="L9" s="5">
        <f>0.187-3.665</f>
        <v>-3.4780000000000002</v>
      </c>
      <c r="M9" s="5"/>
      <c r="N9" s="5"/>
      <c r="P9" s="1">
        <f>-1.438-2.441</f>
        <v>-3.8789999999999996</v>
      </c>
      <c r="Q9" s="1">
        <f>-1.875-2.018</f>
        <v>-3.8929999999999998</v>
      </c>
      <c r="R9" s="1">
        <f>1.21-7.023</f>
        <v>-5.8129999999999997</v>
      </c>
      <c r="S9" s="1">
        <f>+R9</f>
        <v>-5.8129999999999997</v>
      </c>
      <c r="T9" s="1">
        <f>+S9</f>
        <v>-5.8129999999999997</v>
      </c>
      <c r="U9" s="1">
        <f>+T9</f>
        <v>-5.8129999999999997</v>
      </c>
    </row>
    <row r="10" spans="1:21" s="1" customFormat="1" x14ac:dyDescent="0.2">
      <c r="B10" s="1" t="s">
        <v>15</v>
      </c>
      <c r="C10" s="5"/>
      <c r="D10" s="5">
        <f>+D8+D9</f>
        <v>19.103999999999999</v>
      </c>
      <c r="E10" s="5">
        <f>+E8+E9</f>
        <v>13.328999999999995</v>
      </c>
      <c r="F10" s="5">
        <f>+F8+F9</f>
        <v>23.55800000000001</v>
      </c>
      <c r="G10" s="5">
        <f>+G8+G9</f>
        <v>8.2590000000000447</v>
      </c>
      <c r="H10" s="5">
        <f>+H8+H9</f>
        <v>61.373000000000012</v>
      </c>
      <c r="I10" s="5">
        <f>+I8+I9</f>
        <v>39.74</v>
      </c>
      <c r="J10" s="5">
        <f>+J8+J9</f>
        <v>30.415999999999983</v>
      </c>
      <c r="K10" s="5">
        <f>+K8+K9</f>
        <v>12.335999999999945</v>
      </c>
      <c r="L10" s="5">
        <f>+L8+L9</f>
        <v>47.229999999999968</v>
      </c>
      <c r="M10" s="5"/>
      <c r="N10" s="5"/>
      <c r="P10" s="1">
        <f>+P8+P9</f>
        <v>25.940999999999967</v>
      </c>
      <c r="Q10" s="1">
        <f>+Q8+Q9</f>
        <v>64.250000000000085</v>
      </c>
      <c r="R10" s="1">
        <f>+R8+R9</f>
        <v>143.86500000000001</v>
      </c>
      <c r="S10" s="1">
        <f>+S8+S9</f>
        <v>301.58159399999988</v>
      </c>
      <c r="T10" s="1">
        <f>+T8+T9</f>
        <v>483.84404189999975</v>
      </c>
      <c r="U10" s="1">
        <f>+U8+U9</f>
        <v>699.60122737499989</v>
      </c>
    </row>
    <row r="11" spans="1:21" s="1" customFormat="1" x14ac:dyDescent="0.2">
      <c r="B11" s="1" t="s">
        <v>16</v>
      </c>
      <c r="C11" s="5"/>
      <c r="D11" s="5">
        <v>4.6349999999999998</v>
      </c>
      <c r="E11" s="5">
        <v>1.619</v>
      </c>
      <c r="F11" s="5">
        <v>4.2770000000000001</v>
      </c>
      <c r="G11" s="13">
        <f>+Q11-F11-E11-D11</f>
        <v>-7.9870000000000001</v>
      </c>
      <c r="H11" s="5">
        <v>6.6760000000000002</v>
      </c>
      <c r="I11" s="5">
        <v>6.4690000000000003</v>
      </c>
      <c r="J11" s="5">
        <v>3.528</v>
      </c>
      <c r="K11" s="13">
        <f>+R11-J11-I11-H11</f>
        <v>-3.346000000000001</v>
      </c>
      <c r="L11" s="5">
        <v>-0.32500000000000001</v>
      </c>
      <c r="M11" s="5"/>
      <c r="N11" s="5"/>
      <c r="P11" s="1">
        <v>3.661</v>
      </c>
      <c r="Q11" s="1">
        <v>2.544</v>
      </c>
      <c r="R11" s="1">
        <v>13.327</v>
      </c>
      <c r="S11" s="1">
        <f>+S10*0.1</f>
        <v>30.158159399999988</v>
      </c>
      <c r="T11" s="1">
        <f>+T10*0.15</f>
        <v>72.576606284999954</v>
      </c>
      <c r="U11" s="1">
        <f>+U10*0.2</f>
        <v>139.92024547499997</v>
      </c>
    </row>
    <row r="12" spans="1:21" s="1" customFormat="1" x14ac:dyDescent="0.2">
      <c r="B12" s="1" t="s">
        <v>17</v>
      </c>
      <c r="C12" s="5"/>
      <c r="D12" s="5">
        <f>+D10-D11</f>
        <v>14.468999999999999</v>
      </c>
      <c r="E12" s="5">
        <f>+E10-E11</f>
        <v>11.709999999999996</v>
      </c>
      <c r="F12" s="5">
        <f>+F10-F11</f>
        <v>19.281000000000009</v>
      </c>
      <c r="G12" s="5">
        <f>+G10-G11</f>
        <v>16.246000000000045</v>
      </c>
      <c r="H12" s="5">
        <f>+H10-H11</f>
        <v>54.69700000000001</v>
      </c>
      <c r="I12" s="5">
        <f>+I10-I11</f>
        <v>33.271000000000001</v>
      </c>
      <c r="J12" s="5">
        <f>+J10-J11</f>
        <v>26.887999999999984</v>
      </c>
      <c r="K12" s="5">
        <f>+K10-K11</f>
        <v>15.681999999999945</v>
      </c>
      <c r="L12" s="5">
        <f>+L10-L11</f>
        <v>47.554999999999971</v>
      </c>
      <c r="M12" s="5"/>
      <c r="N12" s="5"/>
      <c r="P12" s="1">
        <f>+P10-P11</f>
        <v>22.279999999999966</v>
      </c>
      <c r="Q12" s="1">
        <f>+Q10-Q11</f>
        <v>61.706000000000088</v>
      </c>
      <c r="R12" s="1">
        <f>+R10-R11</f>
        <v>130.53800000000001</v>
      </c>
      <c r="S12" s="1">
        <f>+S10-S11</f>
        <v>271.42343459999989</v>
      </c>
      <c r="T12" s="1">
        <f>+T10-T11</f>
        <v>411.26743561499978</v>
      </c>
      <c r="U12" s="1">
        <f>+U10-U11</f>
        <v>559.68098189999989</v>
      </c>
    </row>
    <row r="13" spans="1:21" x14ac:dyDescent="0.2">
      <c r="B13" t="s">
        <v>9</v>
      </c>
      <c r="D13" s="4">
        <f>+D12/D14</f>
        <v>0.26876701085834326</v>
      </c>
      <c r="E13" s="4">
        <f>+E12/E14</f>
        <v>0.21276397040752959</v>
      </c>
      <c r="F13" s="4">
        <f>+F12/F14</f>
        <v>0.34528926746723437</v>
      </c>
      <c r="G13" s="4">
        <f>+G12/G14</f>
        <v>0.30213603069431372</v>
      </c>
      <c r="H13" s="4">
        <f>+H12/H14</f>
        <v>0.95664482236999637</v>
      </c>
      <c r="I13" s="4">
        <f>+I12/I14</f>
        <v>0.57924913740260997</v>
      </c>
      <c r="J13" s="4">
        <f>+J12/J14</f>
        <v>0.46334562666298323</v>
      </c>
      <c r="K13" s="4">
        <f>+K12/K14</f>
        <v>0.28213327441913583</v>
      </c>
      <c r="L13" s="4">
        <f>+L12/L14</f>
        <v>0.81219204527275057</v>
      </c>
      <c r="P13" s="2">
        <f>+P12/P14</f>
        <v>0.415250944551455</v>
      </c>
      <c r="Q13" s="2">
        <f>+Q12/Q14</f>
        <v>1.1475813067846423</v>
      </c>
      <c r="R13" s="2">
        <f>+R12/R14</f>
        <v>2.3484959428724199</v>
      </c>
      <c r="S13" s="2">
        <f>+S12/S14</f>
        <v>4.883151534101926</v>
      </c>
      <c r="T13" s="2">
        <f>+T12/T14</f>
        <v>7.3990707991341296</v>
      </c>
      <c r="U13" s="2">
        <f>+U12/U14</f>
        <v>10.069163885573564</v>
      </c>
    </row>
    <row r="14" spans="1:21" x14ac:dyDescent="0.2">
      <c r="B14" t="s">
        <v>1</v>
      </c>
      <c r="D14" s="5">
        <v>53.834732000000002</v>
      </c>
      <c r="E14" s="5">
        <v>55.037514000000002</v>
      </c>
      <c r="F14" s="5">
        <v>55.840136999999999</v>
      </c>
      <c r="G14" s="5">
        <f>+Q14</f>
        <v>53.770482000000001</v>
      </c>
      <c r="H14" s="5">
        <v>57.175870000000003</v>
      </c>
      <c r="I14" s="5">
        <v>57.438152000000002</v>
      </c>
      <c r="J14" s="5">
        <v>58.030115000000002</v>
      </c>
      <c r="K14" s="5">
        <f>+R14</f>
        <v>55.583660000000002</v>
      </c>
      <c r="L14" s="5">
        <v>58.551423</v>
      </c>
      <c r="P14" s="1">
        <v>53.654302999999999</v>
      </c>
      <c r="Q14" s="1">
        <v>53.770482000000001</v>
      </c>
      <c r="R14" s="1">
        <v>55.583660000000002</v>
      </c>
      <c r="S14" s="1">
        <f>+R14</f>
        <v>55.583660000000002</v>
      </c>
      <c r="T14" s="1">
        <f>+S14</f>
        <v>55.583660000000002</v>
      </c>
      <c r="U14" s="1">
        <f>+T14</f>
        <v>55.583660000000002</v>
      </c>
    </row>
    <row r="18" spans="2:21" x14ac:dyDescent="0.2">
      <c r="B18" t="s">
        <v>18</v>
      </c>
      <c r="H18" s="7">
        <f>+H4/D4-1</f>
        <v>0.76457777669023907</v>
      </c>
      <c r="I18" s="7">
        <f>+I4/E4-1</f>
        <v>0.7614120262527686</v>
      </c>
      <c r="J18" s="7">
        <f>+J4/F4-1</f>
        <v>0.84897329684653</v>
      </c>
      <c r="K18" s="7">
        <f>+K4/G4-1</f>
        <v>0.71406993066712166</v>
      </c>
      <c r="L18" s="7">
        <f>+L4/H4-1</f>
        <v>0.49985439518533403</v>
      </c>
      <c r="Q18" s="11">
        <f>+Q4/P4-1</f>
        <v>0.47605921128125384</v>
      </c>
      <c r="R18" s="11">
        <f>+R4/Q4-1</f>
        <v>0.76892565181637873</v>
      </c>
      <c r="S18" s="11">
        <f t="shared" ref="S18:U18" si="0">+S4/R4-1</f>
        <v>0.44999999999999996</v>
      </c>
      <c r="T18" s="11">
        <f t="shared" si="0"/>
        <v>0.35000000000000009</v>
      </c>
      <c r="U18" s="11">
        <f t="shared" si="0"/>
        <v>0.25</v>
      </c>
    </row>
    <row r="19" spans="2:21" x14ac:dyDescent="0.2">
      <c r="B19" t="s">
        <v>19</v>
      </c>
      <c r="D19" s="7">
        <f>+D6/D4</f>
        <v>0.67687049860930992</v>
      </c>
      <c r="E19" s="7">
        <f>+E6/E4</f>
        <v>0.65027094622759485</v>
      </c>
      <c r="F19" s="7">
        <f>+F6/F4</f>
        <v>0.67372063028450158</v>
      </c>
      <c r="G19" s="7">
        <f>+G6/G4</f>
        <v>0.68919762805766527</v>
      </c>
      <c r="H19" s="7">
        <f>+H6/H4</f>
        <v>0.70524500899051956</v>
      </c>
      <c r="I19" s="7">
        <f>+I6/I4</f>
        <v>0.70700719698200065</v>
      </c>
      <c r="J19" s="7">
        <f>+J6/J4</f>
        <v>0.70847742883189457</v>
      </c>
      <c r="K19" s="7">
        <f>+K6/K4</f>
        <v>0.70747922265159124</v>
      </c>
      <c r="L19" s="7">
        <f>+L6/L4</f>
        <v>0.71278703883480177</v>
      </c>
      <c r="P19" s="7">
        <f>+P6/P4</f>
        <v>0.64191964911833332</v>
      </c>
      <c r="Q19" s="7">
        <f>+Q6/Q4</f>
        <v>0.67444078197234492</v>
      </c>
      <c r="R19" s="7">
        <f>+R6/R4</f>
        <v>0.70717196063801113</v>
      </c>
      <c r="S19" s="7">
        <f t="shared" ref="S19:U19" si="1">+S6/S4</f>
        <v>0.71</v>
      </c>
      <c r="T19" s="7">
        <f t="shared" si="1"/>
        <v>0.71</v>
      </c>
      <c r="U19" s="7">
        <f t="shared" si="1"/>
        <v>0.71</v>
      </c>
    </row>
    <row r="23" spans="2:21" x14ac:dyDescent="0.2">
      <c r="P23" s="1">
        <v>19.513000000000002</v>
      </c>
      <c r="Q23" s="1">
        <v>101.883</v>
      </c>
      <c r="R23" s="1">
        <v>71.153999999999996</v>
      </c>
    </row>
  </sheetData>
  <hyperlinks>
    <hyperlink ref="A1" location="Main!A1" display="Main" xr:uid="{A6A53138-31EF-417F-8D26-051DB5CF81B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2024-10-11T14:58:12Z</dcterms:created>
  <dcterms:modified xsi:type="dcterms:W3CDTF">2024-10-11T15:21:08Z</dcterms:modified>
</cp:coreProperties>
</file>