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F6719A5-BB12-4E5A-B5BF-435EBF4A3F8A}" xr6:coauthVersionLast="47" xr6:coauthVersionMax="47" xr10:uidLastSave="{00000000-0000-0000-0000-000000000000}"/>
  <bookViews>
    <workbookView xWindow="-51945" yWindow="645" windowWidth="25650" windowHeight="19635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46" i="2" l="1"/>
  <c r="CM41" i="2"/>
  <c r="CM44" i="2"/>
  <c r="CM45" i="2" s="1"/>
  <c r="CM47" i="2" s="1"/>
  <c r="CN46" i="2"/>
  <c r="CN44" i="2"/>
  <c r="CN41" i="2"/>
  <c r="CN53" i="2" s="1"/>
  <c r="BL37" i="2"/>
  <c r="BK37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CM49" i="2" l="1"/>
  <c r="CM50" i="2" s="1"/>
  <c r="CM54" i="2"/>
  <c r="CN45" i="2"/>
  <c r="CN47" i="2" s="1"/>
  <c r="AS56" i="2"/>
  <c r="AR56" i="2"/>
  <c r="AQ56" i="2"/>
  <c r="AP56" i="2"/>
  <c r="AO56" i="2"/>
  <c r="AN56" i="2"/>
  <c r="AM56" i="2"/>
  <c r="AL56" i="2"/>
  <c r="AK56" i="2"/>
  <c r="AJ56" i="2"/>
  <c r="BD56" i="2"/>
  <c r="BB56" i="2"/>
  <c r="BA56" i="2"/>
  <c r="AZ56" i="2"/>
  <c r="AX56" i="2"/>
  <c r="AW56" i="2"/>
  <c r="AV56" i="2"/>
  <c r="AU56" i="2"/>
  <c r="AT56" i="2"/>
  <c r="BE46" i="2"/>
  <c r="BE48" i="2"/>
  <c r="BE44" i="2"/>
  <c r="BQ56" i="2"/>
  <c r="BM56" i="2"/>
  <c r="BA37" i="2"/>
  <c r="BE37" i="2"/>
  <c r="BE39" i="2" s="1"/>
  <c r="BE41" i="2" s="1"/>
  <c r="BB48" i="2"/>
  <c r="BB46" i="2"/>
  <c r="BF48" i="2"/>
  <c r="BF46" i="2"/>
  <c r="BF44" i="2"/>
  <c r="BF39" i="2"/>
  <c r="BF41" i="2" s="1"/>
  <c r="BF53" i="2" s="1"/>
  <c r="BB37" i="2"/>
  <c r="BF37" i="2"/>
  <c r="BC46" i="2"/>
  <c r="BG48" i="2"/>
  <c r="BG46" i="2"/>
  <c r="BG44" i="2"/>
  <c r="BC39" i="2"/>
  <c r="BG39" i="2"/>
  <c r="BG41" i="2" s="1"/>
  <c r="BG53" i="2" s="1"/>
  <c r="BC37" i="2"/>
  <c r="BG37" i="2"/>
  <c r="BI46" i="2"/>
  <c r="BM46" i="2"/>
  <c r="BM44" i="2"/>
  <c r="BM41" i="2"/>
  <c r="BM53" i="2" s="1"/>
  <c r="BH46" i="2"/>
  <c r="BI44" i="2"/>
  <c r="BH44" i="2"/>
  <c r="BL46" i="2"/>
  <c r="BL44" i="2"/>
  <c r="BH39" i="2"/>
  <c r="BH41" i="2" s="1"/>
  <c r="BH53" i="2" s="1"/>
  <c r="BH37" i="2"/>
  <c r="BL39" i="2"/>
  <c r="BL41" i="2" s="1"/>
  <c r="BI37" i="2"/>
  <c r="BM37" i="2"/>
  <c r="BM39" i="2" s="1"/>
  <c r="BI39" i="2"/>
  <c r="BI41" i="2" s="1"/>
  <c r="BI53" i="2" s="1"/>
  <c r="BN3" i="2"/>
  <c r="BR58" i="2" s="1"/>
  <c r="BR56" i="2"/>
  <c r="BJ48" i="2"/>
  <c r="BJ46" i="2"/>
  <c r="BJ44" i="2"/>
  <c r="BN46" i="2"/>
  <c r="BN44" i="2"/>
  <c r="BN41" i="2"/>
  <c r="BJ37" i="2"/>
  <c r="BN37" i="2"/>
  <c r="BN39" i="2"/>
  <c r="BJ39" i="2"/>
  <c r="BJ41" i="2" s="1"/>
  <c r="BJ53" i="2" s="1"/>
  <c r="BS59" i="2"/>
  <c r="BS58" i="2"/>
  <c r="BS56" i="2"/>
  <c r="BO46" i="2"/>
  <c r="BK48" i="2"/>
  <c r="BK46" i="2"/>
  <c r="BK44" i="2"/>
  <c r="BO48" i="2"/>
  <c r="BO44" i="2"/>
  <c r="BO41" i="2"/>
  <c r="BO53" i="2" s="1"/>
  <c r="BO37" i="2"/>
  <c r="BO3" i="2"/>
  <c r="BK39" i="2"/>
  <c r="BK41" i="2" s="1"/>
  <c r="BO39" i="2"/>
  <c r="BX59" i="2"/>
  <c r="BW59" i="2"/>
  <c r="BV59" i="2"/>
  <c r="BU59" i="2"/>
  <c r="BT59" i="2"/>
  <c r="BX58" i="2"/>
  <c r="BW58" i="2"/>
  <c r="BV58" i="2"/>
  <c r="BU58" i="2"/>
  <c r="BT58" i="2"/>
  <c r="BX56" i="2"/>
  <c r="BW56" i="2"/>
  <c r="BV56" i="2"/>
  <c r="BU56" i="2"/>
  <c r="BT54" i="2"/>
  <c r="BT53" i="2"/>
  <c r="BP46" i="2"/>
  <c r="BT46" i="2"/>
  <c r="BP48" i="2"/>
  <c r="BP44" i="2"/>
  <c r="BT48" i="2"/>
  <c r="BT44" i="2"/>
  <c r="BT41" i="2"/>
  <c r="BP37" i="2"/>
  <c r="BT37" i="2"/>
  <c r="BT39" i="2" s="1"/>
  <c r="BP39" i="2"/>
  <c r="BT56" i="2" s="1"/>
  <c r="BP3" i="2"/>
  <c r="CT39" i="2"/>
  <c r="CS39" i="2"/>
  <c r="CR39" i="2"/>
  <c r="CQ39" i="2"/>
  <c r="CP39" i="2"/>
  <c r="CO39" i="2"/>
  <c r="BD37" i="2"/>
  <c r="BD48" i="2"/>
  <c r="BD46" i="2"/>
  <c r="BD44" i="2"/>
  <c r="BC44" i="2"/>
  <c r="BD39" i="2"/>
  <c r="BD41" i="2" s="1"/>
  <c r="CN61" i="2"/>
  <c r="CI61" i="2"/>
  <c r="CN91" i="2"/>
  <c r="CN84" i="2"/>
  <c r="CN82" i="2"/>
  <c r="CN74" i="2"/>
  <c r="CM74" i="2"/>
  <c r="CL74" i="2"/>
  <c r="CK74" i="2"/>
  <c r="CJ74" i="2"/>
  <c r="CN72" i="2"/>
  <c r="CJ37" i="2"/>
  <c r="CK37" i="2"/>
  <c r="CN3" i="2"/>
  <c r="CM3" i="2"/>
  <c r="CL37" i="2"/>
  <c r="CM37" i="2"/>
  <c r="CN39" i="2"/>
  <c r="CM39" i="2"/>
  <c r="CM53" i="2" s="1"/>
  <c r="CN37" i="2"/>
  <c r="CH83" i="2"/>
  <c r="CH82" i="2"/>
  <c r="CH62" i="2"/>
  <c r="CH72" i="2"/>
  <c r="CG48" i="2"/>
  <c r="CG46" i="2"/>
  <c r="CG37" i="2"/>
  <c r="CH48" i="2"/>
  <c r="CH46" i="2"/>
  <c r="CH37" i="2"/>
  <c r="CI83" i="2"/>
  <c r="CI82" i="2"/>
  <c r="CI91" i="2" s="1"/>
  <c r="CI62" i="2"/>
  <c r="CI72" i="2"/>
  <c r="CI74" i="2" s="1"/>
  <c r="CI48" i="2"/>
  <c r="CI46" i="2"/>
  <c r="CI37" i="2"/>
  <c r="CG83" i="2"/>
  <c r="CG82" i="2"/>
  <c r="CG72" i="2"/>
  <c r="CG62" i="2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R48" i="2"/>
  <c r="BR46" i="2"/>
  <c r="BZ59" i="2"/>
  <c r="BR44" i="2"/>
  <c r="BV44" i="2"/>
  <c r="BR37" i="2"/>
  <c r="BV37" i="2"/>
  <c r="BV39" i="2" s="1"/>
  <c r="BV41" i="2" s="1"/>
  <c r="BV53" i="2" s="1"/>
  <c r="BR39" i="2"/>
  <c r="BR41" i="2" s="1"/>
  <c r="BR45" i="2" s="1"/>
  <c r="DP3" i="2"/>
  <c r="DO3" i="2"/>
  <c r="DN3" i="2"/>
  <c r="DT23" i="2"/>
  <c r="DQ23" i="2"/>
  <c r="DR23" i="2"/>
  <c r="DS23" i="2"/>
  <c r="DS15" i="2"/>
  <c r="DQ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CN54" i="2" l="1"/>
  <c r="CN49" i="2"/>
  <c r="CN50" i="2" s="1"/>
  <c r="BP56" i="2"/>
  <c r="BP41" i="2"/>
  <c r="BP53" i="2" s="1"/>
  <c r="BE45" i="2"/>
  <c r="BE47" i="2" s="1"/>
  <c r="BE53" i="2"/>
  <c r="BF56" i="2"/>
  <c r="BH56" i="2"/>
  <c r="BJ56" i="2"/>
  <c r="BL56" i="2"/>
  <c r="BN56" i="2"/>
  <c r="BI56" i="2"/>
  <c r="BE56" i="2"/>
  <c r="BK56" i="2"/>
  <c r="BO56" i="2"/>
  <c r="BC41" i="2"/>
  <c r="BC53" i="2" s="1"/>
  <c r="BG56" i="2"/>
  <c r="BD45" i="2"/>
  <c r="BD47" i="2" s="1"/>
  <c r="BD54" i="2" s="1"/>
  <c r="BD53" i="2"/>
  <c r="BF45" i="2"/>
  <c r="BF47" i="2" s="1"/>
  <c r="BG45" i="2"/>
  <c r="BG47" i="2" s="1"/>
  <c r="BL45" i="2"/>
  <c r="BL47" i="2" s="1"/>
  <c r="BL53" i="2"/>
  <c r="BH45" i="2"/>
  <c r="BH47" i="2" s="1"/>
  <c r="BM45" i="2"/>
  <c r="BM47" i="2" s="1"/>
  <c r="BI45" i="2"/>
  <c r="BI47" i="2" s="1"/>
  <c r="BN45" i="2"/>
  <c r="BN47" i="2" s="1"/>
  <c r="BN49" i="2" s="1"/>
  <c r="BN50" i="2" s="1"/>
  <c r="BJ45" i="2"/>
  <c r="BJ47" i="2" s="1"/>
  <c r="BN53" i="2"/>
  <c r="BN54" i="2"/>
  <c r="BK45" i="2"/>
  <c r="BK47" i="2" s="1"/>
  <c r="BK49" i="2" s="1"/>
  <c r="BK50" i="2" s="1"/>
  <c r="BK53" i="2"/>
  <c r="BO45" i="2"/>
  <c r="BO47" i="2" s="1"/>
  <c r="BO49" i="2" s="1"/>
  <c r="BO50" i="2" s="1"/>
  <c r="BT45" i="2"/>
  <c r="BT47" i="2" s="1"/>
  <c r="BT49" i="2" s="1"/>
  <c r="BT50" i="2" s="1"/>
  <c r="BP45" i="2"/>
  <c r="BP47" i="2" s="1"/>
  <c r="BD49" i="2"/>
  <c r="BD50" i="2" s="1"/>
  <c r="CH61" i="2"/>
  <c r="CH74" i="2"/>
  <c r="BY58" i="2"/>
  <c r="CH91" i="2"/>
  <c r="BR47" i="2"/>
  <c r="BR49" i="2" s="1"/>
  <c r="BR50" i="2" s="1"/>
  <c r="CG91" i="2"/>
  <c r="BZ58" i="2"/>
  <c r="CG74" i="2"/>
  <c r="CG61" i="2"/>
  <c r="BR53" i="2"/>
  <c r="BQ45" i="2"/>
  <c r="BQ47" i="2" s="1"/>
  <c r="BQ54" i="2" s="1"/>
  <c r="BQ53" i="2"/>
  <c r="BU45" i="2"/>
  <c r="BU47" i="2" s="1"/>
  <c r="BU49" i="2" s="1"/>
  <c r="BU50" i="2" s="1"/>
  <c r="BV45" i="2"/>
  <c r="BV47" i="2" s="1"/>
  <c r="BV49" i="2" s="1"/>
  <c r="BS45" i="2"/>
  <c r="BS47" i="2" s="1"/>
  <c r="DT36" i="2"/>
  <c r="DT35" i="2"/>
  <c r="DT32" i="2"/>
  <c r="DT31" i="2"/>
  <c r="DT27" i="2"/>
  <c r="DT26" i="2"/>
  <c r="DT19" i="2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DT18" i="2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DT15" i="2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DS36" i="2"/>
  <c r="DS35" i="2"/>
  <c r="DS32" i="2"/>
  <c r="DS31" i="2"/>
  <c r="DS26" i="2"/>
  <c r="DS19" i="2"/>
  <c r="DS18" i="2"/>
  <c r="DS12" i="2"/>
  <c r="DS10" i="2"/>
  <c r="DS9" i="2"/>
  <c r="DR38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Q38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3" i="2"/>
  <c r="CF82" i="2"/>
  <c r="CF62" i="2"/>
  <c r="CF61" i="2" s="1"/>
  <c r="CF72" i="2"/>
  <c r="CJ42" i="2"/>
  <c r="CL42" i="2"/>
  <c r="CK42" i="2"/>
  <c r="CJ43" i="2"/>
  <c r="CL43" i="2"/>
  <c r="CK43" i="2"/>
  <c r="CE59" i="2"/>
  <c r="CD59" i="2"/>
  <c r="CC59" i="2"/>
  <c r="CB59" i="2"/>
  <c r="DS11" i="2"/>
  <c r="DT10" i="2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59" i="2"/>
  <c r="CI59" i="2"/>
  <c r="CL5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R37" i="2" s="1"/>
  <c r="BW39" i="2"/>
  <c r="BW41" i="2" s="1"/>
  <c r="BW53" i="2" s="1"/>
  <c r="CA46" i="2"/>
  <c r="CE46" i="2"/>
  <c r="CE44" i="2"/>
  <c r="CD44" i="2"/>
  <c r="CC44" i="2"/>
  <c r="CB44" i="2"/>
  <c r="CA44" i="2"/>
  <c r="DK51" i="2"/>
  <c r="DJ43" i="2"/>
  <c r="DK38" i="2"/>
  <c r="DK36" i="2"/>
  <c r="DK32" i="2"/>
  <c r="DK17" i="2"/>
  <c r="DK19" i="2"/>
  <c r="DK18" i="2"/>
  <c r="DC16" i="2"/>
  <c r="DJ38" i="2"/>
  <c r="DI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31" i="2"/>
  <c r="DI31" i="2"/>
  <c r="DH31" i="2"/>
  <c r="DJ27" i="2"/>
  <c r="DI27" i="2"/>
  <c r="DH27" i="2"/>
  <c r="DJ26" i="2"/>
  <c r="DI26" i="2"/>
  <c r="DH26" i="2"/>
  <c r="DJ17" i="2"/>
  <c r="DI17" i="2"/>
  <c r="DH17" i="2"/>
  <c r="DJ16" i="2"/>
  <c r="DI16" i="2"/>
  <c r="DH16" i="2"/>
  <c r="DJ15" i="2"/>
  <c r="DI15" i="2"/>
  <c r="DH15" i="2"/>
  <c r="DJ19" i="2"/>
  <c r="DJ18" i="2"/>
  <c r="DI19" i="2"/>
  <c r="DI18" i="2"/>
  <c r="DH18" i="2"/>
  <c r="DH19" i="2"/>
  <c r="DH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I14" i="2"/>
  <c r="DJ14" i="2"/>
  <c r="AY44" i="2"/>
  <c r="AY46" i="2"/>
  <c r="AY39" i="2"/>
  <c r="AY56" i="2" s="1"/>
  <c r="AZ48" i="2"/>
  <c r="AZ46" i="2"/>
  <c r="AZ44" i="2"/>
  <c r="AZ39" i="2"/>
  <c r="AZ41" i="2" s="1"/>
  <c r="J4" i="1"/>
  <c r="BG49" i="2" l="1"/>
  <c r="BG50" i="2" s="1"/>
  <c r="BG54" i="2"/>
  <c r="BE49" i="2"/>
  <c r="BE50" i="2" s="1"/>
  <c r="BE54" i="2"/>
  <c r="BC56" i="2"/>
  <c r="BC45" i="2"/>
  <c r="BC47" i="2" s="1"/>
  <c r="BC54" i="2" s="1"/>
  <c r="BF49" i="2"/>
  <c r="BF50" i="2" s="1"/>
  <c r="BF54" i="2"/>
  <c r="BM49" i="2"/>
  <c r="BM50" i="2" s="1"/>
  <c r="BM54" i="2"/>
  <c r="BI49" i="2"/>
  <c r="BI50" i="2" s="1"/>
  <c r="BI54" i="2"/>
  <c r="BL54" i="2"/>
  <c r="BL49" i="2"/>
  <c r="BL50" i="2" s="1"/>
  <c r="BH49" i="2"/>
  <c r="BH50" i="2" s="1"/>
  <c r="BH54" i="2"/>
  <c r="BJ49" i="2"/>
  <c r="BJ50" i="2" s="1"/>
  <c r="BJ54" i="2"/>
  <c r="BK54" i="2"/>
  <c r="BO54" i="2"/>
  <c r="BP49" i="2"/>
  <c r="BP50" i="2" s="1"/>
  <c r="BP54" i="2"/>
  <c r="BR54" i="2"/>
  <c r="BQ49" i="2"/>
  <c r="BQ50" i="2" s="1"/>
  <c r="DJ3" i="2"/>
  <c r="BY41" i="2"/>
  <c r="BY53" i="2" s="1"/>
  <c r="BY56" i="2"/>
  <c r="DH3" i="2"/>
  <c r="DI3" i="2"/>
  <c r="DR3" i="2"/>
  <c r="BU54" i="2"/>
  <c r="CF74" i="2"/>
  <c r="DQ3" i="2"/>
  <c r="DT28" i="2"/>
  <c r="DT30" i="2"/>
  <c r="DT14" i="2"/>
  <c r="DU14" i="2" s="1"/>
  <c r="DV14" i="2" s="1"/>
  <c r="DW14" i="2" s="1"/>
  <c r="DT12" i="2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8" i="2" s="1"/>
  <c r="CK59" i="2"/>
  <c r="BV50" i="2"/>
  <c r="BV54" i="2"/>
  <c r="BS49" i="2"/>
  <c r="BS50" i="2" s="1"/>
  <c r="BS54" i="2"/>
  <c r="CJ44" i="2"/>
  <c r="CF91" i="2"/>
  <c r="DS16" i="2"/>
  <c r="DS17" i="2"/>
  <c r="DT33" i="2"/>
  <c r="DS20" i="2"/>
  <c r="DT38" i="2"/>
  <c r="DS14" i="2"/>
  <c r="CI44" i="2"/>
  <c r="DS33" i="2"/>
  <c r="DT13" i="2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4" i="2"/>
  <c r="BW45" i="2"/>
  <c r="BW47" i="2" s="1"/>
  <c r="DS13" i="2"/>
  <c r="DS24" i="2"/>
  <c r="DS38" i="2"/>
  <c r="DS25" i="2"/>
  <c r="DT20" i="2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DS21" i="2"/>
  <c r="DQ37" i="2"/>
  <c r="DS27" i="2"/>
  <c r="DT21" i="2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DT34" i="2"/>
  <c r="DS22" i="2"/>
  <c r="DS28" i="2"/>
  <c r="DT22" i="2"/>
  <c r="DT24" i="2"/>
  <c r="DS30" i="2"/>
  <c r="DT25" i="2"/>
  <c r="DT9" i="2"/>
  <c r="CG44" i="2"/>
  <c r="CH44" i="2"/>
  <c r="CF58" i="2"/>
  <c r="CD58" i="2"/>
  <c r="CH59" i="2"/>
  <c r="CK44" i="2"/>
  <c r="CL44" i="2"/>
  <c r="CJ51" i="2"/>
  <c r="CV39" i="2"/>
  <c r="CX39" i="2"/>
  <c r="CY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CD45" i="2"/>
  <c r="CD47" i="2" s="1"/>
  <c r="CA39" i="2"/>
  <c r="CA56" i="2" s="1"/>
  <c r="DK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BC49" i="2" l="1"/>
  <c r="BC50" i="2" s="1"/>
  <c r="BY45" i="2"/>
  <c r="BY47" i="2" s="1"/>
  <c r="BY54" i="2" s="1"/>
  <c r="DS3" i="2"/>
  <c r="CI3" i="2"/>
  <c r="CI58" i="2" s="1"/>
  <c r="DU9" i="2"/>
  <c r="DX14" i="2"/>
  <c r="BW49" i="2"/>
  <c r="BW50" i="2" s="1"/>
  <c r="BW54" i="2"/>
  <c r="CI39" i="2"/>
  <c r="DS29" i="2"/>
  <c r="CG39" i="2"/>
  <c r="CG41" i="2" s="1"/>
  <c r="CK51" i="2"/>
  <c r="CG58" i="2"/>
  <c r="CW39" i="2"/>
  <c r="DB39" i="2"/>
  <c r="CZ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E49" i="2"/>
  <c r="CE50" i="2" s="1"/>
  <c r="CE54" i="2"/>
  <c r="CD54" i="2"/>
  <c r="CD49" i="2"/>
  <c r="CD50" i="2" s="1"/>
  <c r="CC49" i="2"/>
  <c r="CC50" i="2" s="1"/>
  <c r="CC54" i="2"/>
  <c r="AZ85" i="2"/>
  <c r="AZ74" i="2"/>
  <c r="DL14" i="2"/>
  <c r="DK43" i="2"/>
  <c r="AZ49" i="2"/>
  <c r="AZ50" i="2" s="1"/>
  <c r="AZ54" i="2"/>
  <c r="BY49" i="2" l="1"/>
  <c r="BY50" i="2" s="1"/>
  <c r="CA45" i="2"/>
  <c r="CA47" i="2" s="1"/>
  <c r="CA49" i="2" s="1"/>
  <c r="CA50" i="2" s="1"/>
  <c r="CI56" i="2"/>
  <c r="CI41" i="2"/>
  <c r="DT17" i="2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DS37" i="2"/>
  <c r="CJ3" i="2"/>
  <c r="CJ58" i="2" s="1"/>
  <c r="DV9" i="2"/>
  <c r="DY14" i="2"/>
  <c r="DT16" i="2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CH39" i="2"/>
  <c r="CH41" i="2" s="1"/>
  <c r="DT29" i="2"/>
  <c r="CG56" i="2"/>
  <c r="CL51" i="2"/>
  <c r="DA39" i="2"/>
  <c r="BX49" i="2"/>
  <c r="BX50" i="2" s="1"/>
  <c r="BX54" i="2"/>
  <c r="DK15" i="2"/>
  <c r="DL43" i="2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K44" i="2"/>
  <c r="DK16" i="2"/>
  <c r="DL16" i="2" s="1"/>
  <c r="DM16" i="2" s="1"/>
  <c r="DM14" i="2"/>
  <c r="AZ102" i="2"/>
  <c r="AZ100" i="2"/>
  <c r="AZ101" i="2"/>
  <c r="AZ99" i="2"/>
  <c r="DI51" i="2"/>
  <c r="DJ51" i="2"/>
  <c r="DI43" i="2"/>
  <c r="DI42" i="2"/>
  <c r="DI40" i="2"/>
  <c r="AQ46" i="2"/>
  <c r="AQ44" i="2"/>
  <c r="AQ41" i="2"/>
  <c r="AQ53" i="2" s="1"/>
  <c r="AR46" i="2"/>
  <c r="AR44" i="2"/>
  <c r="AR41" i="2"/>
  <c r="AR53" i="2" s="1"/>
  <c r="AS48" i="2"/>
  <c r="AS46" i="2"/>
  <c r="AS44" i="2"/>
  <c r="AT48" i="2"/>
  <c r="AT46" i="2"/>
  <c r="AT44" i="2"/>
  <c r="DJ42" i="2"/>
  <c r="DJ40" i="2"/>
  <c r="DL18" i="2"/>
  <c r="DM18" i="2" s="1"/>
  <c r="AU46" i="2"/>
  <c r="AU44" i="2"/>
  <c r="CA54" i="2" l="1"/>
  <c r="CK39" i="2"/>
  <c r="CK45" i="2" s="1"/>
  <c r="CK47" i="2" s="1"/>
  <c r="CJ39" i="2"/>
  <c r="CJ45" i="2" s="1"/>
  <c r="CJ47" i="2" s="1"/>
  <c r="CJ54" i="2" s="1"/>
  <c r="CK3" i="2"/>
  <c r="CK58" i="2" s="1"/>
  <c r="DW9" i="2"/>
  <c r="DZ14" i="2"/>
  <c r="CH56" i="2"/>
  <c r="DT37" i="2"/>
  <c r="CI45" i="2"/>
  <c r="CI47" i="2" s="1"/>
  <c r="CI53" i="2"/>
  <c r="CG45" i="2"/>
  <c r="CG47" i="2" s="1"/>
  <c r="CG53" i="2"/>
  <c r="DK34" i="2"/>
  <c r="DK35" i="2"/>
  <c r="DK37" i="2"/>
  <c r="DL37" i="2" s="1"/>
  <c r="DM37" i="2" s="1"/>
  <c r="DJ39" i="2"/>
  <c r="DJ41" i="2" s="1"/>
  <c r="DJ53" i="2" s="1"/>
  <c r="DJ44" i="2"/>
  <c r="DI39" i="2"/>
  <c r="DI41" i="2" s="1"/>
  <c r="DI53" i="2" s="1"/>
  <c r="DI48" i="2"/>
  <c r="DI46" i="2"/>
  <c r="AR45" i="2"/>
  <c r="AR47" i="2" s="1"/>
  <c r="DI44" i="2"/>
  <c r="AQ45" i="2"/>
  <c r="AQ47" i="2" s="1"/>
  <c r="CK56" i="2" l="1"/>
  <c r="CJ53" i="2"/>
  <c r="CJ56" i="2"/>
  <c r="CK53" i="2"/>
  <c r="CL3" i="2"/>
  <c r="CL58" i="2" s="1"/>
  <c r="DT11" i="2"/>
  <c r="CL39" i="2"/>
  <c r="DX9" i="2"/>
  <c r="EA14" i="2"/>
  <c r="CH53" i="2"/>
  <c r="CH45" i="2"/>
  <c r="CH47" i="2" s="1"/>
  <c r="CJ49" i="2"/>
  <c r="CJ50" i="2" s="1"/>
  <c r="CI54" i="2"/>
  <c r="CG54" i="2"/>
  <c r="CK54" i="2"/>
  <c r="DK27" i="2"/>
  <c r="DL27" i="2" s="1"/>
  <c r="DM27" i="2" s="1"/>
  <c r="DI45" i="2"/>
  <c r="DJ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AW48" i="2"/>
  <c r="AW46" i="2"/>
  <c r="AW44" i="2"/>
  <c r="AV41" i="2"/>
  <c r="AU41" i="2"/>
  <c r="AT41" i="2"/>
  <c r="AS41" i="2"/>
  <c r="DU11" i="2" l="1"/>
  <c r="DT3" i="2"/>
  <c r="CL56" i="2"/>
  <c r="CK49" i="2"/>
  <c r="CK50" i="2" s="1"/>
  <c r="DY9" i="2"/>
  <c r="EB14" i="2"/>
  <c r="CG49" i="2"/>
  <c r="CI49" i="2"/>
  <c r="CI50" i="2" s="1"/>
  <c r="CH54" i="2"/>
  <c r="AO39" i="2"/>
  <c r="DH38" i="2"/>
  <c r="DK46" i="2"/>
  <c r="DK33" i="2"/>
  <c r="DJ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DK26" i="2"/>
  <c r="DK3" i="2" s="1"/>
  <c r="AX46" i="2"/>
  <c r="DJ46" i="2" s="1"/>
  <c r="DJ47" i="2" s="1"/>
  <c r="AX44" i="2"/>
  <c r="CL45" i="2" l="1"/>
  <c r="CL47" i="2" s="1"/>
  <c r="CL53" i="2"/>
  <c r="DV11" i="2"/>
  <c r="DU3" i="2"/>
  <c r="CG50" i="2"/>
  <c r="DZ9" i="2"/>
  <c r="EC14" i="2"/>
  <c r="CH49" i="2"/>
  <c r="CH50" i="2" s="1"/>
  <c r="BA39" i="2"/>
  <c r="BA40" i="2" s="1"/>
  <c r="BA41" i="2" s="1"/>
  <c r="DJ49" i="2"/>
  <c r="DJ50" i="2" s="1"/>
  <c r="AW45" i="2"/>
  <c r="AW47" i="2" s="1"/>
  <c r="AW54" i="2" s="1"/>
  <c r="DJ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DK31" i="2"/>
  <c r="DK39" i="2" s="1"/>
  <c r="AX41" i="2"/>
  <c r="DW11" i="2" l="1"/>
  <c r="DV3" i="2"/>
  <c r="CL54" i="2"/>
  <c r="EA9" i="2"/>
  <c r="ED14" i="2"/>
  <c r="AW49" i="2"/>
  <c r="AW50" i="2" s="1"/>
  <c r="DK41" i="2"/>
  <c r="DK45" i="2" s="1"/>
  <c r="DK47" i="2" s="1"/>
  <c r="BB39" i="2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X11" i="2"/>
  <c r="DW3" i="2"/>
  <c r="EB9" i="2"/>
  <c r="EE14" i="2"/>
  <c r="DK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Y11" i="2" l="1"/>
  <c r="DX3" i="2"/>
  <c r="EC9" i="2"/>
  <c r="EF14" i="2"/>
  <c r="AY47" i="2"/>
  <c r="AY49" i="2" s="1"/>
  <c r="AY50" i="2" s="1"/>
  <c r="BB53" i="2"/>
  <c r="BB45" i="2"/>
  <c r="BB47" i="2" s="1"/>
  <c r="BB54" i="2" s="1"/>
  <c r="BA45" i="2"/>
  <c r="BA47" i="2" s="1"/>
  <c r="BA53" i="2"/>
  <c r="AM46" i="2"/>
  <c r="AM47" i="2" s="1"/>
  <c r="AM49" i="2" s="1"/>
  <c r="DZ11" i="2" l="1"/>
  <c r="DY3" i="2"/>
  <c r="ED9" i="2"/>
  <c r="AY54" i="2"/>
  <c r="BB49" i="2"/>
  <c r="BB50" i="2" s="1"/>
  <c r="BA48" i="2"/>
  <c r="DH43" i="2"/>
  <c r="AL46" i="2"/>
  <c r="AL47" i="2" s="1"/>
  <c r="AL49" i="2" s="1"/>
  <c r="EA11" i="2" l="1"/>
  <c r="DZ3" i="2"/>
  <c r="EE9" i="2"/>
  <c r="BA54" i="2"/>
  <c r="DK48" i="2"/>
  <c r="DK49" i="2" s="1"/>
  <c r="DK50" i="2" s="1"/>
  <c r="BA49" i="2"/>
  <c r="EB11" i="2" l="1"/>
  <c r="EA3" i="2"/>
  <c r="EF9" i="2"/>
  <c r="BA50" i="2"/>
  <c r="BA61" i="2"/>
  <c r="BB61" i="2" s="1"/>
  <c r="DK61" i="2" s="1"/>
  <c r="DL46" i="2" s="1"/>
  <c r="DD37" i="2"/>
  <c r="DD34" i="2"/>
  <c r="DD31" i="2"/>
  <c r="DD33" i="2"/>
  <c r="DD26" i="2"/>
  <c r="DD17" i="2"/>
  <c r="DE51" i="2"/>
  <c r="DE34" i="2"/>
  <c r="DE31" i="2"/>
  <c r="DE33" i="2"/>
  <c r="DE26" i="2"/>
  <c r="DE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G51" i="2"/>
  <c r="DF51" i="2"/>
  <c r="DF43" i="2"/>
  <c r="DF42" i="2"/>
  <c r="AN39" i="2"/>
  <c r="AN41" i="2" s="1"/>
  <c r="AN45" i="2" s="1"/>
  <c r="AN47" i="2" s="1"/>
  <c r="AN51" i="2"/>
  <c r="AK46" i="2"/>
  <c r="AK47" i="2" s="1"/>
  <c r="AK49" i="2" s="1"/>
  <c r="DH51" i="2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AI74" i="2"/>
  <c r="AJ74" i="2"/>
  <c r="AK74" i="2"/>
  <c r="DG37" i="2"/>
  <c r="DG26" i="2"/>
  <c r="AJ46" i="2"/>
  <c r="AJ47" i="2" s="1"/>
  <c r="AJ49" i="2" s="1"/>
  <c r="DF38" i="2"/>
  <c r="DF37" i="2"/>
  <c r="DF35" i="2"/>
  <c r="DF34" i="2"/>
  <c r="DF31" i="2"/>
  <c r="DF33" i="2"/>
  <c r="DF26" i="2"/>
  <c r="DF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DD38" i="2" s="1"/>
  <c r="Y44" i="2"/>
  <c r="Y46" i="2"/>
  <c r="AB15" i="2"/>
  <c r="AB16" i="2"/>
  <c r="W51" i="2"/>
  <c r="DD51" i="2" s="1"/>
  <c r="X16" i="2"/>
  <c r="X15" i="2"/>
  <c r="AB40" i="2"/>
  <c r="AB43" i="2"/>
  <c r="AB42" i="2"/>
  <c r="X40" i="2"/>
  <c r="X44" i="2"/>
  <c r="X46" i="2"/>
  <c r="X48" i="2"/>
  <c r="AA37" i="2"/>
  <c r="AA38" i="2"/>
  <c r="DE38" i="2" s="1"/>
  <c r="Z39" i="2"/>
  <c r="W39" i="2"/>
  <c r="V39" i="2"/>
  <c r="S39" i="2"/>
  <c r="R39" i="2"/>
  <c r="Q39" i="2"/>
  <c r="AD44" i="2"/>
  <c r="Z44" i="2"/>
  <c r="Z46" i="2"/>
  <c r="DC51" i="2"/>
  <c r="S40" i="2"/>
  <c r="S43" i="2"/>
  <c r="S42" i="2"/>
  <c r="S48" i="2"/>
  <c r="T38" i="2"/>
  <c r="DC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DD43" i="2" s="1"/>
  <c r="W42" i="2"/>
  <c r="DD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DC31" i="2"/>
  <c r="DC33" i="2"/>
  <c r="DC26" i="2"/>
  <c r="DC17" i="2"/>
  <c r="DC15" i="2"/>
  <c r="CV44" i="2"/>
  <c r="CV45" i="2" s="1"/>
  <c r="CW44" i="2"/>
  <c r="CW45" i="2" s="1"/>
  <c r="CW47" i="2" s="1"/>
  <c r="CW49" i="2" s="1"/>
  <c r="CX44" i="2"/>
  <c r="CX45" i="2" s="1"/>
  <c r="CX47" i="2" s="1"/>
  <c r="CY44" i="2"/>
  <c r="CY45" i="2" s="1"/>
  <c r="CZ44" i="2"/>
  <c r="CZ45" i="2" s="1"/>
  <c r="DA44" i="2"/>
  <c r="DA45" i="2" s="1"/>
  <c r="DA47" i="2" s="1"/>
  <c r="DB44" i="2"/>
  <c r="DB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1" i="2"/>
  <c r="DG42" i="2"/>
  <c r="DG35" i="2"/>
  <c r="DG38" i="2"/>
  <c r="DG34" i="2"/>
  <c r="DG33" i="2"/>
  <c r="DG43" i="2"/>
  <c r="EC11" i="2" l="1"/>
  <c r="EB3" i="2"/>
  <c r="AF47" i="2"/>
  <c r="AF49" i="2" s="1"/>
  <c r="DC39" i="2"/>
  <c r="L85" i="6"/>
  <c r="AF55" i="6"/>
  <c r="AH55" i="6" s="1"/>
  <c r="L15" i="6"/>
  <c r="G94" i="6"/>
  <c r="W91" i="6" s="1"/>
  <c r="AZ78" i="6"/>
  <c r="L72" i="6"/>
  <c r="Y89" i="6"/>
  <c r="AK59" i="6"/>
  <c r="DD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DC42" i="2"/>
  <c r="DA53" i="2"/>
  <c r="U44" i="2"/>
  <c r="DG46" i="2"/>
  <c r="DF44" i="2"/>
  <c r="E39" i="2"/>
  <c r="E41" i="2" s="1"/>
  <c r="E44" i="2" s="1"/>
  <c r="E45" i="2" s="1"/>
  <c r="P39" i="2"/>
  <c r="P41" i="2" s="1"/>
  <c r="P44" i="2" s="1"/>
  <c r="P45" i="2" s="1"/>
  <c r="P47" i="2" s="1"/>
  <c r="V44" i="2"/>
  <c r="DF46" i="2"/>
  <c r="DN44" i="2"/>
  <c r="DE43" i="2"/>
  <c r="T44" i="2"/>
  <c r="DF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W50" i="2"/>
  <c r="U39" i="2"/>
  <c r="CW54" i="2"/>
  <c r="N39" i="2"/>
  <c r="H39" i="2"/>
  <c r="I53" i="2"/>
  <c r="D39" i="2"/>
  <c r="D53" i="2" s="1"/>
  <c r="I41" i="2"/>
  <c r="I44" i="2" s="1"/>
  <c r="I45" i="2" s="1"/>
  <c r="DE37" i="2"/>
  <c r="DC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8" i="2"/>
  <c r="Y120" i="6"/>
  <c r="N83" i="6"/>
  <c r="AV65" i="6"/>
  <c r="AV67" i="6"/>
  <c r="AI60" i="6"/>
  <c r="J60" i="6"/>
  <c r="Y111" i="6"/>
  <c r="T120" i="6"/>
  <c r="AX94" i="6"/>
  <c r="DH42" i="2"/>
  <c r="DH44" i="2" s="1"/>
  <c r="Q41" i="2"/>
  <c r="Q44" i="2" s="1"/>
  <c r="Q45" i="2" s="1"/>
  <c r="Q53" i="2"/>
  <c r="CY53" i="2"/>
  <c r="AO44" i="2"/>
  <c r="CY47" i="2"/>
  <c r="R41" i="2"/>
  <c r="R44" i="2" s="1"/>
  <c r="R45" i="2" s="1"/>
  <c r="R53" i="2"/>
  <c r="DM44" i="2"/>
  <c r="DG44" i="2"/>
  <c r="K39" i="2"/>
  <c r="DL38" i="2"/>
  <c r="DM38" i="2" s="1"/>
  <c r="DE42" i="2"/>
  <c r="DO44" i="2"/>
  <c r="O39" i="2"/>
  <c r="DL26" i="2"/>
  <c r="DM26" i="2" s="1"/>
  <c r="DL33" i="2"/>
  <c r="DM33" i="2" s="1"/>
  <c r="DL44" i="2"/>
  <c r="DE46" i="2"/>
  <c r="CZ47" i="2"/>
  <c r="S41" i="2"/>
  <c r="DB53" i="2"/>
  <c r="M53" i="2"/>
  <c r="M41" i="2"/>
  <c r="M44" i="2" s="1"/>
  <c r="M45" i="2" s="1"/>
  <c r="DD44" i="2"/>
  <c r="DB47" i="2"/>
  <c r="CV47" i="2"/>
  <c r="C41" i="2"/>
  <c r="C44" i="2" s="1"/>
  <c r="C45" i="2" s="1"/>
  <c r="C53" i="2"/>
  <c r="V41" i="2"/>
  <c r="DF15" i="2"/>
  <c r="DF16" i="2"/>
  <c r="DA54" i="2"/>
  <c r="DA49" i="2"/>
  <c r="CX49" i="2"/>
  <c r="CX54" i="2"/>
  <c r="J41" i="2"/>
  <c r="J44" i="2" s="1"/>
  <c r="J45" i="2" s="1"/>
  <c r="J53" i="2"/>
  <c r="DG16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3" i="2"/>
  <c r="P53" i="2"/>
  <c r="E53" i="2"/>
  <c r="E47" i="2"/>
  <c r="E49" i="2" s="1"/>
  <c r="F41" i="2"/>
  <c r="F44" i="2" s="1"/>
  <c r="F45" i="2" s="1"/>
  <c r="I47" i="2"/>
  <c r="I54" i="2" s="1"/>
  <c r="DC44" i="2"/>
  <c r="DE44" i="2"/>
  <c r="G53" i="2"/>
  <c r="Y47" i="2"/>
  <c r="Y49" i="2" s="1"/>
  <c r="CV53" i="2"/>
  <c r="D41" i="2"/>
  <c r="D44" i="2" s="1"/>
  <c r="D45" i="2" s="1"/>
  <c r="D47" i="2" s="1"/>
  <c r="N41" i="2"/>
  <c r="N44" i="2" s="1"/>
  <c r="N45" i="2" s="1"/>
  <c r="N53" i="2"/>
  <c r="CZ53" i="2"/>
  <c r="U41" i="2"/>
  <c r="W53" i="2"/>
  <c r="H41" i="2"/>
  <c r="H44" i="2" s="1"/>
  <c r="H45" i="2" s="1"/>
  <c r="H53" i="2"/>
  <c r="Y53" i="2"/>
  <c r="CY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49" i="2"/>
  <c r="CY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4" i="2"/>
  <c r="DM34" i="2" s="1"/>
  <c r="Z120" i="6"/>
  <c r="V120" i="6"/>
  <c r="T121" i="6"/>
  <c r="AU68" i="6"/>
  <c r="AY68" i="6"/>
  <c r="H14" i="27"/>
  <c r="G16" i="27"/>
  <c r="G18" i="27" s="1"/>
  <c r="DL31" i="2"/>
  <c r="DM31" i="2" s="1"/>
  <c r="P54" i="2"/>
  <c r="P49" i="2"/>
  <c r="CX53" i="2"/>
  <c r="O41" i="2"/>
  <c r="O44" i="2" s="1"/>
  <c r="O45" i="2" s="1"/>
  <c r="O53" i="2"/>
  <c r="K41" i="2"/>
  <c r="K44" i="2" s="1"/>
  <c r="K45" i="2" s="1"/>
  <c r="K53" i="2"/>
  <c r="R47" i="2"/>
  <c r="DP44" i="2"/>
  <c r="Q47" i="2"/>
  <c r="L54" i="2"/>
  <c r="L49" i="2"/>
  <c r="J47" i="2"/>
  <c r="C47" i="2"/>
  <c r="CV54" i="2"/>
  <c r="CV49" i="2"/>
  <c r="V53" i="2"/>
  <c r="V45" i="2"/>
  <c r="DB49" i="2"/>
  <c r="DB54" i="2"/>
  <c r="M47" i="2"/>
  <c r="S53" i="2"/>
  <c r="S45" i="2"/>
  <c r="CZ54" i="2"/>
  <c r="CZ49" i="2"/>
  <c r="AA41" i="2"/>
  <c r="CX50" i="2"/>
  <c r="DA50" i="2"/>
  <c r="EE11" i="2" l="1"/>
  <c r="ED3" i="2"/>
  <c r="DG39" i="2"/>
  <c r="DL35" i="2"/>
  <c r="DM35" i="2" s="1"/>
  <c r="DQ44" i="2"/>
  <c r="E54" i="2"/>
  <c r="F47" i="2"/>
  <c r="F49" i="2" s="1"/>
  <c r="I49" i="2"/>
  <c r="Y50" i="2"/>
  <c r="Y54" i="2"/>
  <c r="DC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DE39" i="2"/>
  <c r="CZ50" i="2"/>
  <c r="AC39" i="2"/>
  <c r="AA53" i="2"/>
  <c r="AA45" i="2"/>
  <c r="S47" i="2"/>
  <c r="M49" i="2"/>
  <c r="M54" i="2"/>
  <c r="CV50" i="2"/>
  <c r="AD39" i="2"/>
  <c r="X39" i="2"/>
  <c r="DB50" i="2"/>
  <c r="AB39" i="2"/>
  <c r="J54" i="2"/>
  <c r="J49" i="2"/>
  <c r="V47" i="2"/>
  <c r="C49" i="2"/>
  <c r="C54" i="2"/>
  <c r="F54" i="2" l="1"/>
  <c r="EF11" i="2"/>
  <c r="EF3" i="2" s="1"/>
  <c r="EE3" i="2"/>
  <c r="DR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DC47" i="2"/>
  <c r="AC41" i="2"/>
  <c r="DS44" i="2" l="1"/>
  <c r="DC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L17" i="2"/>
  <c r="K50" i="2"/>
  <c r="AK53" i="2"/>
  <c r="AF53" i="2"/>
  <c r="DC48" i="2"/>
  <c r="DC49" i="2" s="1"/>
  <c r="AG53" i="2"/>
  <c r="AI53" i="2"/>
  <c r="AE53" i="2"/>
  <c r="DF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T44" i="2" l="1"/>
  <c r="U50" i="2"/>
  <c r="T50" i="2"/>
  <c r="K16" i="27"/>
  <c r="K18" i="27" s="1"/>
  <c r="L14" i="27"/>
  <c r="DM17" i="2"/>
  <c r="X47" i="2"/>
  <c r="AD47" i="2"/>
  <c r="AB47" i="2"/>
  <c r="DF45" i="2"/>
  <c r="DF40" i="2"/>
  <c r="AC47" i="2"/>
  <c r="DE45" i="2"/>
  <c r="AL53" i="2"/>
  <c r="AA50" i="2"/>
  <c r="DD45" i="2"/>
  <c r="DD53" i="2"/>
  <c r="DG41" i="2"/>
  <c r="DH39" i="2" l="1"/>
  <c r="DU44" i="2"/>
  <c r="DV44" i="2"/>
  <c r="AM50" i="2"/>
  <c r="L16" i="27"/>
  <c r="L18" i="27" s="1"/>
  <c r="M14" i="27"/>
  <c r="M16" i="27" s="1"/>
  <c r="M18" i="27" s="1"/>
  <c r="DD47" i="2"/>
  <c r="AG54" i="2"/>
  <c r="AC54" i="2"/>
  <c r="AC49" i="2"/>
  <c r="AF54" i="2"/>
  <c r="AB49" i="2"/>
  <c r="AB54" i="2"/>
  <c r="AJ54" i="2"/>
  <c r="AD54" i="2"/>
  <c r="AD49" i="2"/>
  <c r="AK54" i="2"/>
  <c r="AM53" i="2"/>
  <c r="DE53" i="2"/>
  <c r="AH54" i="2"/>
  <c r="DF53" i="2"/>
  <c r="DG45" i="2"/>
  <c r="DG40" i="2"/>
  <c r="AE54" i="2"/>
  <c r="AI54" i="2"/>
  <c r="DE47" i="2"/>
  <c r="DF47" i="2"/>
  <c r="X54" i="2"/>
  <c r="X49" i="2"/>
  <c r="X50" i="2" l="1"/>
  <c r="DF54" i="2"/>
  <c r="DF49" i="2"/>
  <c r="AI50" i="2"/>
  <c r="AE50" i="2"/>
  <c r="DG53" i="2"/>
  <c r="AH50" i="2"/>
  <c r="AK50" i="2"/>
  <c r="AJ50" i="2"/>
  <c r="AB50" i="2"/>
  <c r="AF50" i="2"/>
  <c r="AG50" i="2"/>
  <c r="AO41" i="2"/>
  <c r="DE49" i="2"/>
  <c r="DE54" i="2"/>
  <c r="DG47" i="2"/>
  <c r="AD50" i="2"/>
  <c r="AN53" i="2"/>
  <c r="AC50" i="2"/>
  <c r="DD48" i="2"/>
  <c r="DD49" i="2" s="1"/>
  <c r="AM54" i="2" l="1"/>
  <c r="DE50" i="2"/>
  <c r="AO45" i="2"/>
  <c r="AO53" i="2"/>
  <c r="DG48" i="2"/>
  <c r="DG54" i="2" s="1"/>
  <c r="AL54" i="2"/>
  <c r="DF50" i="2"/>
  <c r="DH41" i="2"/>
  <c r="DH45" i="2" s="1"/>
  <c r="DD50" i="2"/>
  <c r="DH40" i="2" l="1"/>
  <c r="DL15" i="2"/>
  <c r="DL3" i="2" s="1"/>
  <c r="AL50" i="2"/>
  <c r="AO47" i="2"/>
  <c r="AO49" i="2" s="1"/>
  <c r="DG49" i="2"/>
  <c r="AP53" i="2"/>
  <c r="DL39" i="2" l="1"/>
  <c r="DL41" i="2" s="1"/>
  <c r="AN54" i="2"/>
  <c r="AN49" i="2"/>
  <c r="DH53" i="2"/>
  <c r="DM15" i="2"/>
  <c r="DM3" i="2" s="1"/>
  <c r="AP47" i="2"/>
  <c r="AP49" i="2" s="1"/>
  <c r="AP50" i="2" s="1"/>
  <c r="AO54" i="2"/>
  <c r="DG50" i="2"/>
  <c r="DH47" i="2"/>
  <c r="DM39" i="2" l="1"/>
  <c r="DM41" i="2" s="1"/>
  <c r="DH48" i="2"/>
  <c r="DH49" i="2" s="1"/>
  <c r="AP54" i="2"/>
  <c r="AN50" i="2"/>
  <c r="DN39" i="2" l="1"/>
  <c r="DN41" i="2" s="1"/>
  <c r="DH50" i="2"/>
  <c r="AO50" i="2"/>
  <c r="DO39" i="2" l="1"/>
  <c r="DO41" i="2" s="1"/>
  <c r="DK53" i="2"/>
  <c r="DI47" i="2"/>
  <c r="DI54" i="2" s="1"/>
  <c r="DP39" i="2" l="1"/>
  <c r="DP41" i="2" s="1"/>
  <c r="DL45" i="2"/>
  <c r="DL53" i="2"/>
  <c r="DL40" i="2"/>
  <c r="DI49" i="2"/>
  <c r="DI50" i="2" s="1"/>
  <c r="DQ39" i="2" l="1"/>
  <c r="DQ41" i="2" s="1"/>
  <c r="DM45" i="2"/>
  <c r="DM53" i="2"/>
  <c r="DM40" i="2"/>
  <c r="DR39" i="2" l="1"/>
  <c r="DR41" i="2" s="1"/>
  <c r="DN45" i="2"/>
  <c r="DN53" i="2"/>
  <c r="DO45" i="2"/>
  <c r="DO53" i="2"/>
  <c r="DO40" i="2"/>
  <c r="DN40" i="2"/>
  <c r="DS39" i="2" l="1"/>
  <c r="DS41" i="2" s="1"/>
  <c r="DT39" i="2" l="1"/>
  <c r="DT41" i="2" s="1"/>
  <c r="DR53" i="2"/>
  <c r="DR45" i="2"/>
  <c r="DR40" i="2"/>
  <c r="DP45" i="2"/>
  <c r="DP53" i="2"/>
  <c r="DP40" i="2"/>
  <c r="DU39" i="2" l="1"/>
  <c r="DU41" i="2" s="1"/>
  <c r="DS53" i="2"/>
  <c r="DS45" i="2"/>
  <c r="DS40" i="2"/>
  <c r="DQ45" i="2"/>
  <c r="DQ53" i="2"/>
  <c r="DQ40" i="2"/>
  <c r="DV39" i="2" l="1"/>
  <c r="DV41" i="2" s="1"/>
  <c r="DU40" i="2"/>
  <c r="DT53" i="2"/>
  <c r="DT45" i="2"/>
  <c r="DT40" i="2"/>
  <c r="DK54" i="2"/>
  <c r="DV40" i="2" l="1"/>
  <c r="DU53" i="2"/>
  <c r="DU45" i="2"/>
  <c r="DV53" i="2"/>
  <c r="DV45" i="2"/>
  <c r="DL47" i="2" l="1"/>
  <c r="DL48" i="2" l="1"/>
  <c r="DL54" i="2" s="1"/>
  <c r="DL49" i="2" l="1"/>
  <c r="DL61" i="2" s="1"/>
  <c r="DM46" i="2" s="1"/>
  <c r="DL50" i="2" l="1"/>
  <c r="DM47" i="2" l="1"/>
  <c r="DM48" i="2" l="1"/>
  <c r="DM54" i="2" s="1"/>
  <c r="DM49" i="2" l="1"/>
  <c r="DM61" i="2" s="1"/>
  <c r="DN46" i="2" s="1"/>
  <c r="DM50" i="2" l="1"/>
  <c r="DN47" i="2" l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P50" i="2" l="1"/>
  <c r="DP61" i="2"/>
  <c r="DQ46" i="2" s="1"/>
  <c r="DQ47" i="2" s="1"/>
  <c r="DQ48" i="2" l="1"/>
  <c r="DQ54" i="2" s="1"/>
  <c r="DQ49" i="2" l="1"/>
  <c r="DQ50" i="2" l="1"/>
  <c r="DQ61" i="2"/>
  <c r="DR46" i="2" s="1"/>
  <c r="DR47" i="2" s="1"/>
  <c r="DR48" i="2" l="1"/>
  <c r="DR49" i="2" l="1"/>
  <c r="DR54" i="2"/>
  <c r="DR50" i="2" l="1"/>
  <c r="DR61" i="2"/>
  <c r="DS46" i="2" s="1"/>
  <c r="DS47" i="2" s="1"/>
  <c r="DS48" i="2" l="1"/>
  <c r="DS49" i="2" l="1"/>
  <c r="DS54" i="2"/>
  <c r="DS50" i="2" l="1"/>
  <c r="DS61" i="2"/>
  <c r="DT46" i="2" s="1"/>
  <c r="DT47" i="2" s="1"/>
  <c r="DT48" i="2" l="1"/>
  <c r="DT54" i="2" s="1"/>
  <c r="DT49" i="2" l="1"/>
  <c r="DT50" i="2" l="1"/>
  <c r="DT61" i="2"/>
  <c r="DU46" i="2" s="1"/>
  <c r="DU47" i="2" s="1"/>
  <c r="DU48" i="2" l="1"/>
  <c r="DU54" i="2" s="1"/>
  <c r="DU49" i="2" l="1"/>
  <c r="DU50" i="2" l="1"/>
  <c r="DU61" i="2"/>
  <c r="DV46" i="2" s="1"/>
  <c r="DV47" i="2" s="1"/>
  <c r="DV48" i="2" l="1"/>
  <c r="DV54" i="2" s="1"/>
  <c r="DV49" i="2" l="1"/>
  <c r="DW49" i="2" s="1"/>
  <c r="DV50" i="2" l="1"/>
  <c r="DV61" i="2"/>
  <c r="DX49" i="2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EA58" i="2" s="1"/>
  <c r="EA59" i="2" l="1"/>
  <c r="BZ39" i="2" l="1"/>
  <c r="BZ56" i="2" s="1"/>
  <c r="BZ41" i="2" l="1"/>
  <c r="BZ53" i="2" s="1"/>
  <c r="CD56" i="2"/>
  <c r="BZ45" i="2" l="1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<sst xmlns="http://schemas.openxmlformats.org/spreadsheetml/2006/main" count="1072" uniqueCount="781">
  <si>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</si>
  <si>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</si>
  <si>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</si>
  <si>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</si>
  <si>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</si>
  <si>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</si>
  <si>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</si>
  <si>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</si>
  <si>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</si>
  <si>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</si>
  <si>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</si>
  <si>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</si>
  <si>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</si>
  <si>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</si>
  <si>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</si>
  <si>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</si>
  <si>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</si>
  <si>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</si>
  <si>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</si>
  <si>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</si>
  <si>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</si>
  <si>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</si>
  <si>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</si>
  <si>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</si>
  <si>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</si>
  <si>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</si>
  <si>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</si>
  <si>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</si>
  <si>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</si>
  <si>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</si>
  <si>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</si>
  <si>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</si>
  <si>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</si>
  <si>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</si>
  <si>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</si>
  <si>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</si>
  <si>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</si>
  <si>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</si>
  <si>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</si>
  <si>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</si>
  <si>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</si>
  <si>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</si>
  <si>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</si>
  <si>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</si>
  <si>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</si>
  <si>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</si>
  <si>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</si>
  <si>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</si>
  <si>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</si>
  <si>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</si>
  <si>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</si>
  <si>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</si>
  <si>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</si>
  <si>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</si>
  <si>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</si>
  <si>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</si>
  <si>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</si>
  <si>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</si>
  <si>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</si>
  <si>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</si>
  <si>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</si>
  <si>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</si>
  <si>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</si>
  <si>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</si>
  <si>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</si>
  <si>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</si>
  <si>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</si>
  <si>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</si>
  <si>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</si>
  <si>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</si>
  <si>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</si>
  <si>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</si>
  <si>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</si>
  <si>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</si>
  <si>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</si>
  <si>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</si>
  <si>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</si>
  <si>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</si>
  <si>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</si>
  <si>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</si>
  <si>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</si>
  <si>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</si>
  <si>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</si>
  <si>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</si>
  <si>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</si>
  <si>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</si>
  <si>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</si>
  <si>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</si>
  <si>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</si>
  <si>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</si>
  <si>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</si>
  <si>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</si>
  <si>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</si>
  <si>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</si>
  <si>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</si>
  <si>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</si>
  <si>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</si>
  <si>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</si>
  <si>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</si>
  <si>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</si>
  <si>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</si>
  <si>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</si>
  <si>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</si>
  <si>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</si>
  <si>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</si>
  <si>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</si>
  <si>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</si>
  <si>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</si>
  <si>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</si>
  <si>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</si>
  <si>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</si>
  <si>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</si>
  <si>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</si>
  <si>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</si>
  <si>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</si>
  <si>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</si>
  <si>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</si>
  <si>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</si>
  <si>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</si>
  <si>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</si>
  <si>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</si>
  <si>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</si>
  <si>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</si>
  <si>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</si>
  <si>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</si>
  <si>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</si>
  <si>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</si>
  <si>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</si>
  <si>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</si>
  <si>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</si>
  <si>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</si>
  <si>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</si>
  <si>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</si>
  <si>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</si>
  <si>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</si>
  <si>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</si>
  <si>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</si>
  <si>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</si>
  <si>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</si>
  <si>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</si>
  <si>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</si>
  <si>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</si>
  <si>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</si>
  <si>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</si>
  <si>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</si>
  <si>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</si>
  <si>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</si>
  <si>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</si>
  <si>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</si>
  <si>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</si>
  <si>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</si>
  <si>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</si>
  <si>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</si>
  <si>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</si>
  <si>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</si>
  <si>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</si>
  <si>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</si>
  <si>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</si>
  <si>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</si>
  <si>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</si>
  <si>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</si>
  <si>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</si>
  <si>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</si>
  <si>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</si>
  <si>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</si>
  <si>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</si>
  <si>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</si>
  <si>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</si>
  <si>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</si>
  <si>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</si>
  <si>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</si>
  <si>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</si>
  <si>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</si>
  <si>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</si>
  <si>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</si>
  <si>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</si>
  <si>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</si>
  <si>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</si>
  <si>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</si>
  <si>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</si>
  <si>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</si>
  <si>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</si>
  <si>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</si>
  <si>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</si>
  <si>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</si>
  <si>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</si>
  <si>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</si>
  <si>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</si>
  <si>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</si>
  <si>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</si>
  <si>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</si>
  <si>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</si>
  <si>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</si>
  <si>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</si>
  <si>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</si>
  <si>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</si>
  <si>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</si>
  <si>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</si>
  <si>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</si>
  <si>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</si>
  <si>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</si>
  <si>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</si>
  <si>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</si>
  <si>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</si>
  <si>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</si>
  <si>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</si>
  <si>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</si>
  <si>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</si>
  <si>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</si>
  <si>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</si>
  <si>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</si>
  <si>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</si>
  <si>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</si>
  <si>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</si>
  <si>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</si>
  <si>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</si>
  <si>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</si>
  <si>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</si>
  <si>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</si>
  <si>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</si>
  <si>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</si>
  <si>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</si>
  <si>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</si>
  <si>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</si>
  <si>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</si>
  <si>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</si>
  <si>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</si>
  <si>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</si>
  <si>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</si>
  <si>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</si>
  <si>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</si>
  <si>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</si>
  <si>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</si>
  <si>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</si>
  <si>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</si>
  <si>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</si>
  <si>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</si>
  <si>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</si>
  <si>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</si>
  <si>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</si>
  <si>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</si>
  <si>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</si>
  <si>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</si>
  <si>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</si>
  <si>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</si>
  <si>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</si>
  <si>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</si>
  <si>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</si>
  <si>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</si>
  <si>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</si>
  <si>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</si>
  <si>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</si>
  <si>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</si>
  <si>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</si>
  <si>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</si>
  <si>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</si>
  <si>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</si>
  <si>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</si>
  <si>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</si>
  <si>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</si>
  <si>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</si>
  <si>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</si>
  <si>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</si>
  <si>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</si>
  <si>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</si>
  <si>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</si>
  <si>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</si>
  <si>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</si>
  <si>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</si>
  <si>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</si>
  <si>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</si>
  <si>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</si>
  <si>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</si>
  <si>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</si>
  <si>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</si>
  <si>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</si>
  <si>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</si>
  <si>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</si>
  <si>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</si>
  <si>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</si>
  <si>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</si>
  <si>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</si>
  <si>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</si>
  <si>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</si>
  <si>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</si>
  <si>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</si>
  <si>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</si>
  <si>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</si>
  <si>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</si>
  <si>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</si>
  <si>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</si>
  <si>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</si>
  <si>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</si>
  <si>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</si>
  <si>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</si>
  <si>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</si>
  <si>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</si>
  <si>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</si>
  <si>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</si>
  <si>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</si>
  <si>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</si>
  <si>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</si>
  <si>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</si>
  <si>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</si>
  <si>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</si>
  <si>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</si>
  <si>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</si>
  <si>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</si>
  <si>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</si>
  <si>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</si>
  <si>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</si>
  <si>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</si>
  <si>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</si>
  <si>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</si>
  <si>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</si>
  <si>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</si>
  <si>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</si>
  <si>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</si>
  <si>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</si>
  <si>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</si>
  <si>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</si>
  <si>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</si>
  <si>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</si>
  <si>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</si>
  <si>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</si>
  <si>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</si>
  <si>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</si>
  <si>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</si>
  <si>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</si>
  <si>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</si>
  <si>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</si>
  <si>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</si>
  <si>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</si>
  <si>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</si>
  <si>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</si>
  <si>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</si>
  <si>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</si>
  <si>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</si>
  <si>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</si>
  <si>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</si>
  <si>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</si>
  <si>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</si>
  <si>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</si>
  <si>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</si>
  <si>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</si>
  <si>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</si>
  <si>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</si>
  <si>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</si>
  <si>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</si>
  <si>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</si>
  <si>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</si>
  <si>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</si>
  <si>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</si>
  <si>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</si>
  <si>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</si>
  <si>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</si>
  <si>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</si>
  <si>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</si>
  <si>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</si>
  <si>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</si>
  <si>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</si>
  <si>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</si>
  <si>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</si>
  <si>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</si>
  <si>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</si>
  <si>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</si>
  <si>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</si>
  <si>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</si>
  <si>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</si>
  <si>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</si>
  <si>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</si>
  <si>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</si>
  <si>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</si>
  <si>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</si>
  <si>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</si>
  <si>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</si>
  <si>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</si>
  <si>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</si>
  <si>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</si>
  <si>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</si>
  <si>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</si>
  <si>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</si>
  <si>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</si>
  <si>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</si>
  <si>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</si>
  <si>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</si>
  <si>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</si>
  <si>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</si>
  <si>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</si>
  <si>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</si>
  <si>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</si>
  <si>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</si>
  <si>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</si>
  <si>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</si>
  <si>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</si>
  <si>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</si>
  <si>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</si>
  <si>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</si>
  <si>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</si>
  <si>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</si>
  <si>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</si>
  <si>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</si>
  <si>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</si>
  <si>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</si>
  <si>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</si>
  <si>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</si>
  <si>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</si>
  <si>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</si>
  <si>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</si>
  <si>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</si>
  <si>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</si>
  <si>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</si>
  <si>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</si>
  <si>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</si>
  <si>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</si>
  <si>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</si>
  <si>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</si>
  <si>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</si>
  <si>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</si>
  <si>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</si>
  <si>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</si>
  <si>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</si>
  <si>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</si>
  <si>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</si>
  <si>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</si>
  <si>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</si>
  <si>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</si>
  <si>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</si>
  <si>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</si>
  <si>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</si>
  <si>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</si>
  <si>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</si>
  <si>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</si>
  <si>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</si>
  <si>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</si>
  <si>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</si>
  <si>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</si>
  <si>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</si>
  <si>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</si>
  <si>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</si>
  <si>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</si>
  <si>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</si>
  <si>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</si>
  <si>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</si>
  <si>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</si>
  <si>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</si>
  <si>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</si>
  <si>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</si>
  <si>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</si>
  <si>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</si>
  <si>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</si>
  <si>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</si>
  <si>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</si>
  <si>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</si>
  <si>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</si>
  <si>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</si>
  <si>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</si>
  <si>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</si>
  <si>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</si>
  <si>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</si>
  <si>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</si>
  <si>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</si>
  <si>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</si>
  <si>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</si>
  <si>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</si>
  <si>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</si>
  <si>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</si>
  <si>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</si>
  <si>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</si>
  <si>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</si>
  <si>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</si>
  <si>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</si>
  <si>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</si>
  <si>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</si>
  <si>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</si>
  <si>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</si>
  <si>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</si>
  <si>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</si>
  <si>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</si>
  <si>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</si>
  <si>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</si>
  <si>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</si>
  <si>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</si>
  <si>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</si>
  <si>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</si>
  <si>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</si>
  <si>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</si>
  <si>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</si>
  <si>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</si>
  <si>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</si>
  <si>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</si>
  <si>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</si>
  <si>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</si>
  <si>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</si>
  <si>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</si>
  <si>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</si>
  <si>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</si>
  <si>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</si>
  <si>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</si>
  <si>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</si>
  <si>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</si>
  <si>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</si>
  <si>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</si>
  <si>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</si>
  <si>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</si>
  <si>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</si>
  <si>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</si>
  <si>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</si>
  <si>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</si>
  <si>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</si>
  <si>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</si>
  <si>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</si>
  <si>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</si>
  <si>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</si>
  <si>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</si>
  <si>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</si>
  <si>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</si>
  <si>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</si>
  <si>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</si>
  <si>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</si>
  <si>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</si>
  <si>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</si>
  <si>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</si>
  <si>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</si>
  <si>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</si>
  <si>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</si>
  <si>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</si>
  <si>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</si>
  <si>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</si>
  <si>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</si>
  <si>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</si>
  <si>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</si>
  <si>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</si>
  <si>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</si>
  <si>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</si>
  <si>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</si>
  <si>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</si>
  <si>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</si>
  <si>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</si>
  <si>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</si>
  <si>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</si>
  <si>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</si>
  <si>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</si>
  <si>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</si>
  <si>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</si>
  <si>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</si>
  <si>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</si>
  <si>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</si>
  <si>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</si>
  <si>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</si>
  <si>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</si>
  <si>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</si>
  <si>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</si>
  <si>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</si>
  <si>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</si>
  <si>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</si>
  <si>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</si>
  <si>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</si>
  <si>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</si>
  <si>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</si>
  <si>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</si>
  <si>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</si>
  <si>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</si>
  <si>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</si>
  <si>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</si>
  <si>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</si>
  <si>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</si>
  <si>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</si>
  <si>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</si>
  <si>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</si>
  <si>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</si>
  <si>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</si>
  <si>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</si>
  <si>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</si>
  <si>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</si>
  <si>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</si>
  <si>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</si>
  <si>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</si>
  <si>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</si>
  <si>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</si>
  <si>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</si>
  <si>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</si>
  <si>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</si>
  <si>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</si>
  <si>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</si>
  <si>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</si>
  <si>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</si>
  <si>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</si>
  <si>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</si>
  <si>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</si>
  <si>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</si>
  <si>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</si>
  <si>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</si>
  <si>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</si>
  <si>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</si>
  <si>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</si>
  <si>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</si>
  <si>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</si>
  <si>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</si>
  <si>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</si>
  <si>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</si>
  <si>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</si>
  <si>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</si>
  <si>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</si>
  <si>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</si>
  <si>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</si>
  <si>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</si>
  <si>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</si>
  <si>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</si>
  <si>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</si>
  <si>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</si>
  <si>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</si>
  <si>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</si>
  <si>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</si>
  <si>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</si>
  <si>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</si>
  <si>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</si>
  <si>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</si>
  <si>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</si>
  <si>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</si>
  <si>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</si>
  <si>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</si>
  <si>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</si>
  <si>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</si>
  <si>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</si>
  <si>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</si>
  <si>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</si>
  <si>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</si>
  <si>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</si>
  <si>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</si>
  <si>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</si>
  <si>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</si>
  <si>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</si>
  <si>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</si>
  <si>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</si>
  <si>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</si>
  <si>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</si>
  <si>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</si>
  <si>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</si>
  <si>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</si>
  <si>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</si>
  <si>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</si>
  <si>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</si>
  <si>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</si>
  <si>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</si>
  <si>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</si>
  <si>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</si>
  <si>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</si>
  <si>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</si>
  <si>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</si>
  <si>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</si>
  <si>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</si>
  <si>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</si>
  <si>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</si>
  <si>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</si>
  <si>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</si>
  <si>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</si>
  <si>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</si>
  <si>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</si>
  <si>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</si>
  <si>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</si>
  <si>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</si>
  <si>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</si>
  <si>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</si>
  <si>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</si>
  <si>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</si>
  <si>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</si>
  <si>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</si>
  <si>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</si>
  <si>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</si>
  <si>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</si>
  <si>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</si>
  <si>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</si>
  <si>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</si>
  <si>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</si>
  <si>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</si>
  <si>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</si>
  <si>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</si>
  <si>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</si>
  <si>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</si>
  <si>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</si>
  <si>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</si>
  <si>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</si>
  <si>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</si>
  <si>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</si>
  <si>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</si>
  <si>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</si>
  <si>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</si>
  <si>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</si>
  <si>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</si>
  <si>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</si>
  <si>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</si>
  <si>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</si>
  <si>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</si>
  <si>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</si>
  <si>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</si>
  <si>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</si>
  <si>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</si>
  <si>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</si>
  <si>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</si>
  <si>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</si>
  <si>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</si>
  <si>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</si>
  <si>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</si>
  <si>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</si>
  <si>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</si>
  <si>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</si>
  <si>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</si>
  <si>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</si>
  <si>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</si>
  <si>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</si>
  <si>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</si>
  <si>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</si>
  <si>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</si>
  <si>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</si>
  <si>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</si>
  <si>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</si>
  <si>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</si>
  <si>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</si>
  <si>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</si>
  <si>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</si>
  <si>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</si>
  <si>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</si>
  <si>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</si>
  <si>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</si>
  <si>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</si>
  <si>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</si>
  <si>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</si>
  <si>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</si>
  <si>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</si>
  <si>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</si>
  <si>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</si>
  <si>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</si>
  <si>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</si>
  <si>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</si>
  <si>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</si>
  <si>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</si>
  <si>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</si>
  <si>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</si>
  <si>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</si>
  <si>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</si>
  <si>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</si>
  <si>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</si>
  <si>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</si>
  <si>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</si>
  <si>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</si>
  <si>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</si>
  <si>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</si>
  <si>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</si>
  <si>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</si>
  <si>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</si>
  <si>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</si>
  <si>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</si>
  <si>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</si>
  <si>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</si>
  <si>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</si>
  <si>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</si>
  <si>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</si>
  <si>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</si>
  <si>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</si>
  <si>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</si>
  <si>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</si>
  <si>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</si>
  <si>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</si>
  <si>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</si>
  <si>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</si>
  <si>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</si>
  <si>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</si>
  <si>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</si>
  <si>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</si>
  <si>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</si>
  <si>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</si>
  <si>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</si>
  <si>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</si>
  <si>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</si>
  <si>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</si>
  <si>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</si>
  <si>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</si>
  <si>
    <t>lenacapavir</t>
  </si>
  <si>
    <t>Livdelzi (seladelpar)</t>
  </si>
  <si>
    <t>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</si>
</sst>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right"/>
    </xf>
    <xf numFmtId="3" fontId="0" fillId="6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27384</xdr:colOff>
      <xdr:row>0</xdr:row>
      <xdr:rowOff>0</xdr:rowOff>
    </xdr:from>
    <xdr:to>
      <xdr:col>92</xdr:col>
      <xdr:colOff>27384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1971853" y="0"/>
          <a:ext cx="0" cy="18664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ColWidth="8.85546875" defaultRowHeight="12.75" x14ac:dyDescent="0.2"/>
  <cols>
    <col min="1" max="1" width="4.42578125" bestFit="1" customWidth="1"/>
    <col min="2" max="2" width="13.42578125" customWidth="1"/>
    <col min="3" max="3" width="19.28515625" customWidth="1"/>
    <col min="4" max="4" width="15" style="164" customWidth="1"/>
  </cols>
  <sheetData>
    <row r="1" spans="1:10" x14ac:dyDescent="0.2">
      <c r="A1" s="162" t="s">
        <v>139</v>
      </c>
    </row>
    <row r="2" spans="1:10" x14ac:dyDescent="0.2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2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2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2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2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2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2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2">
      <c r="B9" s="95" t="s">
        <v>706</v>
      </c>
      <c r="C9" s="95" t="s">
        <v>617</v>
      </c>
      <c r="D9" s="165" t="s">
        <v>6</v>
      </c>
    </row>
    <row r="10" spans="1:10" x14ac:dyDescent="0.2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634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2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5546875" defaultRowHeight="12.75" x14ac:dyDescent="0.2"/>
  <cols>
    <col min="1" max="1" width="4.42578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630</v>
      </c>
    </row>
    <row r="4" spans="1:3" x14ac:dyDescent="0.2">
      <c r="B4" s="95" t="s">
        <v>629</v>
      </c>
    </row>
    <row r="5" spans="1:3" x14ac:dyDescent="0.2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42578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702</v>
      </c>
    </row>
    <row r="3" spans="1:3" x14ac:dyDescent="0.2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42578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42578125" style="6" bestFit="1" customWidth="1"/>
    <col min="7" max="7" width="5.42578125" style="6" customWidth="1"/>
    <col min="8" max="8" width="8.7109375" style="22" customWidth="1"/>
    <col min="9" max="9" width="7.28515625" style="1" customWidth="1"/>
    <col min="10" max="10" width="5.42578125" style="1" bestFit="1" customWidth="1"/>
    <col min="11" max="11" width="9.140625" style="1"/>
    <col min="12" max="12" width="5.85546875" style="1" customWidth="1"/>
    <col min="13" max="13" width="6.42578125" style="1" customWidth="1"/>
    <col min="14" max="14" width="5.42578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42578125" style="1" bestFit="1" customWidth="1"/>
    <col min="19" max="19" width="5.42578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83" t="s">
        <v>227</v>
      </c>
      <c r="F2" s="183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zoomScale="140" zoomScaleNormal="140" workbookViewId="0">
      <selection activeCell="D19" sqref="D19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5" width="9.140625" style="1"/>
    <col min="16" max="16" width="11.42578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2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1244.9920810000001</v>
      </c>
      <c r="K3" s="101" t="s">
        <v>771</v>
      </c>
    </row>
    <row r="4" spans="1:16" x14ac:dyDescent="0.2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94718.99752248</v>
      </c>
    </row>
    <row r="5" spans="1:16" x14ac:dyDescent="0.2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2772</v>
      </c>
      <c r="K5" s="101" t="s">
        <v>771</v>
      </c>
    </row>
    <row r="6" spans="1:16" x14ac:dyDescent="0.2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23350</v>
      </c>
      <c r="K6" s="101" t="s">
        <v>771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115296.99752248</v>
      </c>
    </row>
    <row r="8" spans="1:16" x14ac:dyDescent="0.2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2">
      <c r="B15" s="96" t="s">
        <v>682</v>
      </c>
      <c r="C15" s="6"/>
      <c r="D15" s="7"/>
      <c r="E15" s="35"/>
      <c r="F15" s="97"/>
      <c r="G15" s="8"/>
    </row>
    <row r="16" spans="1:16" x14ac:dyDescent="0.2">
      <c r="B16" s="96" t="s">
        <v>683</v>
      </c>
      <c r="C16" s="6"/>
      <c r="D16" s="7"/>
      <c r="E16" s="35"/>
      <c r="F16" s="97"/>
      <c r="G16" s="8"/>
    </row>
    <row r="17" spans="2:7" x14ac:dyDescent="0.2">
      <c r="B17" s="96" t="s">
        <v>760</v>
      </c>
      <c r="C17" s="6"/>
      <c r="D17" s="7"/>
      <c r="E17" s="35"/>
      <c r="F17" s="97"/>
      <c r="G17" s="8"/>
    </row>
    <row r="18" spans="2:7" x14ac:dyDescent="0.2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2">
      <c r="B19" s="96" t="s">
        <v>779</v>
      </c>
      <c r="C19" s="97" t="s">
        <v>780</v>
      </c>
      <c r="D19" s="7"/>
      <c r="E19" s="35"/>
      <c r="F19" s="97"/>
      <c r="G19" s="8"/>
    </row>
    <row r="20" spans="2:7" x14ac:dyDescent="0.2">
      <c r="B20" s="96" t="s">
        <v>591</v>
      </c>
      <c r="C20" s="22" t="s">
        <v>6</v>
      </c>
      <c r="D20" s="25" t="s">
        <v>379</v>
      </c>
      <c r="E20" s="97"/>
      <c r="F20" s="22"/>
      <c r="G20" s="29" t="s">
        <v>380</v>
      </c>
    </row>
    <row r="21" spans="2:7" x14ac:dyDescent="0.2">
      <c r="B21" s="32" t="s">
        <v>754</v>
      </c>
      <c r="C21" s="97" t="s">
        <v>756</v>
      </c>
      <c r="D21" s="25"/>
      <c r="E21" s="97"/>
      <c r="F21" s="22"/>
      <c r="G21" s="29"/>
    </row>
    <row r="22" spans="2:7" x14ac:dyDescent="0.2">
      <c r="B22" s="32" t="s">
        <v>693</v>
      </c>
      <c r="C22" s="97" t="s">
        <v>15</v>
      </c>
      <c r="D22" s="25">
        <v>1</v>
      </c>
      <c r="E22" s="97"/>
      <c r="F22" s="97"/>
      <c r="G22" s="116" t="s">
        <v>618</v>
      </c>
    </row>
    <row r="23" spans="2:7" x14ac:dyDescent="0.2">
      <c r="B23" s="32" t="s">
        <v>685</v>
      </c>
      <c r="C23" s="97" t="s">
        <v>612</v>
      </c>
      <c r="D23" s="25">
        <v>1</v>
      </c>
      <c r="E23" s="97" t="s">
        <v>610</v>
      </c>
      <c r="F23" s="22"/>
      <c r="G23" s="29"/>
    </row>
    <row r="24" spans="2:7" x14ac:dyDescent="0.2">
      <c r="B24" s="77" t="s">
        <v>12</v>
      </c>
      <c r="C24" s="9" t="s">
        <v>239</v>
      </c>
      <c r="D24" s="10" t="s">
        <v>257</v>
      </c>
      <c r="E24" s="36">
        <v>36460</v>
      </c>
      <c r="F24" s="9"/>
      <c r="G24" s="11"/>
    </row>
    <row r="25" spans="2:7" x14ac:dyDescent="0.2">
      <c r="B25" s="2"/>
      <c r="C25" s="3"/>
      <c r="D25" s="3"/>
      <c r="E25" s="3" t="s">
        <v>13</v>
      </c>
      <c r="F25" s="3" t="s">
        <v>57</v>
      </c>
      <c r="G25" s="4" t="s">
        <v>3</v>
      </c>
    </row>
    <row r="26" spans="2:7" x14ac:dyDescent="0.2">
      <c r="B26" s="175" t="s">
        <v>687</v>
      </c>
      <c r="C26" s="176"/>
      <c r="D26" s="177"/>
      <c r="E26" s="176" t="s">
        <v>322</v>
      </c>
      <c r="F26" s="176" t="s">
        <v>690</v>
      </c>
      <c r="G26" s="178"/>
    </row>
    <row r="27" spans="2:7" x14ac:dyDescent="0.2">
      <c r="B27" s="96" t="s">
        <v>778</v>
      </c>
      <c r="C27" s="184" t="s">
        <v>6</v>
      </c>
      <c r="D27" s="185">
        <v>1</v>
      </c>
      <c r="E27" s="184"/>
      <c r="F27" s="184"/>
      <c r="G27" s="8"/>
    </row>
    <row r="28" spans="2:7" x14ac:dyDescent="0.2">
      <c r="B28" s="96" t="s">
        <v>688</v>
      </c>
      <c r="C28" s="97"/>
      <c r="D28" s="7"/>
      <c r="E28" s="97" t="s">
        <v>322</v>
      </c>
      <c r="F28" s="97" t="s">
        <v>689</v>
      </c>
      <c r="G28" s="8"/>
    </row>
    <row r="29" spans="2:7" x14ac:dyDescent="0.2">
      <c r="B29" s="96" t="s">
        <v>765</v>
      </c>
      <c r="C29" s="97" t="s">
        <v>766</v>
      </c>
      <c r="D29" s="98" t="s">
        <v>767</v>
      </c>
      <c r="E29" s="97" t="s">
        <v>317</v>
      </c>
      <c r="F29" s="97" t="s">
        <v>768</v>
      </c>
      <c r="G29" s="8"/>
    </row>
    <row r="30" spans="2:7" x14ac:dyDescent="0.2">
      <c r="B30" s="96" t="s">
        <v>763</v>
      </c>
      <c r="C30" s="97" t="s">
        <v>741</v>
      </c>
      <c r="G30" s="179"/>
    </row>
    <row r="31" spans="2:7" x14ac:dyDescent="0.2">
      <c r="B31" s="32" t="s">
        <v>622</v>
      </c>
      <c r="C31" s="97" t="s">
        <v>623</v>
      </c>
      <c r="D31" s="98">
        <v>1</v>
      </c>
      <c r="E31" s="97" t="s">
        <v>317</v>
      </c>
      <c r="F31" s="97" t="s">
        <v>627</v>
      </c>
      <c r="G31" s="116"/>
    </row>
    <row r="32" spans="2:7" x14ac:dyDescent="0.2">
      <c r="B32" s="96" t="s">
        <v>619</v>
      </c>
      <c r="C32" s="97" t="s">
        <v>620</v>
      </c>
      <c r="D32" s="98">
        <v>1</v>
      </c>
      <c r="E32" s="97" t="s">
        <v>317</v>
      </c>
      <c r="F32" s="97" t="s">
        <v>621</v>
      </c>
      <c r="G32" s="116"/>
    </row>
    <row r="33" spans="2:7" x14ac:dyDescent="0.2">
      <c r="B33" s="122" t="s">
        <v>488</v>
      </c>
      <c r="C33" s="94" t="s">
        <v>15</v>
      </c>
      <c r="D33" s="180">
        <v>1</v>
      </c>
      <c r="E33" s="94" t="s">
        <v>317</v>
      </c>
      <c r="F33" s="94" t="s">
        <v>506</v>
      </c>
      <c r="G33" s="123"/>
    </row>
    <row r="34" spans="2:7" x14ac:dyDescent="0.2">
      <c r="B34" s="122" t="s">
        <v>489</v>
      </c>
      <c r="C34" s="94" t="s">
        <v>15</v>
      </c>
      <c r="D34" s="180">
        <v>1</v>
      </c>
      <c r="E34" s="94" t="s">
        <v>507</v>
      </c>
      <c r="F34" s="94" t="s">
        <v>490</v>
      </c>
      <c r="G34" s="123"/>
    </row>
    <row r="35" spans="2:7" x14ac:dyDescent="0.2">
      <c r="B35" s="122" t="s">
        <v>632</v>
      </c>
      <c r="C35" s="111" t="s">
        <v>635</v>
      </c>
      <c r="D35" s="180">
        <v>1</v>
      </c>
      <c r="E35" s="94" t="s">
        <v>317</v>
      </c>
      <c r="F35" s="94" t="s">
        <v>636</v>
      </c>
      <c r="G35" s="125" t="s">
        <v>616</v>
      </c>
    </row>
    <row r="36" spans="2:7" x14ac:dyDescent="0.2">
      <c r="B36" s="88" t="s">
        <v>500</v>
      </c>
      <c r="C36" s="9" t="s">
        <v>501</v>
      </c>
      <c r="D36" s="10"/>
      <c r="E36" s="9" t="s">
        <v>322</v>
      </c>
      <c r="F36" s="9" t="s">
        <v>502</v>
      </c>
      <c r="G36" s="11"/>
    </row>
    <row r="38" spans="2:7" x14ac:dyDescent="0.2">
      <c r="E38" s="21" t="s">
        <v>474</v>
      </c>
    </row>
    <row r="39" spans="2:7" x14ac:dyDescent="0.2">
      <c r="E39" s="21" t="s">
        <v>472</v>
      </c>
    </row>
    <row r="40" spans="2:7" x14ac:dyDescent="0.2">
      <c r="E40" s="21" t="s">
        <v>231</v>
      </c>
    </row>
    <row r="41" spans="2:7" x14ac:dyDescent="0.2">
      <c r="E41" s="21" t="s">
        <v>473</v>
      </c>
    </row>
    <row r="42" spans="2:7" x14ac:dyDescent="0.2">
      <c r="E42" s="21" t="s">
        <v>442</v>
      </c>
    </row>
    <row r="43" spans="2:7" x14ac:dyDescent="0.2">
      <c r="E43" s="21" t="s">
        <v>475</v>
      </c>
    </row>
    <row r="44" spans="2:7" x14ac:dyDescent="0.2">
      <c r="E44" s="21" t="s">
        <v>419</v>
      </c>
    </row>
    <row r="45" spans="2:7" x14ac:dyDescent="0.2">
      <c r="E45" s="21" t="s">
        <v>418</v>
      </c>
    </row>
    <row r="46" spans="2:7" x14ac:dyDescent="0.2">
      <c r="E46" s="92" t="s">
        <v>588</v>
      </c>
    </row>
    <row r="47" spans="2:7" x14ac:dyDescent="0.2">
      <c r="E47" s="92" t="s">
        <v>600</v>
      </c>
    </row>
    <row r="48" spans="2:7" x14ac:dyDescent="0.2">
      <c r="E48" s="92" t="s">
        <v>598</v>
      </c>
    </row>
    <row r="49" spans="5:5" x14ac:dyDescent="0.2">
      <c r="E49" s="92" t="s">
        <v>599</v>
      </c>
    </row>
    <row r="50" spans="5:5" x14ac:dyDescent="0.2">
      <c r="E50" s="92" t="s">
        <v>601</v>
      </c>
    </row>
    <row r="51" spans="5:5" x14ac:dyDescent="0.2">
      <c r="E51" s="92" t="s">
        <v>602</v>
      </c>
    </row>
    <row r="52" spans="5:5" x14ac:dyDescent="0.2">
      <c r="E52" s="92" t="s">
        <v>603</v>
      </c>
    </row>
    <row r="53" spans="5:5" x14ac:dyDescent="0.2">
      <c r="E53" s="21" t="s">
        <v>604</v>
      </c>
    </row>
    <row r="54" spans="5:5" x14ac:dyDescent="0.2">
      <c r="E54" s="124" t="s">
        <v>633</v>
      </c>
    </row>
    <row r="56" spans="5:5" x14ac:dyDescent="0.2">
      <c r="E56" s="15" t="s">
        <v>628</v>
      </c>
    </row>
    <row r="59" spans="5:5" x14ac:dyDescent="0.2">
      <c r="E59" s="21" t="s">
        <v>686</v>
      </c>
    </row>
    <row r="61" spans="5:5" x14ac:dyDescent="0.2">
      <c r="E61" s="92" t="s">
        <v>739</v>
      </c>
    </row>
    <row r="62" spans="5:5" x14ac:dyDescent="0.2">
      <c r="E62" s="92" t="s">
        <v>753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4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31" location="'5806'!A1" display="GS5806" xr:uid="{00000000-0004-0000-0100-00000D000000}"/>
    <hyperlink ref="B22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1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42578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5546875" defaultRowHeight="12.75" x14ac:dyDescent="0.2"/>
  <cols>
    <col min="1" max="1" width="4.42578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5546875"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2"/>
  <sheetViews>
    <sheetView tabSelected="1" zoomScale="160" zoomScaleNormal="160" workbookViewId="0">
      <pane xSplit="2" ySplit="2" topLeftCell="CF63" activePane="bottomRight" state="frozen"/>
      <selection pane="topRight" activeCell="B1" sqref="B1"/>
      <selection pane="bottomLeft" activeCell="A2" sqref="A2"/>
      <selection pane="bottomRight" activeCell="CJ47" sqref="CJ47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38" width="7.140625" style="76" customWidth="1"/>
    <col min="39" max="42" width="7.42578125" style="76" customWidth="1"/>
    <col min="43" max="74" width="7.140625" style="76" customWidth="1"/>
    <col min="75" max="98" width="7.140625" style="141" customWidth="1"/>
    <col min="99" max="99" width="4.42578125" customWidth="1"/>
    <col min="100" max="102" width="6.42578125" customWidth="1"/>
    <col min="103" max="105" width="5.7109375" customWidth="1"/>
    <col min="106" max="106" width="5.7109375" style="1" customWidth="1"/>
    <col min="107" max="107" width="5.7109375" style="76" customWidth="1"/>
    <col min="108" max="109" width="6.42578125" style="76" customWidth="1"/>
    <col min="110" max="111" width="8" style="135" customWidth="1"/>
    <col min="112" max="115" width="8" style="76" customWidth="1"/>
    <col min="116" max="117" width="7.7109375" style="76" customWidth="1"/>
    <col min="118" max="121" width="7.42578125" style="141" customWidth="1"/>
    <col min="122" max="123" width="8.140625" style="141" customWidth="1"/>
    <col min="124" max="126" width="8.140625" customWidth="1"/>
    <col min="130" max="136" width="7.42578125" customWidth="1"/>
    <col min="137" max="16384" width="9.140625" style="1"/>
  </cols>
  <sheetData>
    <row r="1" spans="1:136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770</v>
      </c>
      <c r="CN2" s="138" t="s">
        <v>771</v>
      </c>
      <c r="CO2" s="138" t="s">
        <v>772</v>
      </c>
      <c r="CP2" s="138" t="s">
        <v>773</v>
      </c>
      <c r="CQ2" s="138" t="s">
        <v>774</v>
      </c>
      <c r="CR2" s="138" t="s">
        <v>775</v>
      </c>
      <c r="CS2" s="138" t="s">
        <v>776</v>
      </c>
      <c r="CT2" s="138" t="s">
        <v>777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39">
        <f t="shared" ref="BA3:BM3" si="6">SUM(BA9:BA17)+BA27</f>
        <v>2704</v>
      </c>
      <c r="BB3" s="139">
        <f t="shared" si="6"/>
        <v>2866</v>
      </c>
      <c r="BC3" s="139">
        <f t="shared" si="6"/>
        <v>2415</v>
      </c>
      <c r="BD3" s="139">
        <f t="shared" si="6"/>
        <v>2716</v>
      </c>
      <c r="BE3" s="139">
        <f t="shared" si="6"/>
        <v>2889</v>
      </c>
      <c r="BF3" s="139">
        <f t="shared" si="6"/>
        <v>2978</v>
      </c>
      <c r="BG3" s="139">
        <f t="shared" si="6"/>
        <v>2861</v>
      </c>
      <c r="BH3" s="139">
        <f t="shared" si="6"/>
        <v>3120</v>
      </c>
      <c r="BI3" s="139">
        <f t="shared" si="6"/>
        <v>3497</v>
      </c>
      <c r="BJ3" s="139">
        <f t="shared" si="6"/>
        <v>3350</v>
      </c>
      <c r="BK3" s="139">
        <f t="shared" si="6"/>
        <v>3235</v>
      </c>
      <c r="BL3" s="139">
        <f t="shared" si="6"/>
        <v>3535</v>
      </c>
      <c r="BM3" s="139">
        <f t="shared" si="6"/>
        <v>3590</v>
      </c>
      <c r="BN3" s="139">
        <f>SUM(BN9:BN17)+BN27</f>
        <v>3643</v>
      </c>
      <c r="BO3" s="139">
        <f>SUM(BO9:BO17)+BO27</f>
        <v>3247</v>
      </c>
      <c r="BP3" s="139">
        <f>SUM(BP9:BP17)+BP27</f>
        <v>3728</v>
      </c>
      <c r="BQ3" s="139">
        <f>SUM(BQ9:BQ17)+BQ27</f>
        <v>3783</v>
      </c>
      <c r="BR3" s="139">
        <f>SUM(BR9:BR17)+BR27</f>
        <v>4108</v>
      </c>
      <c r="BS3" s="139">
        <f t="shared" ref="BS3:CN3" si="7">SUM(BS9:BS17)+BS27</f>
        <v>3673</v>
      </c>
      <c r="BT3" s="139">
        <f t="shared" si="7"/>
        <v>4101</v>
      </c>
      <c r="BU3" s="139">
        <f t="shared" si="7"/>
        <v>4254</v>
      </c>
      <c r="BV3" s="139">
        <f t="shared" si="7"/>
        <v>4606</v>
      </c>
      <c r="BW3" s="139">
        <f t="shared" si="7"/>
        <v>4166</v>
      </c>
      <c r="BX3" s="139">
        <f t="shared" si="7"/>
        <v>4037</v>
      </c>
      <c r="BY3" s="139">
        <f t="shared" si="7"/>
        <v>4566</v>
      </c>
      <c r="BZ3" s="139">
        <f t="shared" si="7"/>
        <v>4296</v>
      </c>
      <c r="CA3" s="139">
        <f t="shared" si="7"/>
        <v>3633</v>
      </c>
      <c r="CB3" s="139">
        <f t="shared" si="7"/>
        <v>3955</v>
      </c>
      <c r="CC3" s="139">
        <f t="shared" si="7"/>
        <v>4208</v>
      </c>
      <c r="CD3" s="139">
        <f t="shared" si="7"/>
        <v>4522</v>
      </c>
      <c r="CE3" s="139">
        <f t="shared" si="7"/>
        <v>3715</v>
      </c>
      <c r="CF3" s="139">
        <f t="shared" si="7"/>
        <v>4233</v>
      </c>
      <c r="CG3" s="139">
        <f t="shared" si="7"/>
        <v>4497</v>
      </c>
      <c r="CH3" s="139">
        <f t="shared" si="7"/>
        <v>4783</v>
      </c>
      <c r="CI3" s="139">
        <f t="shared" si="7"/>
        <v>4200</v>
      </c>
      <c r="CJ3" s="139">
        <f t="shared" si="7"/>
        <v>4626</v>
      </c>
      <c r="CK3" s="139">
        <f t="shared" si="7"/>
        <v>4667</v>
      </c>
      <c r="CL3" s="139">
        <f t="shared" si="7"/>
        <v>4693</v>
      </c>
      <c r="CM3" s="139">
        <f t="shared" si="7"/>
        <v>4226</v>
      </c>
      <c r="CN3" s="139">
        <f t="shared" si="7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8">+DH14+DH15+DH16+DH17+DH26+DH27+DH9+DH10+DH11+DH12+DH13</f>
        <v>6904.6130000000003</v>
      </c>
      <c r="DI3" s="139">
        <f t="shared" si="8"/>
        <v>8033.4750000000004</v>
      </c>
      <c r="DJ3" s="139">
        <f t="shared" si="8"/>
        <v>9119.3490000000002</v>
      </c>
      <c r="DK3" s="139">
        <f t="shared" si="8"/>
        <v>10306.804</v>
      </c>
      <c r="DL3" s="139">
        <f t="shared" si="8"/>
        <v>10814.63535</v>
      </c>
      <c r="DM3" s="139">
        <f t="shared" si="8"/>
        <v>11678.668672500002</v>
      </c>
      <c r="DN3" s="139">
        <f t="shared" si="8"/>
        <v>0</v>
      </c>
      <c r="DO3" s="139">
        <f t="shared" si="8"/>
        <v>0</v>
      </c>
      <c r="DP3" s="139">
        <f t="shared" si="8"/>
        <v>0</v>
      </c>
      <c r="DQ3" s="139">
        <f>+DQ14+DQ15+DQ16+DQ17+DQ26+DQ27+DQ9+DQ10+DQ11+DQ12+DQ13</f>
        <v>17065</v>
      </c>
      <c r="DR3" s="139">
        <f t="shared" ref="DR3:EF3" si="9">+DR14+DR15+DR16+DR17+DR26+DR27+DR9+DR10+DR11+DR12+DR13</f>
        <v>16318</v>
      </c>
      <c r="DS3" s="139">
        <f t="shared" si="9"/>
        <v>17228</v>
      </c>
      <c r="DT3" s="139">
        <f t="shared" si="9"/>
        <v>18186</v>
      </c>
      <c r="DU3" s="139">
        <f t="shared" si="9"/>
        <v>16943.05</v>
      </c>
      <c r="DV3" s="139">
        <f t="shared" si="9"/>
        <v>15419.547500000001</v>
      </c>
      <c r="DW3" s="139">
        <f t="shared" si="9"/>
        <v>12492.794</v>
      </c>
      <c r="DX3" s="139">
        <f t="shared" si="9"/>
        <v>10357.581087499999</v>
      </c>
      <c r="DY3" s="139">
        <f t="shared" si="9"/>
        <v>9665.0251118749984</v>
      </c>
      <c r="DZ3" s="139">
        <f t="shared" si="9"/>
        <v>9143.0485241562474</v>
      </c>
      <c r="EA3" s="139">
        <f t="shared" si="9"/>
        <v>8662.8916887359355</v>
      </c>
      <c r="EB3" s="139">
        <f t="shared" si="9"/>
        <v>8210.2279749778863</v>
      </c>
      <c r="EC3" s="139">
        <f t="shared" si="9"/>
        <v>7782.2678437368677</v>
      </c>
      <c r="ED3" s="139">
        <f t="shared" si="9"/>
        <v>4016.6574633403343</v>
      </c>
      <c r="EE3" s="139">
        <f t="shared" si="9"/>
        <v>627.60937551883353</v>
      </c>
      <c r="EF3" s="139">
        <f t="shared" si="9"/>
        <v>266.11020381820344</v>
      </c>
    </row>
    <row r="4" spans="1:136" s="92" customFormat="1" x14ac:dyDescent="0.2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2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2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2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2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39">
        <v>0</v>
      </c>
      <c r="BO9" s="93">
        <v>35</v>
      </c>
      <c r="BP9" s="93">
        <v>185</v>
      </c>
      <c r="BQ9" s="93">
        <v>386</v>
      </c>
      <c r="BR9" s="93">
        <v>578</v>
      </c>
      <c r="BS9" s="139">
        <v>793</v>
      </c>
      <c r="BT9" s="139">
        <v>1116</v>
      </c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/>
      <c r="CP9" s="139"/>
      <c r="CQ9" s="139"/>
      <c r="CR9" s="139"/>
      <c r="CS9" s="139"/>
      <c r="CT9" s="139"/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+DT9*0.95</f>
        <v>11257.5</v>
      </c>
      <c r="DV9" s="79">
        <f t="shared" ref="DV9:EC9" si="10">+DU9*0.95</f>
        <v>10694.625</v>
      </c>
      <c r="DW9" s="79">
        <f t="shared" si="10"/>
        <v>10159.893749999999</v>
      </c>
      <c r="DX9" s="79">
        <f t="shared" si="10"/>
        <v>9651.8990624999988</v>
      </c>
      <c r="DY9" s="79">
        <f t="shared" si="10"/>
        <v>9169.304109374998</v>
      </c>
      <c r="DZ9" s="79">
        <f t="shared" si="10"/>
        <v>8710.8389039062477</v>
      </c>
      <c r="EA9" s="79">
        <f t="shared" si="10"/>
        <v>8275.2969587109346</v>
      </c>
      <c r="EB9" s="79">
        <f t="shared" si="10"/>
        <v>7861.5321107753871</v>
      </c>
      <c r="EC9" s="79">
        <f t="shared" si="10"/>
        <v>7468.4555052366177</v>
      </c>
      <c r="ED9" s="79">
        <f>+EC9*0.5</f>
        <v>3734.2277526183088</v>
      </c>
      <c r="EE9" s="79">
        <f>+ED9*0.1</f>
        <v>373.42277526183091</v>
      </c>
      <c r="EF9" s="79">
        <f>+EE9*0.1</f>
        <v>37.342277526183089</v>
      </c>
    </row>
    <row r="10" spans="1:136" s="100" customFormat="1" x14ac:dyDescent="0.2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93">
        <v>0</v>
      </c>
      <c r="BH10" s="93">
        <v>61</v>
      </c>
      <c r="BI10" s="93">
        <v>88</v>
      </c>
      <c r="BJ10" s="93">
        <v>149</v>
      </c>
      <c r="BK10" s="139">
        <v>251</v>
      </c>
      <c r="BL10" s="139">
        <v>286</v>
      </c>
      <c r="BM10" s="93">
        <v>316</v>
      </c>
      <c r="BN10" s="139">
        <v>365</v>
      </c>
      <c r="BO10" s="93">
        <v>361</v>
      </c>
      <c r="BP10" s="93">
        <v>403</v>
      </c>
      <c r="BQ10" s="93">
        <v>406</v>
      </c>
      <c r="BR10" s="93">
        <v>411</v>
      </c>
      <c r="BS10" s="139">
        <v>342</v>
      </c>
      <c r="BT10" s="139">
        <v>358</v>
      </c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/>
      <c r="CP10" s="139"/>
      <c r="CQ10" s="139"/>
      <c r="CR10" s="139"/>
      <c r="CS10" s="139"/>
      <c r="CT10" s="139"/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8" si="11">SUM(BW10:BZ10)</f>
        <v>1861</v>
      </c>
      <c r="DR10" s="79">
        <f t="shared" ref="DR10:DR38" si="12">SUM(CA10:CD10)</f>
        <v>1700</v>
      </c>
      <c r="DS10" s="79">
        <f t="shared" ref="DS10:DS38" si="13">SUM(CE10:CH10)</f>
        <v>1871</v>
      </c>
      <c r="DT10" s="79">
        <f t="shared" ref="DT10:DT38" si="14">SUM(CI10:CL10)</f>
        <v>1985</v>
      </c>
      <c r="DU10" s="79">
        <f t="shared" ref="DU10:DV10" si="15">+DT10*0.95</f>
        <v>1885.75</v>
      </c>
      <c r="DV10" s="79">
        <f t="shared" si="15"/>
        <v>1791.4624999999999</v>
      </c>
      <c r="DW10" s="79">
        <f>+DV10*0.1</f>
        <v>179.14625000000001</v>
      </c>
      <c r="DX10" s="79">
        <f t="shared" ref="DX10:EF10" si="16">+DW10*0.1</f>
        <v>17.914625000000001</v>
      </c>
      <c r="DY10" s="79">
        <f t="shared" si="16"/>
        <v>1.7914625000000002</v>
      </c>
      <c r="DZ10" s="79">
        <f t="shared" si="16"/>
        <v>0.17914625000000003</v>
      </c>
      <c r="EA10" s="79">
        <f t="shared" si="16"/>
        <v>1.7914625000000003E-2</v>
      </c>
      <c r="EB10" s="79">
        <f t="shared" si="16"/>
        <v>1.7914625000000003E-3</v>
      </c>
      <c r="EC10" s="79">
        <f t="shared" si="16"/>
        <v>1.7914625000000004E-4</v>
      </c>
      <c r="ED10" s="79">
        <f t="shared" si="16"/>
        <v>1.7914625000000005E-5</v>
      </c>
      <c r="EE10" s="79">
        <f t="shared" si="16"/>
        <v>1.7914625000000005E-6</v>
      </c>
      <c r="EF10" s="79">
        <f t="shared" si="16"/>
        <v>1.7914625000000007E-7</v>
      </c>
    </row>
    <row r="11" spans="1:136" s="100" customFormat="1" x14ac:dyDescent="0.2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93">
        <v>45</v>
      </c>
      <c r="BG11" s="93">
        <v>158</v>
      </c>
      <c r="BH11" s="93">
        <v>302</v>
      </c>
      <c r="BI11" s="93">
        <v>461</v>
      </c>
      <c r="BJ11" s="93">
        <v>563</v>
      </c>
      <c r="BK11" s="139">
        <v>769</v>
      </c>
      <c r="BL11" s="139">
        <v>857</v>
      </c>
      <c r="BM11" s="93">
        <v>988</v>
      </c>
      <c r="BN11" s="139">
        <v>1060</v>
      </c>
      <c r="BO11" s="93">
        <v>1082</v>
      </c>
      <c r="BP11" s="93">
        <v>1160</v>
      </c>
      <c r="BQ11" s="93">
        <v>1176</v>
      </c>
      <c r="BR11" s="93">
        <v>1206</v>
      </c>
      <c r="BS11" s="93">
        <v>1015</v>
      </c>
      <c r="BT11" s="93">
        <v>980</v>
      </c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/>
      <c r="CP11" s="139"/>
      <c r="CQ11" s="139"/>
      <c r="CR11" s="139"/>
      <c r="CS11" s="139"/>
      <c r="CT11" s="139"/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1"/>
        <v>3338</v>
      </c>
      <c r="DR11" s="79">
        <f t="shared" si="12"/>
        <v>2879</v>
      </c>
      <c r="DS11" s="79">
        <f t="shared" si="13"/>
        <v>2404</v>
      </c>
      <c r="DT11" s="79">
        <f t="shared" si="14"/>
        <v>2061</v>
      </c>
      <c r="DU11" s="79">
        <f>+DT11*0.9</f>
        <v>1854.9</v>
      </c>
      <c r="DV11" s="79">
        <f t="shared" ref="DV11:DW11" si="17">+DU11*0.9</f>
        <v>1669.41</v>
      </c>
      <c r="DW11" s="79">
        <f t="shared" si="17"/>
        <v>1502.4690000000001</v>
      </c>
      <c r="DX11" s="79">
        <f>+DW11*0.1</f>
        <v>150.24690000000001</v>
      </c>
      <c r="DY11" s="79">
        <f t="shared" ref="DY11:EF11" si="18">+DX11*0.1</f>
        <v>15.024690000000001</v>
      </c>
      <c r="DZ11" s="79">
        <f t="shared" si="18"/>
        <v>1.5024690000000003</v>
      </c>
      <c r="EA11" s="79">
        <f t="shared" si="18"/>
        <v>0.15024690000000004</v>
      </c>
      <c r="EB11" s="79">
        <f t="shared" si="18"/>
        <v>1.5024690000000005E-2</v>
      </c>
      <c r="EC11" s="79">
        <f t="shared" si="18"/>
        <v>1.5024690000000006E-3</v>
      </c>
      <c r="ED11" s="79">
        <f t="shared" si="18"/>
        <v>1.5024690000000007E-4</v>
      </c>
      <c r="EE11" s="79">
        <f t="shared" si="18"/>
        <v>1.5024690000000008E-5</v>
      </c>
      <c r="EF11" s="79">
        <f t="shared" si="18"/>
        <v>1.5024690000000009E-6</v>
      </c>
    </row>
    <row r="12" spans="1:136" s="100" customFormat="1" x14ac:dyDescent="0.2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>
        <v>58</v>
      </c>
      <c r="BI12" s="93">
        <v>105</v>
      </c>
      <c r="BJ12" s="93">
        <v>155</v>
      </c>
      <c r="BK12" s="139">
        <v>227</v>
      </c>
      <c r="BL12" s="139">
        <v>258</v>
      </c>
      <c r="BM12" s="93">
        <v>296</v>
      </c>
      <c r="BN12" s="139">
        <v>325</v>
      </c>
      <c r="BO12" s="93">
        <v>342</v>
      </c>
      <c r="BP12" s="93">
        <v>385</v>
      </c>
      <c r="BQ12" s="93">
        <v>423</v>
      </c>
      <c r="BR12" s="93">
        <v>448</v>
      </c>
      <c r="BS12" s="93">
        <v>397</v>
      </c>
      <c r="BT12" s="93">
        <v>387</v>
      </c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/>
      <c r="CP12" s="139"/>
      <c r="CQ12" s="139"/>
      <c r="CR12" s="139"/>
      <c r="CS12" s="139"/>
      <c r="CT12" s="139"/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1"/>
        <v>1672</v>
      </c>
      <c r="DR12" s="79">
        <f t="shared" si="12"/>
        <v>1568</v>
      </c>
      <c r="DS12" s="79">
        <f t="shared" si="13"/>
        <v>1469</v>
      </c>
      <c r="DT12" s="79">
        <f t="shared" si="14"/>
        <v>1351</v>
      </c>
      <c r="DU12" s="79">
        <f>+DT12*0.9</f>
        <v>1215.9000000000001</v>
      </c>
      <c r="DV12" s="79">
        <f>+DU12*0.5</f>
        <v>607.95000000000005</v>
      </c>
      <c r="DW12" s="153">
        <f>+DV12*0.1</f>
        <v>60.795000000000009</v>
      </c>
      <c r="DX12" s="153">
        <f t="shared" ref="DX12:EF12" si="19">+DW12*0.1</f>
        <v>6.0795000000000012</v>
      </c>
      <c r="DY12" s="153">
        <f t="shared" si="19"/>
        <v>0.60795000000000021</v>
      </c>
      <c r="DZ12" s="153">
        <f t="shared" si="19"/>
        <v>6.0795000000000023E-2</v>
      </c>
      <c r="EA12" s="153">
        <f t="shared" si="19"/>
        <v>6.0795000000000024E-3</v>
      </c>
      <c r="EB12" s="153">
        <f t="shared" si="19"/>
        <v>6.0795000000000033E-4</v>
      </c>
      <c r="EC12" s="153">
        <f t="shared" si="19"/>
        <v>6.0795000000000037E-5</v>
      </c>
      <c r="ED12" s="153">
        <f t="shared" si="19"/>
        <v>6.0795000000000042E-6</v>
      </c>
      <c r="EE12" s="153">
        <f t="shared" si="19"/>
        <v>6.0795000000000046E-7</v>
      </c>
      <c r="EF12" s="153">
        <f t="shared" si="19"/>
        <v>6.0795000000000049E-8</v>
      </c>
    </row>
    <row r="13" spans="1:136" s="100" customFormat="1" x14ac:dyDescent="0.2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39">
        <v>0</v>
      </c>
      <c r="BO13" s="93">
        <v>0</v>
      </c>
      <c r="BP13" s="93">
        <v>13</v>
      </c>
      <c r="BQ13" s="93">
        <v>22</v>
      </c>
      <c r="BR13" s="93">
        <v>37</v>
      </c>
      <c r="BS13" s="93">
        <v>66</v>
      </c>
      <c r="BT13" s="93">
        <v>84</v>
      </c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/>
      <c r="CP13" s="139"/>
      <c r="CQ13" s="139"/>
      <c r="CR13" s="139"/>
      <c r="CS13" s="139"/>
      <c r="CT13" s="139"/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1"/>
        <v>488</v>
      </c>
      <c r="DR13" s="79">
        <f t="shared" si="12"/>
        <v>531</v>
      </c>
      <c r="DS13" s="79">
        <f t="shared" si="13"/>
        <v>530</v>
      </c>
      <c r="DT13" s="79">
        <f t="shared" si="14"/>
        <v>528</v>
      </c>
      <c r="DU13" s="79">
        <f>+DT13*0.9</f>
        <v>475.2</v>
      </c>
      <c r="DV13" s="79">
        <f t="shared" ref="DV13:EF13" si="20">+DU13*0.9</f>
        <v>427.68</v>
      </c>
      <c r="DW13" s="79">
        <f t="shared" si="20"/>
        <v>384.91200000000003</v>
      </c>
      <c r="DX13" s="79">
        <f t="shared" si="20"/>
        <v>346.42080000000004</v>
      </c>
      <c r="DY13" s="79">
        <f t="shared" si="20"/>
        <v>311.77872000000002</v>
      </c>
      <c r="DZ13" s="79">
        <f t="shared" si="20"/>
        <v>280.60084800000004</v>
      </c>
      <c r="EA13" s="79">
        <f t="shared" si="20"/>
        <v>252.54076320000004</v>
      </c>
      <c r="EB13" s="79">
        <f t="shared" si="20"/>
        <v>227.28668688000005</v>
      </c>
      <c r="EC13" s="79">
        <f t="shared" si="20"/>
        <v>204.55801819200005</v>
      </c>
      <c r="ED13" s="79">
        <f t="shared" si="20"/>
        <v>184.10221637280006</v>
      </c>
      <c r="EE13" s="79">
        <f t="shared" si="20"/>
        <v>165.69199473552007</v>
      </c>
      <c r="EF13" s="79">
        <f t="shared" si="20"/>
        <v>149.12279526196807</v>
      </c>
    </row>
    <row r="14" spans="1:136" s="15" customFormat="1" x14ac:dyDescent="0.2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v>327</v>
      </c>
      <c r="BB14" s="93">
        <v>385</v>
      </c>
      <c r="BC14" s="93">
        <v>356</v>
      </c>
      <c r="BD14" s="93">
        <v>447</v>
      </c>
      <c r="BE14" s="93">
        <v>511</v>
      </c>
      <c r="BF14" s="93">
        <v>511</v>
      </c>
      <c r="BG14" s="93">
        <v>477</v>
      </c>
      <c r="BH14" s="93">
        <v>429</v>
      </c>
      <c r="BI14" s="93">
        <v>621</v>
      </c>
      <c r="BJ14" s="93">
        <v>387</v>
      </c>
      <c r="BK14" s="139">
        <v>309</v>
      </c>
      <c r="BL14" s="139">
        <v>293</v>
      </c>
      <c r="BM14" s="93">
        <v>229</v>
      </c>
      <c r="BN14" s="139">
        <v>222</v>
      </c>
      <c r="BO14" s="93">
        <v>174</v>
      </c>
      <c r="BP14" s="93">
        <v>187</v>
      </c>
      <c r="BQ14" s="93">
        <v>146</v>
      </c>
      <c r="BR14" s="93">
        <v>137</v>
      </c>
      <c r="BS14" s="93">
        <v>96</v>
      </c>
      <c r="BT14" s="93">
        <v>108</v>
      </c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v>26</v>
      </c>
      <c r="CK14" s="139">
        <v>25</v>
      </c>
      <c r="CL14" s="139">
        <v>22</v>
      </c>
      <c r="CM14" s="139"/>
      <c r="CN14" s="139"/>
      <c r="CO14" s="139"/>
      <c r="CP14" s="139"/>
      <c r="CQ14" s="139"/>
      <c r="CR14" s="139"/>
      <c r="CS14" s="139"/>
      <c r="CT14" s="139"/>
      <c r="CU14" s="13"/>
      <c r="CV14" s="154"/>
      <c r="CW14" s="154"/>
      <c r="CX14" s="154"/>
      <c r="CY14" s="154"/>
      <c r="CZ14" s="154"/>
      <c r="DA14" s="154"/>
      <c r="DB14" s="85"/>
      <c r="DC14" s="93"/>
      <c r="DD14" s="93"/>
      <c r="DE14" s="93"/>
      <c r="DF14" s="103"/>
      <c r="DG14" s="103"/>
      <c r="DH14" s="93">
        <f>SUM(AM14:AP14)</f>
        <v>0</v>
      </c>
      <c r="DI14" s="93">
        <f>SUM(AQ14:AT14)</f>
        <v>57.536000000000001</v>
      </c>
      <c r="DJ14" s="83">
        <f>SUM(AU14:AX14)</f>
        <v>539.25599999999997</v>
      </c>
      <c r="DK14" s="93">
        <f>SUM(AY14:BB14)</f>
        <v>1196.7909999999999</v>
      </c>
      <c r="DL14" s="93">
        <f>+DK14*1.5</f>
        <v>1795.1864999999998</v>
      </c>
      <c r="DM14" s="93">
        <f>+DL14*1.5</f>
        <v>2692.7797499999997</v>
      </c>
      <c r="DN14" s="139"/>
      <c r="DO14" s="139"/>
      <c r="DP14" s="139"/>
      <c r="DQ14" s="139">
        <f t="shared" si="11"/>
        <v>196</v>
      </c>
      <c r="DR14" s="79">
        <f t="shared" si="12"/>
        <v>189</v>
      </c>
      <c r="DS14" s="79">
        <f t="shared" si="13"/>
        <v>126</v>
      </c>
      <c r="DT14" s="79">
        <f t="shared" si="14"/>
        <v>101</v>
      </c>
      <c r="DU14" s="79">
        <f t="shared" ref="DU14:EF14" si="21">+DT14*0.9</f>
        <v>90.9</v>
      </c>
      <c r="DV14" s="79">
        <f t="shared" si="21"/>
        <v>81.81</v>
      </c>
      <c r="DW14" s="79">
        <f t="shared" si="21"/>
        <v>73.629000000000005</v>
      </c>
      <c r="DX14" s="79">
        <f t="shared" si="21"/>
        <v>66.266100000000009</v>
      </c>
      <c r="DY14" s="79">
        <f t="shared" si="21"/>
        <v>59.639490000000009</v>
      </c>
      <c r="DZ14" s="79">
        <f t="shared" si="21"/>
        <v>53.67554100000001</v>
      </c>
      <c r="EA14" s="79">
        <f t="shared" si="21"/>
        <v>48.30798690000001</v>
      </c>
      <c r="EB14" s="79">
        <f t="shared" si="21"/>
        <v>43.477188210000008</v>
      </c>
      <c r="EC14" s="79">
        <f t="shared" si="21"/>
        <v>39.129469389000008</v>
      </c>
      <c r="ED14" s="79">
        <f t="shared" si="21"/>
        <v>35.216522450100008</v>
      </c>
      <c r="EE14" s="79">
        <f t="shared" si="21"/>
        <v>31.694870205090009</v>
      </c>
      <c r="EF14" s="79">
        <f t="shared" si="21"/>
        <v>28.52538318458101</v>
      </c>
    </row>
    <row r="15" spans="1:136" s="16" customFormat="1" x14ac:dyDescent="0.2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v>895</v>
      </c>
      <c r="BB15" s="82">
        <v>925</v>
      </c>
      <c r="BC15" s="82">
        <v>734</v>
      </c>
      <c r="BD15" s="82">
        <v>782</v>
      </c>
      <c r="BE15" s="82">
        <v>818</v>
      </c>
      <c r="BF15" s="82">
        <v>800</v>
      </c>
      <c r="BG15" s="82">
        <v>675</v>
      </c>
      <c r="BH15" s="82">
        <v>673</v>
      </c>
      <c r="BI15" s="82">
        <v>650</v>
      </c>
      <c r="BJ15" s="82">
        <v>607</v>
      </c>
      <c r="BK15" s="140">
        <v>452</v>
      </c>
      <c r="BL15" s="140">
        <v>475</v>
      </c>
      <c r="BM15" s="82">
        <v>439</v>
      </c>
      <c r="BN15" s="140">
        <v>440</v>
      </c>
      <c r="BO15" s="82">
        <v>314</v>
      </c>
      <c r="BP15" s="82">
        <v>349</v>
      </c>
      <c r="BQ15" s="82">
        <v>258</v>
      </c>
      <c r="BR15" s="82">
        <v>285</v>
      </c>
      <c r="BS15" s="82">
        <v>171</v>
      </c>
      <c r="BT15" s="82">
        <v>152</v>
      </c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"/>
      <c r="CV15" s="14"/>
      <c r="CW15" s="14"/>
      <c r="CX15" s="14"/>
      <c r="CY15" s="14"/>
      <c r="CZ15" s="14"/>
      <c r="DA15" s="14"/>
      <c r="DC15" s="83">
        <f>V15+U15</f>
        <v>205.76900000000001</v>
      </c>
      <c r="DD15" s="83">
        <v>903.38099999999997</v>
      </c>
      <c r="DE15" s="83">
        <v>1572.4549999999999</v>
      </c>
      <c r="DF15" s="108">
        <f>SUM(AE15:AH15)</f>
        <v>2382.1130000000003</v>
      </c>
      <c r="DG15" s="108">
        <v>2926.1129999999998</v>
      </c>
      <c r="DH15" s="93">
        <f t="shared" ref="DH15" si="22">SUM(AM15:AP15)</f>
        <v>3224.5189999999998</v>
      </c>
      <c r="DI15" s="93">
        <f t="shared" ref="DI15" si="23">SUM(AQ15:AT15)</f>
        <v>3574.4830000000002</v>
      </c>
      <c r="DJ15" s="93">
        <f t="shared" ref="DJ15" si="24">SUM(AU15:AX15)</f>
        <v>3648.4960000000001</v>
      </c>
      <c r="DK15" s="93">
        <f>SUM(AY15:BB15)</f>
        <v>3470.3020000000001</v>
      </c>
      <c r="DL15" s="83">
        <f t="shared" ref="DL15:DM15" si="25">DK15*1.05</f>
        <v>3643.8171000000002</v>
      </c>
      <c r="DM15" s="83">
        <f t="shared" si="25"/>
        <v>3826.0079550000005</v>
      </c>
      <c r="DN15" s="142"/>
      <c r="DO15" s="142"/>
      <c r="DP15" s="142"/>
      <c r="DQ15" s="139">
        <f t="shared" si="11"/>
        <v>349</v>
      </c>
      <c r="DR15" s="79">
        <f t="shared" si="12"/>
        <v>87</v>
      </c>
      <c r="DS15" s="79">
        <f>SUM(CE15:CH15)</f>
        <v>0</v>
      </c>
      <c r="DT15" s="79">
        <f t="shared" si="14"/>
        <v>0</v>
      </c>
      <c r="DU15" s="79">
        <f t="shared" ref="DU15:EF15" si="26">+DT15*0.9</f>
        <v>0</v>
      </c>
      <c r="DV15" s="79">
        <f t="shared" si="26"/>
        <v>0</v>
      </c>
      <c r="DW15" s="79">
        <f t="shared" si="26"/>
        <v>0</v>
      </c>
      <c r="DX15" s="79">
        <f t="shared" si="26"/>
        <v>0</v>
      </c>
      <c r="DY15" s="79">
        <f t="shared" si="26"/>
        <v>0</v>
      </c>
      <c r="DZ15" s="79">
        <f t="shared" si="26"/>
        <v>0</v>
      </c>
      <c r="EA15" s="79">
        <f t="shared" si="26"/>
        <v>0</v>
      </c>
      <c r="EB15" s="79">
        <f t="shared" si="26"/>
        <v>0</v>
      </c>
      <c r="EC15" s="79">
        <f t="shared" si="26"/>
        <v>0</v>
      </c>
      <c r="ED15" s="79">
        <f t="shared" si="26"/>
        <v>0</v>
      </c>
      <c r="EE15" s="79">
        <f t="shared" si="26"/>
        <v>0</v>
      </c>
      <c r="EF15" s="79">
        <f t="shared" si="26"/>
        <v>0</v>
      </c>
    </row>
    <row r="16" spans="1:136" s="17" customFormat="1" x14ac:dyDescent="0.2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v>877</v>
      </c>
      <c r="BB16" s="82">
        <v>897</v>
      </c>
      <c r="BC16" s="82">
        <v>771</v>
      </c>
      <c r="BD16" s="93">
        <v>849</v>
      </c>
      <c r="BE16" s="82">
        <v>903</v>
      </c>
      <c r="BF16" s="82">
        <v>936</v>
      </c>
      <c r="BG16" s="82">
        <v>898</v>
      </c>
      <c r="BH16" s="82">
        <v>942</v>
      </c>
      <c r="BI16" s="82">
        <v>858</v>
      </c>
      <c r="BJ16" s="82">
        <v>868</v>
      </c>
      <c r="BK16" s="140">
        <v>714</v>
      </c>
      <c r="BL16" s="140">
        <v>812</v>
      </c>
      <c r="BM16" s="82">
        <v>811</v>
      </c>
      <c r="BN16" s="140">
        <v>797</v>
      </c>
      <c r="BO16" s="82">
        <v>652</v>
      </c>
      <c r="BP16" s="82">
        <v>765</v>
      </c>
      <c r="BQ16" s="82">
        <v>757</v>
      </c>
      <c r="BR16" s="82">
        <v>823</v>
      </c>
      <c r="BS16" s="82">
        <v>606</v>
      </c>
      <c r="BT16" s="82">
        <v>718</v>
      </c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v>42</v>
      </c>
      <c r="CK16" s="140">
        <v>22</v>
      </c>
      <c r="CL16" s="140">
        <v>18</v>
      </c>
      <c r="CM16" s="140"/>
      <c r="CN16" s="140"/>
      <c r="CO16" s="140"/>
      <c r="CP16" s="140"/>
      <c r="CQ16" s="140"/>
      <c r="CR16" s="140"/>
      <c r="CS16" s="140"/>
      <c r="CT16" s="140"/>
      <c r="CU16" s="79"/>
      <c r="CV16" s="79"/>
      <c r="CW16" s="79"/>
      <c r="CX16" s="79"/>
      <c r="CY16" s="79"/>
      <c r="CZ16" s="79"/>
      <c r="DA16" s="79">
        <v>67.962426450334931</v>
      </c>
      <c r="DB16" s="17">
        <v>567.79999999999995</v>
      </c>
      <c r="DC16" s="82">
        <f>SUM(S16:V16)</f>
        <v>1194.29</v>
      </c>
      <c r="DD16" s="82"/>
      <c r="DE16" s="82"/>
      <c r="DF16" s="105">
        <f>SUM(AE16:AH16)</f>
        <v>2489.6820000000002</v>
      </c>
      <c r="DG16" s="105">
        <f>SUM(AI16:AL16)</f>
        <v>1310.3820000000001</v>
      </c>
      <c r="DH16" s="93">
        <f>SUM(AM16:AP16)</f>
        <v>2874.7139999999999</v>
      </c>
      <c r="DI16" s="93">
        <f>SUM(AQ16:AT16)</f>
        <v>3181.11</v>
      </c>
      <c r="DJ16" s="83">
        <f>SUM(AU16:AX16)</f>
        <v>3135.7709999999997</v>
      </c>
      <c r="DK16" s="93">
        <f>SUM(AY16:BB16)</f>
        <v>3340.31</v>
      </c>
      <c r="DL16" s="82">
        <f>+DK16*0.9</f>
        <v>3006.279</v>
      </c>
      <c r="DM16" s="82">
        <f t="shared" ref="DM16" si="27">+DL16*0.9</f>
        <v>2705.6511</v>
      </c>
      <c r="DN16" s="140"/>
      <c r="DO16" s="140"/>
      <c r="DP16" s="140"/>
      <c r="DQ16" s="139">
        <f t="shared" si="11"/>
        <v>1448</v>
      </c>
      <c r="DR16" s="79">
        <f t="shared" si="12"/>
        <v>371</v>
      </c>
      <c r="DS16" s="79">
        <f t="shared" si="13"/>
        <v>147</v>
      </c>
      <c r="DT16" s="79">
        <f t="shared" si="14"/>
        <v>114</v>
      </c>
      <c r="DU16" s="79">
        <f t="shared" ref="DU16:EF16" si="28">+DT16*0.9</f>
        <v>102.60000000000001</v>
      </c>
      <c r="DV16" s="79">
        <f t="shared" si="28"/>
        <v>92.34</v>
      </c>
      <c r="DW16" s="79">
        <f t="shared" si="28"/>
        <v>83.106000000000009</v>
      </c>
      <c r="DX16" s="79">
        <f t="shared" si="28"/>
        <v>74.795400000000015</v>
      </c>
      <c r="DY16" s="79">
        <f t="shared" si="28"/>
        <v>67.315860000000015</v>
      </c>
      <c r="DZ16" s="79">
        <f t="shared" si="28"/>
        <v>60.584274000000015</v>
      </c>
      <c r="EA16" s="79">
        <f t="shared" si="28"/>
        <v>54.525846600000015</v>
      </c>
      <c r="EB16" s="79">
        <f t="shared" si="28"/>
        <v>49.073261940000016</v>
      </c>
      <c r="EC16" s="79">
        <f t="shared" si="28"/>
        <v>44.165935746000017</v>
      </c>
      <c r="ED16" s="79">
        <f t="shared" si="28"/>
        <v>39.749342171400016</v>
      </c>
      <c r="EE16" s="79">
        <f t="shared" si="28"/>
        <v>35.774407954260013</v>
      </c>
      <c r="EF16" s="79">
        <f t="shared" si="28"/>
        <v>32.196967158834013</v>
      </c>
    </row>
    <row r="17" spans="2:136" s="17" customFormat="1" x14ac:dyDescent="0.2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275</v>
      </c>
      <c r="BB17" s="82">
        <v>311</v>
      </c>
      <c r="BC17" s="82">
        <v>234</v>
      </c>
      <c r="BD17" s="82">
        <v>271</v>
      </c>
      <c r="BE17" s="82">
        <v>297</v>
      </c>
      <c r="BF17" s="82">
        <v>306</v>
      </c>
      <c r="BG17" s="82">
        <v>272</v>
      </c>
      <c r="BH17" s="82">
        <v>287</v>
      </c>
      <c r="BI17" s="82">
        <v>303</v>
      </c>
      <c r="BJ17" s="82">
        <v>324</v>
      </c>
      <c r="BK17" s="140">
        <v>260</v>
      </c>
      <c r="BL17" s="140">
        <v>300</v>
      </c>
      <c r="BM17" s="82">
        <v>274</v>
      </c>
      <c r="BN17" s="140">
        <v>212</v>
      </c>
      <c r="BO17" s="82">
        <v>97</v>
      </c>
      <c r="BP17" s="82">
        <v>82</v>
      </c>
      <c r="BQ17" s="82">
        <v>70</v>
      </c>
      <c r="BR17" s="82">
        <v>58</v>
      </c>
      <c r="BS17" s="82">
        <v>72</v>
      </c>
      <c r="BT17" s="82">
        <v>75</v>
      </c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v>20</v>
      </c>
      <c r="CK17" s="140">
        <v>13</v>
      </c>
      <c r="CL17" s="140">
        <v>15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>
        <v>15.586</v>
      </c>
      <c r="CY17" s="79">
        <v>225.78199999999998</v>
      </c>
      <c r="CZ17" s="79">
        <v>566.5</v>
      </c>
      <c r="DA17" s="79">
        <v>782.97351970781381</v>
      </c>
      <c r="DB17" s="17">
        <v>778.7</v>
      </c>
      <c r="DC17" s="82">
        <f>SUM(S17:V17)</f>
        <v>689.33900000000006</v>
      </c>
      <c r="DD17" s="82">
        <f>SUM(W17:Z17)</f>
        <v>613.16399999999999</v>
      </c>
      <c r="DE17" s="82">
        <f>SUM(AA17:AD17)</f>
        <v>621.18700000000001</v>
      </c>
      <c r="DF17" s="105">
        <f>SUM(AE17:AH17)</f>
        <v>667.54099999999994</v>
      </c>
      <c r="DG17" s="105"/>
      <c r="DH17" s="93">
        <f>SUM(AM17:AP17)</f>
        <v>737.88000000000011</v>
      </c>
      <c r="DI17" s="93">
        <f>SUM(AQ17:AT17)</f>
        <v>848.697</v>
      </c>
      <c r="DJ17" s="83">
        <f>SUM(AU17:AX17)</f>
        <v>958.96900000000005</v>
      </c>
      <c r="DK17" s="93">
        <f>SUM(AY17:BB17)</f>
        <v>1057.3589999999999</v>
      </c>
      <c r="DL17" s="82">
        <f t="shared" ref="DL17:DM17" si="29">DK17*0.95</f>
        <v>1004.4910499999999</v>
      </c>
      <c r="DM17" s="82">
        <f t="shared" si="29"/>
        <v>954.26649749999979</v>
      </c>
      <c r="DN17" s="140"/>
      <c r="DO17" s="139"/>
      <c r="DP17" s="139"/>
      <c r="DQ17" s="139">
        <f t="shared" si="11"/>
        <v>185</v>
      </c>
      <c r="DR17" s="79">
        <f t="shared" si="12"/>
        <v>111</v>
      </c>
      <c r="DS17" s="79">
        <f t="shared" si="13"/>
        <v>91</v>
      </c>
      <c r="DT17" s="79">
        <f t="shared" si="14"/>
        <v>67</v>
      </c>
      <c r="DU17" s="79">
        <f t="shared" ref="DU17:EF17" si="30">+DT17*0.9</f>
        <v>60.300000000000004</v>
      </c>
      <c r="DV17" s="79">
        <f t="shared" si="30"/>
        <v>54.27</v>
      </c>
      <c r="DW17" s="79">
        <f t="shared" si="30"/>
        <v>48.843000000000004</v>
      </c>
      <c r="DX17" s="79">
        <f t="shared" si="30"/>
        <v>43.958700000000007</v>
      </c>
      <c r="DY17" s="79">
        <f t="shared" si="30"/>
        <v>39.562830000000005</v>
      </c>
      <c r="DZ17" s="79">
        <f t="shared" si="30"/>
        <v>35.606547000000006</v>
      </c>
      <c r="EA17" s="79">
        <f t="shared" si="30"/>
        <v>32.045892300000006</v>
      </c>
      <c r="EB17" s="79">
        <f t="shared" si="30"/>
        <v>28.841303070000006</v>
      </c>
      <c r="EC17" s="79">
        <f t="shared" si="30"/>
        <v>25.957172763000006</v>
      </c>
      <c r="ED17" s="79">
        <f t="shared" si="30"/>
        <v>23.361455486700006</v>
      </c>
      <c r="EE17" s="79">
        <f t="shared" si="30"/>
        <v>21.025309938030006</v>
      </c>
      <c r="EF17" s="79">
        <f t="shared" si="30"/>
        <v>18.922778944227005</v>
      </c>
    </row>
    <row r="18" spans="2:136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v>2796</v>
      </c>
      <c r="BB18" s="93">
        <v>1732</v>
      </c>
      <c r="BC18" s="93">
        <v>972</v>
      </c>
      <c r="BD18" s="93">
        <v>1291</v>
      </c>
      <c r="BE18" s="93">
        <v>1466</v>
      </c>
      <c r="BF18" s="93">
        <v>1547</v>
      </c>
      <c r="BG18" s="93">
        <v>1277</v>
      </c>
      <c r="BH18" s="93">
        <v>1358</v>
      </c>
      <c r="BI18" s="93">
        <v>825</v>
      </c>
      <c r="BJ18" s="93">
        <v>541</v>
      </c>
      <c r="BK18" s="139">
        <v>313</v>
      </c>
      <c r="BL18" s="139">
        <v>315</v>
      </c>
      <c r="BM18" s="93">
        <v>219</v>
      </c>
      <c r="BN18" s="139">
        <v>117</v>
      </c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"/>
      <c r="CV18" s="154"/>
      <c r="CW18" s="154"/>
      <c r="CX18" s="154"/>
      <c r="CY18" s="154"/>
      <c r="CZ18" s="154"/>
      <c r="DA18" s="154"/>
      <c r="DB18" s="85"/>
      <c r="DC18" s="93"/>
      <c r="DD18" s="93"/>
      <c r="DE18" s="93"/>
      <c r="DF18" s="103"/>
      <c r="DG18" s="103"/>
      <c r="DH18" s="93">
        <f>SUM(AM18:AP18)</f>
        <v>0</v>
      </c>
      <c r="DI18" s="93">
        <f>SUM(AQ18:AT18)</f>
        <v>0</v>
      </c>
      <c r="DJ18" s="83">
        <f>SUM(AU18:AX18)</f>
        <v>139.435</v>
      </c>
      <c r="DK18" s="93">
        <f t="shared" ref="DK18:DK38" si="31">SUM(AY18:BB18)</f>
        <v>10282.674999999999</v>
      </c>
      <c r="DL18" s="93">
        <f>+DK18*1.2</f>
        <v>12339.21</v>
      </c>
      <c r="DM18" s="93">
        <f>+DL18*1.01</f>
        <v>12462.6021</v>
      </c>
      <c r="DN18" s="139"/>
      <c r="DO18" s="139"/>
      <c r="DP18" s="139"/>
      <c r="DQ18" s="139">
        <f t="shared" si="11"/>
        <v>0</v>
      </c>
      <c r="DR18" s="79">
        <f t="shared" si="12"/>
        <v>0</v>
      </c>
      <c r="DS18" s="79">
        <f t="shared" si="13"/>
        <v>0</v>
      </c>
      <c r="DT18" s="79">
        <f t="shared" si="14"/>
        <v>0</v>
      </c>
      <c r="DU18" s="79">
        <f t="shared" ref="DU18:EF18" si="32">+DT18*0.9</f>
        <v>0</v>
      </c>
      <c r="DV18" s="79">
        <f t="shared" si="32"/>
        <v>0</v>
      </c>
      <c r="DW18" s="79">
        <f t="shared" si="32"/>
        <v>0</v>
      </c>
      <c r="DX18" s="79">
        <f t="shared" si="32"/>
        <v>0</v>
      </c>
      <c r="DY18" s="79">
        <f t="shared" si="32"/>
        <v>0</v>
      </c>
      <c r="DZ18" s="79">
        <f t="shared" si="32"/>
        <v>0</v>
      </c>
      <c r="EA18" s="79">
        <f t="shared" si="32"/>
        <v>0</v>
      </c>
      <c r="EB18" s="79">
        <f t="shared" si="32"/>
        <v>0</v>
      </c>
      <c r="EC18" s="79">
        <f t="shared" si="32"/>
        <v>0</v>
      </c>
      <c r="ED18" s="79">
        <f t="shared" si="32"/>
        <v>0</v>
      </c>
      <c r="EE18" s="79">
        <f t="shared" si="32"/>
        <v>0</v>
      </c>
      <c r="EF18" s="79">
        <f t="shared" si="32"/>
        <v>0</v>
      </c>
    </row>
    <row r="19" spans="2:136" s="15" customFormat="1" x14ac:dyDescent="0.2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/>
      <c r="BC19" s="93"/>
      <c r="BD19" s="93"/>
      <c r="BE19" s="93"/>
      <c r="BF19" s="93"/>
      <c r="BG19" s="93"/>
      <c r="BH19" s="93"/>
      <c r="BI19" s="93"/>
      <c r="BJ19" s="93"/>
      <c r="BK19" s="139"/>
      <c r="BL19" s="139"/>
      <c r="BM19" s="93"/>
      <c r="BN19" s="139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 t="shared" ref="DH19" si="33">SUM(AM19:AP19)</f>
        <v>0</v>
      </c>
      <c r="DI19" s="93">
        <f t="shared" ref="DI19" si="34">SUM(AQ19:AT19)</f>
        <v>0</v>
      </c>
      <c r="DJ19" s="83">
        <f t="shared" ref="DJ19" si="35">SUM(AU19:AX19)</f>
        <v>0</v>
      </c>
      <c r="DK19" s="93">
        <f t="shared" si="31"/>
        <v>0</v>
      </c>
      <c r="DL19" s="93">
        <v>2000</v>
      </c>
      <c r="DM19" s="93">
        <v>2500</v>
      </c>
      <c r="DN19" s="139"/>
      <c r="DO19" s="139"/>
      <c r="DP19" s="139"/>
      <c r="DQ19" s="139">
        <f t="shared" si="11"/>
        <v>0</v>
      </c>
      <c r="DR19" s="79">
        <f t="shared" si="12"/>
        <v>0</v>
      </c>
      <c r="DS19" s="79">
        <f t="shared" si="13"/>
        <v>0</v>
      </c>
      <c r="DT19" s="79">
        <f t="shared" si="14"/>
        <v>0</v>
      </c>
      <c r="DU19" s="79">
        <f t="shared" ref="DU19:EF19" si="36">+DT19*0.9</f>
        <v>0</v>
      </c>
      <c r="DV19" s="79">
        <f t="shared" si="36"/>
        <v>0</v>
      </c>
      <c r="DW19" s="79">
        <f t="shared" si="36"/>
        <v>0</v>
      </c>
      <c r="DX19" s="79">
        <f t="shared" si="36"/>
        <v>0</v>
      </c>
      <c r="DY19" s="79">
        <f t="shared" si="36"/>
        <v>0</v>
      </c>
      <c r="DZ19" s="79">
        <f t="shared" si="36"/>
        <v>0</v>
      </c>
      <c r="EA19" s="79">
        <f t="shared" si="36"/>
        <v>0</v>
      </c>
      <c r="EB19" s="79">
        <f t="shared" si="36"/>
        <v>0</v>
      </c>
      <c r="EC19" s="79">
        <f t="shared" si="36"/>
        <v>0</v>
      </c>
      <c r="ED19" s="79">
        <f t="shared" si="36"/>
        <v>0</v>
      </c>
      <c r="EE19" s="79">
        <f t="shared" si="36"/>
        <v>0</v>
      </c>
      <c r="EF19" s="79">
        <f t="shared" si="36"/>
        <v>0</v>
      </c>
    </row>
    <row r="20" spans="2:136" s="15" customFormat="1" x14ac:dyDescent="0.2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>
        <v>0</v>
      </c>
      <c r="BA20" s="93">
        <v>20</v>
      </c>
      <c r="BB20" s="93">
        <v>2107</v>
      </c>
      <c r="BC20" s="93">
        <v>3579</v>
      </c>
      <c r="BD20" s="93">
        <v>3608</v>
      </c>
      <c r="BE20" s="93">
        <v>3332</v>
      </c>
      <c r="BF20" s="93">
        <v>3345</v>
      </c>
      <c r="BG20" s="93">
        <v>3017</v>
      </c>
      <c r="BH20" s="93">
        <v>2564</v>
      </c>
      <c r="BI20" s="93">
        <v>1860</v>
      </c>
      <c r="BJ20" s="93">
        <v>1640</v>
      </c>
      <c r="BK20" s="139">
        <v>1371</v>
      </c>
      <c r="BL20" s="139">
        <v>1382</v>
      </c>
      <c r="BM20" s="93">
        <v>973</v>
      </c>
      <c r="BN20" s="139">
        <v>644</v>
      </c>
      <c r="BO20" s="93">
        <v>348</v>
      </c>
      <c r="BP20" s="93">
        <v>331</v>
      </c>
      <c r="BQ20" s="93">
        <v>311</v>
      </c>
      <c r="BR20" s="93">
        <v>232</v>
      </c>
      <c r="BS20" s="93">
        <v>225</v>
      </c>
      <c r="BT20" s="93">
        <v>193</v>
      </c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v>15</v>
      </c>
      <c r="CK20" s="139">
        <v>23</v>
      </c>
      <c r="CL20" s="139">
        <v>17</v>
      </c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/>
      <c r="DI20" s="93"/>
      <c r="DJ20" s="83"/>
      <c r="DK20" s="93"/>
      <c r="DL20" s="93"/>
      <c r="DM20" s="93"/>
      <c r="DN20" s="139"/>
      <c r="DO20" s="139"/>
      <c r="DP20" s="139"/>
      <c r="DQ20" s="139">
        <f t="shared" si="11"/>
        <v>272</v>
      </c>
      <c r="DR20" s="79">
        <f t="shared" si="12"/>
        <v>212</v>
      </c>
      <c r="DS20" s="79">
        <f t="shared" si="13"/>
        <v>114</v>
      </c>
      <c r="DT20" s="79">
        <f t="shared" si="14"/>
        <v>70</v>
      </c>
      <c r="DU20" s="79">
        <f t="shared" ref="DU20:EF20" si="37">+DT20*0.9</f>
        <v>63</v>
      </c>
      <c r="DV20" s="79">
        <f t="shared" si="37"/>
        <v>56.7</v>
      </c>
      <c r="DW20" s="79">
        <f t="shared" si="37"/>
        <v>51.03</v>
      </c>
      <c r="DX20" s="79">
        <f t="shared" si="37"/>
        <v>45.927</v>
      </c>
      <c r="DY20" s="79">
        <f t="shared" si="37"/>
        <v>41.334299999999999</v>
      </c>
      <c r="DZ20" s="79">
        <f t="shared" si="37"/>
        <v>37.200870000000002</v>
      </c>
      <c r="EA20" s="79">
        <f t="shared" si="37"/>
        <v>33.480783000000002</v>
      </c>
      <c r="EB20" s="79">
        <f t="shared" si="37"/>
        <v>30.132704700000001</v>
      </c>
      <c r="EC20" s="79">
        <f t="shared" si="37"/>
        <v>27.119434230000003</v>
      </c>
      <c r="ED20" s="79">
        <f t="shared" si="37"/>
        <v>24.407490807000002</v>
      </c>
      <c r="EE20" s="79">
        <f t="shared" si="37"/>
        <v>21.966741726300004</v>
      </c>
      <c r="EF20" s="79">
        <f t="shared" si="37"/>
        <v>19.770067553670003</v>
      </c>
    </row>
    <row r="21" spans="2:136" s="15" customFormat="1" x14ac:dyDescent="0.2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139">
        <v>11</v>
      </c>
      <c r="BL21" s="139">
        <v>22</v>
      </c>
      <c r="BM21" s="93"/>
      <c r="BN21" s="139"/>
      <c r="BO21" s="93">
        <v>58</v>
      </c>
      <c r="BP21" s="93">
        <v>76</v>
      </c>
      <c r="BQ21" s="93">
        <v>87</v>
      </c>
      <c r="BR21" s="93">
        <v>100</v>
      </c>
      <c r="BS21" s="93">
        <v>101</v>
      </c>
      <c r="BT21" s="93">
        <v>116</v>
      </c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v>219</v>
      </c>
      <c r="CK21" s="139">
        <v>228</v>
      </c>
      <c r="CL21" s="139">
        <v>217</v>
      </c>
      <c r="CM21" s="139">
        <v>225</v>
      </c>
      <c r="CN21" s="139">
        <v>243</v>
      </c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1"/>
        <v>657</v>
      </c>
      <c r="DR21" s="79">
        <f t="shared" si="12"/>
        <v>814</v>
      </c>
      <c r="DS21" s="79">
        <f t="shared" si="13"/>
        <v>843</v>
      </c>
      <c r="DT21" s="79">
        <f t="shared" si="14"/>
        <v>863</v>
      </c>
      <c r="DU21" s="79">
        <f>+DT21*0.9</f>
        <v>776.7</v>
      </c>
      <c r="DV21" s="79">
        <f t="shared" ref="DV21:EF21" si="38">+DU21*0.9</f>
        <v>699.03000000000009</v>
      </c>
      <c r="DW21" s="79">
        <f t="shared" si="38"/>
        <v>629.12700000000007</v>
      </c>
      <c r="DX21" s="79">
        <f t="shared" si="38"/>
        <v>566.21430000000009</v>
      </c>
      <c r="DY21" s="79">
        <f t="shared" si="38"/>
        <v>509.59287000000012</v>
      </c>
      <c r="DZ21" s="79">
        <f t="shared" si="38"/>
        <v>458.6335830000001</v>
      </c>
      <c r="EA21" s="79">
        <f t="shared" si="38"/>
        <v>412.77022470000009</v>
      </c>
      <c r="EB21" s="79">
        <f t="shared" si="38"/>
        <v>371.49320223000007</v>
      </c>
      <c r="EC21" s="79">
        <f t="shared" si="38"/>
        <v>334.34388200700005</v>
      </c>
      <c r="ED21" s="79">
        <f t="shared" si="38"/>
        <v>300.90949380630008</v>
      </c>
      <c r="EE21" s="79">
        <f t="shared" si="38"/>
        <v>270.8185444256701</v>
      </c>
      <c r="EF21" s="79">
        <f t="shared" si="38"/>
        <v>243.7366899831031</v>
      </c>
    </row>
    <row r="22" spans="2:136" s="15" customFormat="1" x14ac:dyDescent="0.2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>
        <v>0</v>
      </c>
      <c r="BF22" s="93"/>
      <c r="BG22" s="93"/>
      <c r="BH22" s="93">
        <v>64</v>
      </c>
      <c r="BI22" s="93">
        <v>640</v>
      </c>
      <c r="BJ22" s="93">
        <v>1048</v>
      </c>
      <c r="BK22" s="139">
        <v>892</v>
      </c>
      <c r="BL22" s="139">
        <v>1171</v>
      </c>
      <c r="BM22" s="93">
        <v>882</v>
      </c>
      <c r="BN22" s="139">
        <v>565</v>
      </c>
      <c r="BO22" s="93">
        <v>536</v>
      </c>
      <c r="BP22" s="93">
        <v>500</v>
      </c>
      <c r="BQ22" s="93">
        <v>477</v>
      </c>
      <c r="BR22" s="93">
        <v>453</v>
      </c>
      <c r="BS22" s="93">
        <v>491</v>
      </c>
      <c r="BT22" s="93">
        <v>493</v>
      </c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v>397</v>
      </c>
      <c r="CK22" s="139">
        <v>377</v>
      </c>
      <c r="CL22" s="139">
        <v>378</v>
      </c>
      <c r="CM22" s="139">
        <v>405</v>
      </c>
      <c r="CN22" s="139">
        <v>476</v>
      </c>
      <c r="CO22" s="139"/>
      <c r="CP22" s="139"/>
      <c r="CQ22" s="139"/>
      <c r="CR22" s="139"/>
      <c r="CS22" s="139"/>
      <c r="CT22" s="139"/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1"/>
        <v>1599</v>
      </c>
      <c r="DR22" s="79">
        <f t="shared" si="12"/>
        <v>1462</v>
      </c>
      <c r="DS22" s="79">
        <f t="shared" si="13"/>
        <v>1530</v>
      </c>
      <c r="DT22" s="79">
        <f t="shared" si="14"/>
        <v>1537</v>
      </c>
      <c r="DU22"/>
      <c r="DV22"/>
      <c r="DW22" s="13"/>
      <c r="DX22" s="13"/>
      <c r="DY22" s="13"/>
      <c r="DZ22" s="13"/>
      <c r="EA22" s="13"/>
      <c r="EB22" s="13"/>
      <c r="EC22" s="13"/>
      <c r="ED22" s="13"/>
      <c r="EE22" s="13"/>
      <c r="EF22" s="13"/>
    </row>
    <row r="23" spans="2:136" s="15" customFormat="1" x14ac:dyDescent="0.2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>
        <v>0</v>
      </c>
      <c r="BI23" s="93">
        <v>0</v>
      </c>
      <c r="BJ23" s="93">
        <v>0</v>
      </c>
      <c r="BK23" s="139">
        <v>0</v>
      </c>
      <c r="BL23" s="139">
        <v>0</v>
      </c>
      <c r="BM23" s="93">
        <v>123</v>
      </c>
      <c r="BN23" s="139">
        <v>170</v>
      </c>
      <c r="BO23" s="93">
        <v>107</v>
      </c>
      <c r="BP23" s="93">
        <v>109</v>
      </c>
      <c r="BQ23" s="93">
        <v>103</v>
      </c>
      <c r="BR23" s="93">
        <v>77</v>
      </c>
      <c r="BS23" s="93">
        <v>63</v>
      </c>
      <c r="BT23" s="93">
        <v>75</v>
      </c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1"/>
        <v>48</v>
      </c>
      <c r="DR23" s="79">
        <f t="shared" si="12"/>
        <v>0</v>
      </c>
      <c r="DS23" s="79">
        <f t="shared" si="13"/>
        <v>0</v>
      </c>
      <c r="DT23" s="79">
        <f t="shared" si="14"/>
        <v>0</v>
      </c>
      <c r="DU23"/>
      <c r="DV23"/>
      <c r="DW23" s="13"/>
      <c r="DX23" s="13"/>
      <c r="DY23" s="13"/>
      <c r="DZ23" s="13"/>
      <c r="EA23" s="13"/>
      <c r="EB23" s="13"/>
      <c r="EC23" s="13"/>
      <c r="ED23" s="13"/>
      <c r="EE23" s="13"/>
      <c r="EF23" s="13"/>
    </row>
    <row r="24" spans="2:136" s="17" customFormat="1" x14ac:dyDescent="0.2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93">
        <v>0</v>
      </c>
      <c r="BI24" s="93">
        <v>0</v>
      </c>
      <c r="BJ24" s="93">
        <v>0</v>
      </c>
      <c r="BK24" s="139">
        <v>0</v>
      </c>
      <c r="BL24" s="139">
        <v>0</v>
      </c>
      <c r="BM24" s="82">
        <v>0</v>
      </c>
      <c r="BN24" s="140">
        <v>0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79"/>
      <c r="CV24" s="79"/>
      <c r="CW24" s="79"/>
      <c r="CX24" s="79"/>
      <c r="CY24" s="79"/>
      <c r="CZ24" s="79"/>
      <c r="DA24" s="79"/>
      <c r="DC24" s="82"/>
      <c r="DD24" s="82"/>
      <c r="DE24" s="82"/>
      <c r="DF24" s="105"/>
      <c r="DG24" s="105"/>
      <c r="DH24" s="93"/>
      <c r="DI24" s="93"/>
      <c r="DJ24" s="83"/>
      <c r="DK24" s="93"/>
      <c r="DL24" s="82"/>
      <c r="DM24" s="82"/>
      <c r="DN24" s="140"/>
      <c r="DO24" s="139"/>
      <c r="DP24" s="139"/>
      <c r="DQ24" s="139">
        <f t="shared" si="11"/>
        <v>8</v>
      </c>
      <c r="DR24" s="79">
        <f t="shared" si="12"/>
        <v>44</v>
      </c>
      <c r="DS24" s="79">
        <f t="shared" si="13"/>
        <v>43</v>
      </c>
      <c r="DT24" s="79">
        <f t="shared" si="14"/>
        <v>0</v>
      </c>
      <c r="DU24"/>
      <c r="DV24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2:136" s="17" customFormat="1" x14ac:dyDescent="0.2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93">
        <v>0</v>
      </c>
      <c r="BI25" s="93">
        <v>0</v>
      </c>
      <c r="BJ25" s="93">
        <v>0</v>
      </c>
      <c r="BK25" s="139">
        <v>0</v>
      </c>
      <c r="BL25" s="139">
        <v>0</v>
      </c>
      <c r="BM25" s="82">
        <v>0</v>
      </c>
      <c r="BN25" s="140">
        <v>0</v>
      </c>
      <c r="BO25" s="82">
        <v>0</v>
      </c>
      <c r="BP25" s="82">
        <v>0</v>
      </c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v>256</v>
      </c>
      <c r="CK25" s="140">
        <v>636</v>
      </c>
      <c r="CL25" s="140">
        <v>720</v>
      </c>
      <c r="CM25" s="140">
        <v>555</v>
      </c>
      <c r="CN25" s="140">
        <v>214</v>
      </c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1"/>
        <v>2811</v>
      </c>
      <c r="DR25" s="79">
        <f t="shared" si="12"/>
        <v>5565</v>
      </c>
      <c r="DS25" s="79">
        <f t="shared" si="13"/>
        <v>3905</v>
      </c>
      <c r="DT25" s="79">
        <f t="shared" si="14"/>
        <v>2185</v>
      </c>
      <c r="DU25"/>
      <c r="DV25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/>
      <c r="BB26" s="82"/>
      <c r="BC26" s="82"/>
      <c r="BD26" s="82"/>
      <c r="BE26" s="82"/>
      <c r="BF26" s="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182"/>
      <c r="CB26" s="182"/>
      <c r="CC26" s="182"/>
      <c r="CD26" s="182"/>
      <c r="CE26" s="182"/>
      <c r="CF26" s="182"/>
      <c r="CG26" s="182"/>
      <c r="CH26" s="182"/>
      <c r="CI26" s="182"/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79"/>
      <c r="CV26" s="79"/>
      <c r="CW26" s="79"/>
      <c r="CX26" s="79"/>
      <c r="CY26" s="79"/>
      <c r="CZ26" s="79">
        <v>10</v>
      </c>
      <c r="DA26" s="79">
        <v>57.779492890373753</v>
      </c>
      <c r="DB26" s="17">
        <v>47.4</v>
      </c>
      <c r="DC26" s="82">
        <f>SUM(S26:V26)</f>
        <v>36.472000000000001</v>
      </c>
      <c r="DD26" s="82">
        <f>SUM(W26:Z26)</f>
        <v>31.492999999999999</v>
      </c>
      <c r="DE26" s="82">
        <f>SUM(AA26:AD26)</f>
        <v>31.08</v>
      </c>
      <c r="DF26" s="105">
        <f>SUM(AE26:AH26)</f>
        <v>28.059000000000001</v>
      </c>
      <c r="DG26" s="105">
        <f t="shared" ref="DG26:DG37" si="39">SUM(AI26:AL26)</f>
        <v>13.445</v>
      </c>
      <c r="DH26" s="93">
        <f t="shared" ref="DH26:DH38" si="40">SUM(AM26:AP26)</f>
        <v>28.796999999999997</v>
      </c>
      <c r="DI26" s="93">
        <f t="shared" ref="DI26:DI38" si="41">SUM(AQ26:AT26)</f>
        <v>29.448999999999998</v>
      </c>
      <c r="DJ26" s="83">
        <f t="shared" ref="DJ26:DJ38" si="42">SUM(AU26:AX26)</f>
        <v>27.404999999999998</v>
      </c>
      <c r="DK26" s="93">
        <f t="shared" si="31"/>
        <v>13.844999999999999</v>
      </c>
      <c r="DL26" s="82">
        <f t="shared" ref="DL26:DM31" si="43">DK26</f>
        <v>13.844999999999999</v>
      </c>
      <c r="DM26" s="82">
        <f t="shared" si="43"/>
        <v>13.844999999999999</v>
      </c>
      <c r="DN26" s="140"/>
      <c r="DO26" s="139"/>
      <c r="DP26" s="139"/>
      <c r="DQ26" s="139">
        <f t="shared" si="11"/>
        <v>0</v>
      </c>
      <c r="DR26" s="79">
        <f t="shared" si="12"/>
        <v>0</v>
      </c>
      <c r="DS26" s="79">
        <f t="shared" si="13"/>
        <v>0</v>
      </c>
      <c r="DT26" s="79">
        <f t="shared" si="14"/>
        <v>0</v>
      </c>
      <c r="DU26"/>
      <c r="DV26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2:136" s="17" customFormat="1" x14ac:dyDescent="0.2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v>330</v>
      </c>
      <c r="BB27" s="82">
        <v>348</v>
      </c>
      <c r="BC27" s="82">
        <v>320</v>
      </c>
      <c r="BD27" s="82">
        <v>367</v>
      </c>
      <c r="BE27" s="82">
        <v>360</v>
      </c>
      <c r="BF27" s="82">
        <v>380</v>
      </c>
      <c r="BG27" s="82">
        <v>381</v>
      </c>
      <c r="BH27" s="82">
        <v>368</v>
      </c>
      <c r="BI27" s="82">
        <v>411</v>
      </c>
      <c r="BJ27" s="82">
        <v>297</v>
      </c>
      <c r="BK27" s="140">
        <v>253</v>
      </c>
      <c r="BL27" s="140">
        <v>254</v>
      </c>
      <c r="BM27" s="82">
        <v>237</v>
      </c>
      <c r="BN27" s="140">
        <v>222</v>
      </c>
      <c r="BO27" s="82">
        <v>190</v>
      </c>
      <c r="BP27" s="82">
        <v>199</v>
      </c>
      <c r="BQ27" s="82">
        <v>139</v>
      </c>
      <c r="BR27" s="82">
        <v>125</v>
      </c>
      <c r="BS27" s="82">
        <v>115</v>
      </c>
      <c r="BT27" s="82">
        <v>123</v>
      </c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v>32</v>
      </c>
      <c r="CK27" s="140">
        <v>34</v>
      </c>
      <c r="CL27" s="140">
        <v>24</v>
      </c>
      <c r="CM27" s="140"/>
      <c r="CN27" s="140"/>
      <c r="CO27" s="140"/>
      <c r="CP27" s="140"/>
      <c r="CQ27" s="140"/>
      <c r="CR27" s="140"/>
      <c r="CS27" s="140"/>
      <c r="CT27" s="140"/>
      <c r="CU27" s="79"/>
      <c r="CV27" s="79"/>
      <c r="CW27" s="79"/>
      <c r="CX27" s="79"/>
      <c r="CY27" s="79"/>
      <c r="CZ27" s="79"/>
      <c r="DA27" s="79"/>
      <c r="DC27" s="82"/>
      <c r="DD27" s="82"/>
      <c r="DE27" s="82"/>
      <c r="DF27" s="105"/>
      <c r="DG27" s="105"/>
      <c r="DH27" s="93">
        <f t="shared" si="40"/>
        <v>38.703000000000003</v>
      </c>
      <c r="DI27" s="93">
        <f t="shared" si="41"/>
        <v>342.2</v>
      </c>
      <c r="DJ27" s="83">
        <f t="shared" si="42"/>
        <v>809.452</v>
      </c>
      <c r="DK27" s="93">
        <f t="shared" si="31"/>
        <v>1228.1970000000001</v>
      </c>
      <c r="DL27" s="82">
        <f>+DK27*1.1</f>
        <v>1351.0167000000001</v>
      </c>
      <c r="DM27" s="82">
        <f t="shared" ref="DM27" si="44">+DL27*1.1</f>
        <v>1486.1183700000004</v>
      </c>
      <c r="DN27" s="140"/>
      <c r="DO27" s="140"/>
      <c r="DP27" s="140"/>
      <c r="DQ27" s="139">
        <f t="shared" si="11"/>
        <v>269</v>
      </c>
      <c r="DR27" s="79">
        <f t="shared" si="12"/>
        <v>258</v>
      </c>
      <c r="DS27" s="79">
        <f t="shared" si="13"/>
        <v>199</v>
      </c>
      <c r="DT27" s="79">
        <f t="shared" si="14"/>
        <v>129</v>
      </c>
      <c r="DU27"/>
      <c r="DV27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2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>
        <v>0</v>
      </c>
      <c r="BI28" s="82">
        <v>0</v>
      </c>
      <c r="BJ28" s="82">
        <v>0</v>
      </c>
      <c r="BK28" s="140">
        <v>0</v>
      </c>
      <c r="BL28" s="140">
        <v>0</v>
      </c>
      <c r="BM28" s="82">
        <v>0</v>
      </c>
      <c r="BN28" s="140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v>88</v>
      </c>
      <c r="CK28" s="140">
        <v>96</v>
      </c>
      <c r="CL28" s="140">
        <v>98</v>
      </c>
      <c r="CM28" s="140">
        <v>100</v>
      </c>
      <c r="CN28" s="140">
        <v>107</v>
      </c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/>
      <c r="DI28" s="93"/>
      <c r="DJ28" s="83"/>
      <c r="DK28" s="93"/>
      <c r="DL28" s="82"/>
      <c r="DM28" s="82"/>
      <c r="DN28" s="140"/>
      <c r="DO28" s="140"/>
      <c r="DP28" s="140"/>
      <c r="DQ28" s="139">
        <f t="shared" si="11"/>
        <v>44</v>
      </c>
      <c r="DR28" s="79">
        <f t="shared" si="12"/>
        <v>176</v>
      </c>
      <c r="DS28" s="79">
        <f t="shared" si="13"/>
        <v>299</v>
      </c>
      <c r="DT28" s="79">
        <f t="shared" si="14"/>
        <v>371</v>
      </c>
      <c r="DU28"/>
      <c r="DV28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2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>
        <v>0</v>
      </c>
      <c r="BI29" s="82">
        <v>0</v>
      </c>
      <c r="BJ29" s="82">
        <v>0</v>
      </c>
      <c r="BK29" s="140">
        <v>0</v>
      </c>
      <c r="BL29" s="140">
        <v>0</v>
      </c>
      <c r="BM29" s="82">
        <v>0</v>
      </c>
      <c r="BN29" s="140">
        <v>0</v>
      </c>
      <c r="BO29" s="82">
        <v>40</v>
      </c>
      <c r="BP29" s="82">
        <v>68</v>
      </c>
      <c r="BQ29" s="82">
        <v>75</v>
      </c>
      <c r="BR29" s="82">
        <v>81</v>
      </c>
      <c r="BS29" s="82">
        <v>96</v>
      </c>
      <c r="BT29" s="82">
        <v>120</v>
      </c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v>380</v>
      </c>
      <c r="CK29" s="140">
        <v>391</v>
      </c>
      <c r="CL29" s="140">
        <v>368</v>
      </c>
      <c r="CM29" s="140">
        <v>380</v>
      </c>
      <c r="CN29" s="140">
        <v>414</v>
      </c>
      <c r="CO29" s="140"/>
      <c r="CP29" s="140"/>
      <c r="CQ29" s="140"/>
      <c r="CR29" s="140"/>
      <c r="CS29" s="140"/>
      <c r="CT29" s="140"/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1"/>
        <v>563</v>
      </c>
      <c r="DR29" s="79">
        <f t="shared" si="12"/>
        <v>695</v>
      </c>
      <c r="DS29" s="79">
        <f t="shared" si="13"/>
        <v>1160</v>
      </c>
      <c r="DT29" s="79">
        <f t="shared" si="14"/>
        <v>1498</v>
      </c>
      <c r="DU29"/>
      <c r="DV2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2:136" s="17" customFormat="1" x14ac:dyDescent="0.2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>
        <v>0</v>
      </c>
      <c r="BI30" s="82">
        <v>0</v>
      </c>
      <c r="BJ30" s="82">
        <v>0</v>
      </c>
      <c r="BK30" s="140">
        <v>0</v>
      </c>
      <c r="BL30" s="140">
        <v>0</v>
      </c>
      <c r="BM30" s="82">
        <v>0</v>
      </c>
      <c r="BN30" s="140">
        <v>0</v>
      </c>
      <c r="BO30" s="82">
        <v>0</v>
      </c>
      <c r="BP30" s="82">
        <v>0</v>
      </c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v>260</v>
      </c>
      <c r="CK30" s="140">
        <v>283</v>
      </c>
      <c r="CL30" s="140">
        <v>299</v>
      </c>
      <c r="CM30" s="140">
        <v>309</v>
      </c>
      <c r="CN30" s="140">
        <v>320</v>
      </c>
      <c r="CO30" s="140"/>
      <c r="CP30" s="140"/>
      <c r="CQ30" s="140"/>
      <c r="CR30" s="140"/>
      <c r="CS30" s="140"/>
      <c r="CT30" s="140"/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1"/>
        <v>49</v>
      </c>
      <c r="DR30" s="79">
        <f t="shared" si="12"/>
        <v>380</v>
      </c>
      <c r="DS30" s="79">
        <f t="shared" si="13"/>
        <v>680</v>
      </c>
      <c r="DT30" s="79">
        <f t="shared" si="14"/>
        <v>1064</v>
      </c>
      <c r="DU30"/>
      <c r="DV30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2:136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140"/>
      <c r="BL31" s="140"/>
      <c r="BM31" s="82"/>
      <c r="BN31" s="140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79"/>
      <c r="CV31" s="79">
        <v>0</v>
      </c>
      <c r="CW31" s="79">
        <v>0</v>
      </c>
      <c r="CX31" s="79">
        <v>0</v>
      </c>
      <c r="CY31" s="79">
        <v>4.6790000000000003</v>
      </c>
      <c r="CZ31" s="79">
        <v>50.4</v>
      </c>
      <c r="DA31" s="79">
        <v>112.5</v>
      </c>
      <c r="DB31" s="17">
        <v>186.6</v>
      </c>
      <c r="DC31" s="82">
        <f>SUM(S31:V31)</f>
        <v>230.53199999999998</v>
      </c>
      <c r="DD31" s="82">
        <f>SUM(W31:Z31)</f>
        <v>302.72199999999998</v>
      </c>
      <c r="DE31" s="82">
        <f>SUM(AA31:AD31)</f>
        <v>341.02299999999997</v>
      </c>
      <c r="DF31" s="105">
        <f>SUM(AE31:AH31)</f>
        <v>270.71600000000001</v>
      </c>
      <c r="DG31" s="105">
        <f t="shared" si="39"/>
        <v>98.834000000000003</v>
      </c>
      <c r="DH31" s="93">
        <f t="shared" si="40"/>
        <v>145.648</v>
      </c>
      <c r="DI31" s="93">
        <f t="shared" si="41"/>
        <v>108.315</v>
      </c>
      <c r="DJ31" s="83">
        <f t="shared" si="42"/>
        <v>81.094999999999999</v>
      </c>
      <c r="DK31" s="93">
        <f t="shared" si="31"/>
        <v>28.722999999999999</v>
      </c>
      <c r="DL31" s="82">
        <f t="shared" si="43"/>
        <v>28.722999999999999</v>
      </c>
      <c r="DM31" s="82">
        <f t="shared" si="43"/>
        <v>28.722999999999999</v>
      </c>
      <c r="DN31" s="140"/>
      <c r="DO31" s="139"/>
      <c r="DP31" s="139"/>
      <c r="DQ31" s="139">
        <f t="shared" si="11"/>
        <v>0</v>
      </c>
      <c r="DR31" s="79">
        <f t="shared" si="12"/>
        <v>0</v>
      </c>
      <c r="DS31" s="79">
        <f t="shared" si="13"/>
        <v>0</v>
      </c>
      <c r="DT31" s="79">
        <f t="shared" si="14"/>
        <v>0</v>
      </c>
      <c r="DU31"/>
      <c r="DV31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2:136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>
        <v>6</v>
      </c>
      <c r="BB32" s="93">
        <v>17</v>
      </c>
      <c r="BC32" s="93">
        <v>26</v>
      </c>
      <c r="BD32" s="93">
        <v>30</v>
      </c>
      <c r="BE32" s="93">
        <v>36</v>
      </c>
      <c r="BF32" s="93">
        <v>40</v>
      </c>
      <c r="BG32" s="93">
        <v>49</v>
      </c>
      <c r="BH32" s="93">
        <v>41</v>
      </c>
      <c r="BI32" s="93">
        <v>39</v>
      </c>
      <c r="BJ32" s="93">
        <v>39</v>
      </c>
      <c r="BK32" s="139">
        <v>35</v>
      </c>
      <c r="BL32" s="93">
        <v>35</v>
      </c>
      <c r="BM32" s="93">
        <v>40</v>
      </c>
      <c r="BN32" s="139">
        <v>39</v>
      </c>
      <c r="BO32" s="93">
        <v>33</v>
      </c>
      <c r="BP32" s="93">
        <v>39</v>
      </c>
      <c r="BQ32" s="93">
        <v>20</v>
      </c>
      <c r="BR32" s="93">
        <v>41</v>
      </c>
      <c r="BS32" s="93">
        <v>27</v>
      </c>
      <c r="BT32" s="93">
        <v>26</v>
      </c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95"/>
      <c r="CV32" s="153"/>
      <c r="CW32" s="153"/>
      <c r="CX32" s="153"/>
      <c r="CY32" s="153"/>
      <c r="CZ32" s="153"/>
      <c r="DA32" s="153"/>
      <c r="DB32" s="100"/>
      <c r="DC32" s="93"/>
      <c r="DD32" s="93"/>
      <c r="DE32" s="93"/>
      <c r="DF32" s="103"/>
      <c r="DG32" s="103"/>
      <c r="DH32" s="93">
        <f t="shared" si="40"/>
        <v>0</v>
      </c>
      <c r="DI32" s="93">
        <f t="shared" si="41"/>
        <v>0</v>
      </c>
      <c r="DJ32" s="83">
        <f t="shared" si="42"/>
        <v>0</v>
      </c>
      <c r="DK32" s="93">
        <f t="shared" si="31"/>
        <v>23</v>
      </c>
      <c r="DL32" s="103">
        <v>100</v>
      </c>
      <c r="DM32" s="103">
        <v>150</v>
      </c>
      <c r="DN32" s="139"/>
      <c r="DO32" s="139"/>
      <c r="DP32" s="139"/>
      <c r="DQ32" s="139">
        <f t="shared" si="11"/>
        <v>55</v>
      </c>
      <c r="DR32" s="79">
        <f t="shared" si="12"/>
        <v>22</v>
      </c>
      <c r="DS32" s="79">
        <f t="shared" si="13"/>
        <v>0</v>
      </c>
      <c r="DT32" s="79">
        <f t="shared" si="14"/>
        <v>0</v>
      </c>
      <c r="DU32"/>
      <c r="DV32"/>
      <c r="DW32" s="95"/>
      <c r="DX32" s="95"/>
      <c r="DY32" s="95"/>
      <c r="DZ32" s="95"/>
      <c r="EA32" s="95"/>
      <c r="EB32" s="95"/>
      <c r="EC32" s="95"/>
      <c r="ED32" s="95"/>
      <c r="EE32" s="95"/>
      <c r="EF32" s="95"/>
    </row>
    <row r="33" spans="2:136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v>98</v>
      </c>
      <c r="BB33" s="82">
        <v>104</v>
      </c>
      <c r="BC33" s="82">
        <v>85</v>
      </c>
      <c r="BD33" s="82">
        <v>103</v>
      </c>
      <c r="BE33" s="82">
        <v>88</v>
      </c>
      <c r="BF33" s="82">
        <v>74</v>
      </c>
      <c r="BG33" s="82">
        <v>86</v>
      </c>
      <c r="BH33" s="82">
        <v>85</v>
      </c>
      <c r="BI33" s="82">
        <v>91</v>
      </c>
      <c r="BJ33" s="82">
        <v>94</v>
      </c>
      <c r="BK33" s="140">
        <v>92</v>
      </c>
      <c r="BL33" s="82">
        <v>92</v>
      </c>
      <c r="BM33" s="82">
        <v>92</v>
      </c>
      <c r="BN33" s="140">
        <v>90</v>
      </c>
      <c r="BO33" s="82">
        <v>107</v>
      </c>
      <c r="BP33" s="82">
        <v>103</v>
      </c>
      <c r="BQ33" s="82">
        <v>102</v>
      </c>
      <c r="BR33" s="82">
        <v>108</v>
      </c>
      <c r="BS33" s="82">
        <v>93</v>
      </c>
      <c r="BT33" s="82">
        <v>105</v>
      </c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v>151</v>
      </c>
      <c r="CK33" s="140">
        <v>115</v>
      </c>
      <c r="CL33" s="140">
        <v>111</v>
      </c>
      <c r="CM33" s="140">
        <v>144</v>
      </c>
      <c r="CN33" s="140">
        <v>151</v>
      </c>
      <c r="CO33" s="140"/>
      <c r="CP33" s="140"/>
      <c r="CQ33" s="140"/>
      <c r="CR33" s="140"/>
      <c r="CS33" s="140"/>
      <c r="CT33" s="140"/>
      <c r="CU33" s="79"/>
      <c r="CV33" s="79">
        <v>129.17699999999999</v>
      </c>
      <c r="CW33" s="79">
        <v>141.11799999999999</v>
      </c>
      <c r="CX33" s="79">
        <v>164.53299999999999</v>
      </c>
      <c r="CY33" s="79">
        <v>185.59100000000001</v>
      </c>
      <c r="CZ33" s="79">
        <v>198.4</v>
      </c>
      <c r="DA33" s="79">
        <v>211.63799999999998</v>
      </c>
      <c r="DB33" s="17">
        <v>220.7</v>
      </c>
      <c r="DC33" s="82">
        <f>SUM(S33:V33)</f>
        <v>223.00400000000002</v>
      </c>
      <c r="DD33" s="82">
        <f>SUM(W33:Z33)</f>
        <v>262.57100000000003</v>
      </c>
      <c r="DE33" s="82">
        <f>SUM(AA33:AD33)</f>
        <v>289.65100000000001</v>
      </c>
      <c r="DF33" s="105">
        <f>SUM(AE33:AH33)</f>
        <v>298.59699999999998</v>
      </c>
      <c r="DG33" s="105">
        <f>SUM(AI33:AL33)</f>
        <v>153.274</v>
      </c>
      <c r="DH33" s="93">
        <f t="shared" si="40"/>
        <v>330.11500000000001</v>
      </c>
      <c r="DI33" s="93">
        <f t="shared" si="41"/>
        <v>346.64600000000002</v>
      </c>
      <c r="DJ33" s="83">
        <f t="shared" si="42"/>
        <v>351.827</v>
      </c>
      <c r="DK33" s="93">
        <f t="shared" si="31"/>
        <v>388.887</v>
      </c>
      <c r="DL33" s="82">
        <f t="shared" ref="DL33:DM33" si="45">DK33</f>
        <v>388.887</v>
      </c>
      <c r="DM33" s="82">
        <f t="shared" si="45"/>
        <v>388.887</v>
      </c>
      <c r="DN33" s="140"/>
      <c r="DO33" s="139"/>
      <c r="DP33" s="139"/>
      <c r="DQ33" s="139">
        <f t="shared" si="11"/>
        <v>436</v>
      </c>
      <c r="DR33" s="79">
        <f t="shared" si="12"/>
        <v>540</v>
      </c>
      <c r="DS33" s="79">
        <f t="shared" si="13"/>
        <v>498</v>
      </c>
      <c r="DT33" s="79">
        <f t="shared" si="14"/>
        <v>493</v>
      </c>
      <c r="DU33"/>
      <c r="DV33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2:136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v>146</v>
      </c>
      <c r="BB34" s="82">
        <v>181</v>
      </c>
      <c r="BC34" s="82">
        <v>151</v>
      </c>
      <c r="BD34" s="82">
        <v>176</v>
      </c>
      <c r="BE34" s="82">
        <v>181</v>
      </c>
      <c r="BF34" s="82">
        <v>192</v>
      </c>
      <c r="BG34" s="82">
        <v>175</v>
      </c>
      <c r="BH34" s="82">
        <v>203</v>
      </c>
      <c r="BI34" s="82">
        <v>215</v>
      </c>
      <c r="BJ34" s="82">
        <v>226</v>
      </c>
      <c r="BK34" s="140">
        <v>211</v>
      </c>
      <c r="BL34" s="82">
        <v>230</v>
      </c>
      <c r="BM34" s="82">
        <v>213</v>
      </c>
      <c r="BN34" s="140">
        <v>233</v>
      </c>
      <c r="BO34" s="82">
        <v>204</v>
      </c>
      <c r="BP34" s="82">
        <v>244</v>
      </c>
      <c r="BQ34" s="82">
        <v>241</v>
      </c>
      <c r="BR34" s="82">
        <v>254</v>
      </c>
      <c r="BS34" s="82">
        <v>197</v>
      </c>
      <c r="BT34" s="82">
        <v>204</v>
      </c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v>39</v>
      </c>
      <c r="CK34" s="140">
        <v>36</v>
      </c>
      <c r="CL34" s="140">
        <v>36</v>
      </c>
      <c r="CM34" s="140"/>
      <c r="CN34" s="140"/>
      <c r="CO34" s="140"/>
      <c r="CP34" s="140"/>
      <c r="CQ34" s="140"/>
      <c r="CR34" s="140"/>
      <c r="CS34" s="140"/>
      <c r="CT34" s="140"/>
      <c r="CU34" s="79"/>
      <c r="CV34" s="79"/>
      <c r="CW34" s="79"/>
      <c r="CX34" s="79"/>
      <c r="CY34" s="79"/>
      <c r="CZ34" s="79"/>
      <c r="DA34" s="79"/>
      <c r="DC34" s="82"/>
      <c r="DD34" s="82">
        <f>SUM(W34:Z34)</f>
        <v>25.401</v>
      </c>
      <c r="DE34" s="82">
        <f>SUM(AA34:AD34)</f>
        <v>112.518</v>
      </c>
      <c r="DF34" s="105">
        <f>SUM(AE34:AH34)</f>
        <v>183.94900000000001</v>
      </c>
      <c r="DG34" s="104">
        <f t="shared" si="39"/>
        <v>120.74799999999999</v>
      </c>
      <c r="DH34" s="93">
        <f t="shared" si="40"/>
        <v>293.47199999999998</v>
      </c>
      <c r="DI34" s="93">
        <f t="shared" si="41"/>
        <v>410.05399999999997</v>
      </c>
      <c r="DJ34" s="83">
        <f t="shared" si="42"/>
        <v>519.96600000000001</v>
      </c>
      <c r="DK34" s="93">
        <f t="shared" si="31"/>
        <v>594.601</v>
      </c>
      <c r="DL34" s="82">
        <f t="shared" ref="DL34:DM34" si="46">DK34*1.05</f>
        <v>624.33105</v>
      </c>
      <c r="DM34" s="82">
        <f t="shared" si="46"/>
        <v>655.54760250000004</v>
      </c>
      <c r="DN34" s="140"/>
      <c r="DO34" s="139"/>
      <c r="DP34" s="139"/>
      <c r="DQ34" s="139">
        <f t="shared" si="11"/>
        <v>314</v>
      </c>
      <c r="DR34" s="79">
        <f t="shared" si="12"/>
        <v>206</v>
      </c>
      <c r="DS34" s="79">
        <f t="shared" si="13"/>
        <v>195</v>
      </c>
      <c r="DT34" s="79">
        <f t="shared" si="14"/>
        <v>143</v>
      </c>
      <c r="DU34"/>
      <c r="DV34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2:136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v>132</v>
      </c>
      <c r="BB35" s="82">
        <v>144</v>
      </c>
      <c r="BC35" s="82">
        <v>117</v>
      </c>
      <c r="BD35" s="82">
        <v>141</v>
      </c>
      <c r="BE35" s="82">
        <v>161</v>
      </c>
      <c r="BF35" s="82">
        <v>169</v>
      </c>
      <c r="BG35" s="82">
        <v>144</v>
      </c>
      <c r="BH35" s="82">
        <v>153</v>
      </c>
      <c r="BI35" s="82">
        <v>170</v>
      </c>
      <c r="BJ35" s="82">
        <v>210</v>
      </c>
      <c r="BK35" s="140">
        <v>153</v>
      </c>
      <c r="BL35" s="82">
        <v>200</v>
      </c>
      <c r="BM35" s="82">
        <v>164</v>
      </c>
      <c r="BN35" s="140">
        <v>200</v>
      </c>
      <c r="BO35" s="82">
        <v>195</v>
      </c>
      <c r="BP35" s="82">
        <v>208</v>
      </c>
      <c r="BQ35" s="82">
        <v>178</v>
      </c>
      <c r="BR35" s="82">
        <v>177</v>
      </c>
      <c r="BS35" s="82">
        <v>155</v>
      </c>
      <c r="BT35" s="82">
        <v>19</v>
      </c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/>
      <c r="DE35" s="82"/>
      <c r="DF35" s="105">
        <f>SUM(AE35:AH35)</f>
        <v>131.06199999999998</v>
      </c>
      <c r="DG35" s="104">
        <f t="shared" si="39"/>
        <v>120.75999999999999</v>
      </c>
      <c r="DH35" s="93">
        <f t="shared" si="40"/>
        <v>320.02100000000002</v>
      </c>
      <c r="DI35" s="93">
        <f t="shared" si="41"/>
        <v>372.94900000000001</v>
      </c>
      <c r="DJ35" s="83">
        <f t="shared" si="42"/>
        <v>448.62399999999997</v>
      </c>
      <c r="DK35" s="93">
        <f t="shared" si="31"/>
        <v>509.57400000000001</v>
      </c>
      <c r="DL35" s="82">
        <f t="shared" ref="DL35:DM35" si="47">DK35*1.1</f>
        <v>560.53140000000008</v>
      </c>
      <c r="DM35" s="82">
        <f t="shared" si="47"/>
        <v>616.58454000000017</v>
      </c>
      <c r="DN35" s="140"/>
      <c r="DO35" s="139"/>
      <c r="DP35" s="139"/>
      <c r="DQ35" s="139">
        <f t="shared" si="11"/>
        <v>9</v>
      </c>
      <c r="DR35" s="79">
        <f t="shared" si="12"/>
        <v>7</v>
      </c>
      <c r="DS35" s="79">
        <f t="shared" si="13"/>
        <v>0</v>
      </c>
      <c r="DT35" s="79">
        <f t="shared" si="14"/>
        <v>0</v>
      </c>
      <c r="DU35"/>
      <c r="DV35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2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140"/>
      <c r="BL36" s="82"/>
      <c r="BM36" s="82"/>
      <c r="BN36" s="140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/>
      <c r="DG36" s="104"/>
      <c r="DH36" s="93">
        <f t="shared" si="40"/>
        <v>0</v>
      </c>
      <c r="DI36" s="93">
        <f t="shared" si="41"/>
        <v>0</v>
      </c>
      <c r="DJ36" s="83">
        <f t="shared" si="42"/>
        <v>0</v>
      </c>
      <c r="DK36" s="93">
        <f t="shared" si="31"/>
        <v>0</v>
      </c>
      <c r="DL36" s="93" t="s">
        <v>624</v>
      </c>
      <c r="DM36" s="93" t="s">
        <v>625</v>
      </c>
      <c r="DN36" s="140"/>
      <c r="DO36" s="139"/>
      <c r="DP36" s="139"/>
      <c r="DQ36" s="139">
        <f t="shared" si="11"/>
        <v>0</v>
      </c>
      <c r="DR36" s="79">
        <f t="shared" si="12"/>
        <v>0</v>
      </c>
      <c r="DS36" s="79">
        <f t="shared" si="13"/>
        <v>0</v>
      </c>
      <c r="DT36" s="79">
        <f t="shared" si="14"/>
        <v>0</v>
      </c>
      <c r="DU36"/>
      <c r="DV36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>24+42</f>
        <v>66</v>
      </c>
      <c r="BB37" s="93">
        <f>21+50</f>
        <v>71</v>
      </c>
      <c r="BC37" s="82">
        <f>38+22</f>
        <v>60</v>
      </c>
      <c r="BD37" s="82">
        <f>16+45</f>
        <v>61</v>
      </c>
      <c r="BE37" s="82">
        <f>43+15</f>
        <v>58</v>
      </c>
      <c r="BF37" s="82">
        <f>48+16</f>
        <v>64</v>
      </c>
      <c r="BG37" s="82">
        <f>44+28</f>
        <v>72</v>
      </c>
      <c r="BH37" s="82">
        <f>20+43</f>
        <v>63</v>
      </c>
      <c r="BI37" s="82">
        <f>49+19</f>
        <v>68</v>
      </c>
      <c r="BJ37" s="82">
        <f>52+16</f>
        <v>68</v>
      </c>
      <c r="BK37" s="82">
        <f>45+30-BK21</f>
        <v>64</v>
      </c>
      <c r="BL37" s="82">
        <f>36+50-BL21</f>
        <v>64</v>
      </c>
      <c r="BM37" s="82">
        <f>50+56</f>
        <v>106</v>
      </c>
      <c r="BN37" s="140">
        <f>62+74</f>
        <v>136</v>
      </c>
      <c r="BO37" s="93">
        <f>47+79</f>
        <v>126</v>
      </c>
      <c r="BP37" s="82">
        <f>115+19</f>
        <v>134</v>
      </c>
      <c r="BQ37" s="82">
        <f>64+14</f>
        <v>78</v>
      </c>
      <c r="BR37" s="82">
        <f>35+15</f>
        <v>50</v>
      </c>
      <c r="BS37" s="82">
        <f>17+62</f>
        <v>79</v>
      </c>
      <c r="BT37" s="82">
        <f>140+15</f>
        <v>155</v>
      </c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>40+21+20+53</f>
        <v>134</v>
      </c>
      <c r="CK37" s="140">
        <f>38+21+20+65</f>
        <v>144</v>
      </c>
      <c r="CL37" s="140">
        <f>54+22+37+21</f>
        <v>134</v>
      </c>
      <c r="CM37" s="140">
        <f>117+107+80</f>
        <v>304</v>
      </c>
      <c r="CN37" s="140">
        <f>105+113+130</f>
        <v>348</v>
      </c>
      <c r="CO37" s="140"/>
      <c r="CP37" s="140"/>
      <c r="CQ37" s="140"/>
      <c r="CR37" s="140"/>
      <c r="CS37" s="140"/>
      <c r="CT37" s="140"/>
      <c r="CU37" s="79"/>
      <c r="CV37" s="79">
        <v>10.712999999999999</v>
      </c>
      <c r="CW37" s="79">
        <v>8.5909999999999993</v>
      </c>
      <c r="CX37" s="79">
        <v>10.851000000000001</v>
      </c>
      <c r="CY37" s="79">
        <v>7.827</v>
      </c>
      <c r="CZ37" s="79">
        <v>11.041</v>
      </c>
      <c r="DA37" s="79">
        <v>9.4750000000000103</v>
      </c>
      <c r="DB37" s="17">
        <v>8.1690000000001373</v>
      </c>
      <c r="DC37" s="82"/>
      <c r="DD37" s="82">
        <f>SUM(W37:Z37)</f>
        <v>5.1430000000000007</v>
      </c>
      <c r="DE37" s="82">
        <f>SUM(AA37:AD37)</f>
        <v>10.195</v>
      </c>
      <c r="DF37" s="105">
        <f>SUM(AE37:AH37)</f>
        <v>17.081</v>
      </c>
      <c r="DG37" s="104">
        <f t="shared" si="39"/>
        <v>35.142000000000003</v>
      </c>
      <c r="DH37" s="93">
        <f t="shared" si="40"/>
        <v>85.116</v>
      </c>
      <c r="DI37" s="93">
        <f t="shared" si="41"/>
        <v>126.93199999999999</v>
      </c>
      <c r="DJ37" s="83">
        <f t="shared" si="42"/>
        <v>143.399</v>
      </c>
      <c r="DK37" s="93">
        <f t="shared" si="31"/>
        <v>212.208</v>
      </c>
      <c r="DL37" s="82">
        <f t="shared" ref="DL37:DM37" si="48">+DK37</f>
        <v>212.208</v>
      </c>
      <c r="DM37" s="82">
        <f t="shared" si="48"/>
        <v>212.208</v>
      </c>
      <c r="DN37" s="140"/>
      <c r="DO37" s="140"/>
      <c r="DP37" s="140"/>
      <c r="DQ37" s="139">
        <f t="shared" si="11"/>
        <v>425</v>
      </c>
      <c r="DR37" s="79">
        <f t="shared" si="12"/>
        <v>566</v>
      </c>
      <c r="DS37" s="79">
        <f t="shared" si="13"/>
        <v>488</v>
      </c>
      <c r="DT37" s="79">
        <f t="shared" si="14"/>
        <v>528</v>
      </c>
      <c r="DU37"/>
      <c r="DV37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74</v>
      </c>
      <c r="BB38" s="82">
        <v>92</v>
      </c>
      <c r="BC38" s="82">
        <v>189</v>
      </c>
      <c r="BD38" s="82">
        <v>118</v>
      </c>
      <c r="BE38" s="82">
        <v>84</v>
      </c>
      <c r="BF38" s="82">
        <v>97</v>
      </c>
      <c r="BG38" s="82">
        <v>113</v>
      </c>
      <c r="BH38" s="82">
        <v>125</v>
      </c>
      <c r="BI38" s="82">
        <v>95</v>
      </c>
      <c r="BJ38" s="82">
        <v>104</v>
      </c>
      <c r="BK38" s="82">
        <v>128</v>
      </c>
      <c r="BL38" s="82">
        <v>95</v>
      </c>
      <c r="BM38" s="82">
        <v>110</v>
      </c>
      <c r="BN38" s="140">
        <v>112</v>
      </c>
      <c r="BO38" s="82">
        <v>87</v>
      </c>
      <c r="BP38" s="82">
        <v>108</v>
      </c>
      <c r="BQ38" s="82">
        <v>141</v>
      </c>
      <c r="BR38" s="82">
        <v>114</v>
      </c>
      <c r="BS38" s="82">
        <v>81</v>
      </c>
      <c r="BT38" s="82">
        <v>78</v>
      </c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/>
      <c r="CK38" s="140"/>
      <c r="CL38" s="140"/>
      <c r="CM38" s="140">
        <v>39</v>
      </c>
      <c r="CN38" s="140">
        <v>41</v>
      </c>
      <c r="CO38" s="140"/>
      <c r="CP38" s="140"/>
      <c r="CQ38" s="140"/>
      <c r="CR38" s="140"/>
      <c r="CS38" s="140"/>
      <c r="CT38" s="140"/>
      <c r="CU38" s="79"/>
      <c r="CV38" s="79">
        <v>10.430999999999999</v>
      </c>
      <c r="CW38" s="79">
        <v>24.591000000000001</v>
      </c>
      <c r="CX38" s="79">
        <v>22.969000000000001</v>
      </c>
      <c r="CY38" s="79">
        <v>20.406000000000002</v>
      </c>
      <c r="CZ38" s="79">
        <v>25.219000000000001</v>
      </c>
      <c r="DA38" s="79">
        <v>82.450000000000117</v>
      </c>
      <c r="DB38" s="17">
        <v>219.01400000000001</v>
      </c>
      <c r="DC38" s="82">
        <f>SUM(S38:V38)</f>
        <v>437.93100000000004</v>
      </c>
      <c r="DD38" s="82">
        <f>SUM(W38:Z38)</f>
        <v>496.93600000000004</v>
      </c>
      <c r="DE38" s="82">
        <f>SUM(AA38:AD38)</f>
        <v>250.964</v>
      </c>
      <c r="DF38" s="105">
        <f>SUM(AE38:AH38)</f>
        <v>542.072</v>
      </c>
      <c r="DG38" s="104">
        <f>SUM(AI38:AL38)</f>
        <v>559.49900000000002</v>
      </c>
      <c r="DH38" s="93">
        <f t="shared" si="40"/>
        <v>283.02500000000003</v>
      </c>
      <c r="DI38" s="93">
        <f t="shared" si="41"/>
        <v>304.14600000000002</v>
      </c>
      <c r="DJ38" s="83">
        <f t="shared" si="42"/>
        <v>397.99299999999994</v>
      </c>
      <c r="DK38" s="93">
        <f t="shared" si="31"/>
        <v>415.988</v>
      </c>
      <c r="DL38" s="82">
        <f t="shared" ref="DL38:DM38" si="49">DK38*0.9</f>
        <v>374.38920000000002</v>
      </c>
      <c r="DM38" s="82">
        <f t="shared" si="49"/>
        <v>336.95028000000002</v>
      </c>
      <c r="DN38" s="140"/>
      <c r="DO38" s="140"/>
      <c r="DP38" s="140"/>
      <c r="DQ38" s="139">
        <f t="shared" si="11"/>
        <v>334</v>
      </c>
      <c r="DR38" s="79">
        <f t="shared" si="12"/>
        <v>297</v>
      </c>
      <c r="DS38" s="79">
        <f t="shared" si="13"/>
        <v>298</v>
      </c>
      <c r="DT38" s="79">
        <f t="shared" si="14"/>
        <v>46</v>
      </c>
      <c r="DU38"/>
      <c r="DV38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2:136" s="85" customFormat="1" x14ac:dyDescent="0.2">
      <c r="B39" s="85" t="s">
        <v>48</v>
      </c>
      <c r="C39" s="80">
        <f t="shared" ref="C39:J39" si="50">SUM(C38:C38)</f>
        <v>5.3769999999999998</v>
      </c>
      <c r="D39" s="80">
        <f t="shared" si="50"/>
        <v>6.7370000000000001</v>
      </c>
      <c r="E39" s="80">
        <f t="shared" si="50"/>
        <v>4.3819999999999997</v>
      </c>
      <c r="F39" s="80">
        <f t="shared" si="50"/>
        <v>3.91</v>
      </c>
      <c r="G39" s="80">
        <f t="shared" si="50"/>
        <v>7.3840000000000003</v>
      </c>
      <c r="H39" s="80">
        <f t="shared" si="50"/>
        <v>7.0350000000000001</v>
      </c>
      <c r="I39" s="80">
        <f t="shared" si="50"/>
        <v>4.875</v>
      </c>
      <c r="J39" s="80">
        <f t="shared" si="50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D39" si="51">SUM(AE14:AE38)</f>
        <v>1530.46</v>
      </c>
      <c r="AF39" s="80">
        <f t="shared" si="51"/>
        <v>1647.155</v>
      </c>
      <c r="AG39" s="80">
        <f t="shared" si="51"/>
        <v>1801.3890000000006</v>
      </c>
      <c r="AH39" s="80">
        <f t="shared" si="51"/>
        <v>2031.8679999999997</v>
      </c>
      <c r="AI39" s="80">
        <f t="shared" si="51"/>
        <v>297.79000000000002</v>
      </c>
      <c r="AJ39" s="80">
        <f t="shared" si="51"/>
        <v>1927.2239999999999</v>
      </c>
      <c r="AK39" s="80">
        <f t="shared" si="51"/>
        <v>1937.4970000000001</v>
      </c>
      <c r="AL39" s="80">
        <f t="shared" si="51"/>
        <v>68.448999999999998</v>
      </c>
      <c r="AM39" s="80">
        <f t="shared" si="51"/>
        <v>1902.1790000000001</v>
      </c>
      <c r="AN39" s="80">
        <f t="shared" si="51"/>
        <v>2137.2530000000002</v>
      </c>
      <c r="AO39" s="80">
        <f t="shared" si="51"/>
        <v>2122.2000000000003</v>
      </c>
      <c r="AP39" s="80">
        <f t="shared" si="51"/>
        <v>2200.3779999999997</v>
      </c>
      <c r="AQ39" s="80">
        <f t="shared" si="51"/>
        <v>2282.4489999999996</v>
      </c>
      <c r="AR39" s="80">
        <f t="shared" si="51"/>
        <v>2405.1859999999997</v>
      </c>
      <c r="AS39" s="80">
        <f t="shared" si="51"/>
        <v>2426.5970000000002</v>
      </c>
      <c r="AT39" s="80">
        <f t="shared" si="51"/>
        <v>2588.2849999999999</v>
      </c>
      <c r="AU39" s="80">
        <f t="shared" si="51"/>
        <v>2531.6350000000002</v>
      </c>
      <c r="AV39" s="80">
        <f t="shared" si="51"/>
        <v>2767.3940000000007</v>
      </c>
      <c r="AW39" s="80">
        <f t="shared" si="51"/>
        <v>2782.8330000000001</v>
      </c>
      <c r="AX39" s="80">
        <f t="shared" si="51"/>
        <v>3119.826</v>
      </c>
      <c r="AY39" s="80">
        <f t="shared" si="51"/>
        <v>4998.9560000000019</v>
      </c>
      <c r="AZ39" s="80">
        <f t="shared" si="51"/>
        <v>6534.5040000000008</v>
      </c>
      <c r="BA39" s="80">
        <f t="shared" si="51"/>
        <v>6042</v>
      </c>
      <c r="BB39" s="80">
        <f t="shared" si="51"/>
        <v>7314</v>
      </c>
      <c r="BC39" s="80">
        <f>SUM(BC9:BC38)</f>
        <v>7594</v>
      </c>
      <c r="BD39" s="80">
        <f t="shared" si="51"/>
        <v>8244</v>
      </c>
      <c r="BE39" s="80">
        <f>SUM(BE8:BE38)</f>
        <v>8295</v>
      </c>
      <c r="BF39" s="80">
        <f>SUM(BF4:BF38)</f>
        <v>8506</v>
      </c>
      <c r="BG39" s="80">
        <f t="shared" ref="BG39:BP39" si="52">SUM(BG9:BG38)</f>
        <v>7794</v>
      </c>
      <c r="BH39" s="80">
        <f t="shared" si="52"/>
        <v>7776</v>
      </c>
      <c r="BI39" s="167">
        <f t="shared" si="52"/>
        <v>7500</v>
      </c>
      <c r="BJ39" s="167">
        <f t="shared" si="52"/>
        <v>7320</v>
      </c>
      <c r="BK39" s="167">
        <f t="shared" si="52"/>
        <v>6505</v>
      </c>
      <c r="BL39" s="167">
        <f t="shared" si="52"/>
        <v>7141</v>
      </c>
      <c r="BM39" s="167">
        <f t="shared" si="52"/>
        <v>6512</v>
      </c>
      <c r="BN39" s="167">
        <f t="shared" si="52"/>
        <v>5949</v>
      </c>
      <c r="BO39" s="167">
        <f t="shared" si="52"/>
        <v>5088</v>
      </c>
      <c r="BP39" s="167">
        <f t="shared" si="52"/>
        <v>5648</v>
      </c>
      <c r="BQ39" s="167">
        <f t="shared" ref="BQ39:CH39" si="53">SUM(BQ9:BQ38)</f>
        <v>5596</v>
      </c>
      <c r="BR39" s="167">
        <f t="shared" si="53"/>
        <v>5795</v>
      </c>
      <c r="BS39" s="167">
        <f t="shared" si="53"/>
        <v>5281</v>
      </c>
      <c r="BT39" s="167">
        <f>SUM(BT9:BT38)</f>
        <v>5685</v>
      </c>
      <c r="BU39" s="167">
        <f t="shared" si="53"/>
        <v>5604</v>
      </c>
      <c r="BV39" s="167">
        <f t="shared" si="53"/>
        <v>5879</v>
      </c>
      <c r="BW39" s="167">
        <f t="shared" si="53"/>
        <v>5548</v>
      </c>
      <c r="BX39" s="167">
        <f t="shared" si="53"/>
        <v>5143</v>
      </c>
      <c r="BY39" s="167">
        <f t="shared" si="53"/>
        <v>6577</v>
      </c>
      <c r="BZ39" s="167">
        <f t="shared" si="53"/>
        <v>7421</v>
      </c>
      <c r="CA39" s="167">
        <f t="shared" si="53"/>
        <v>6423</v>
      </c>
      <c r="CB39" s="167">
        <f t="shared" si="53"/>
        <v>6217</v>
      </c>
      <c r="CC39" s="167">
        <f t="shared" si="53"/>
        <v>7421</v>
      </c>
      <c r="CD39" s="167">
        <f t="shared" si="53"/>
        <v>7243</v>
      </c>
      <c r="CE39" s="167">
        <f t="shared" si="53"/>
        <v>6589</v>
      </c>
      <c r="CF39" s="167">
        <f t="shared" si="53"/>
        <v>6261</v>
      </c>
      <c r="CG39" s="167">
        <f t="shared" si="53"/>
        <v>7042</v>
      </c>
      <c r="CH39" s="167">
        <f t="shared" si="53"/>
        <v>7389</v>
      </c>
      <c r="CI39" s="167">
        <f t="shared" ref="CI39" si="54">SUM(CI9:CI38)</f>
        <v>6352</v>
      </c>
      <c r="CJ39" s="167">
        <f t="shared" ref="CJ39" si="55">SUM(CJ9:CJ38)</f>
        <v>6565</v>
      </c>
      <c r="CK39" s="167">
        <f t="shared" ref="CK39" si="56">SUM(CK9:CK38)</f>
        <v>6996</v>
      </c>
      <c r="CL39" s="167">
        <f t="shared" ref="CL39:CT39" si="57">SUM(CL9:CL38)</f>
        <v>7071</v>
      </c>
      <c r="CM39" s="167">
        <f t="shared" si="57"/>
        <v>6687</v>
      </c>
      <c r="CN39" s="167">
        <f t="shared" si="57"/>
        <v>6954</v>
      </c>
      <c r="CO39" s="167">
        <f t="shared" si="57"/>
        <v>0</v>
      </c>
      <c r="CP39" s="167">
        <f t="shared" si="57"/>
        <v>0</v>
      </c>
      <c r="CQ39" s="167">
        <f t="shared" si="57"/>
        <v>0</v>
      </c>
      <c r="CR39" s="167">
        <f t="shared" si="57"/>
        <v>0</v>
      </c>
      <c r="CS39" s="167">
        <f t="shared" si="57"/>
        <v>0</v>
      </c>
      <c r="CT39" s="167">
        <f t="shared" si="57"/>
        <v>0</v>
      </c>
      <c r="CU39" s="154"/>
      <c r="CV39" s="154">
        <f t="shared" ref="CV39:DD39" si="58">SUM(CV3:CV38)</f>
        <v>150.321</v>
      </c>
      <c r="CW39" s="154">
        <f t="shared" si="58"/>
        <v>174.3</v>
      </c>
      <c r="CX39" s="154">
        <f t="shared" si="58"/>
        <v>213.93899999999999</v>
      </c>
      <c r="CY39" s="154">
        <f t="shared" si="58"/>
        <v>444.28500000000003</v>
      </c>
      <c r="CZ39" s="154">
        <f t="shared" si="58"/>
        <v>861.56000000000006</v>
      </c>
      <c r="DA39" s="154">
        <f t="shared" si="58"/>
        <v>1324.7784390485224</v>
      </c>
      <c r="DB39" s="85">
        <f t="shared" si="58"/>
        <v>2028.3830000000003</v>
      </c>
      <c r="DC39" s="85">
        <f t="shared" si="58"/>
        <v>3017.3370000000004</v>
      </c>
      <c r="DD39" s="85">
        <f t="shared" si="58"/>
        <v>2640.8110000000001</v>
      </c>
      <c r="DE39" s="80">
        <f>SUM(DE38:DE38)</f>
        <v>250.964</v>
      </c>
      <c r="DF39" s="102">
        <f t="shared" ref="DF39:DV39" si="59">SUM(DF14:DF38)</f>
        <v>7010.8720000000003</v>
      </c>
      <c r="DG39" s="102">
        <f t="shared" si="59"/>
        <v>5338.1969999999992</v>
      </c>
      <c r="DH39" s="80">
        <f t="shared" si="59"/>
        <v>8362.01</v>
      </c>
      <c r="DI39" s="80">
        <f t="shared" si="59"/>
        <v>9702.5170000000016</v>
      </c>
      <c r="DJ39" s="80">
        <f t="shared" si="59"/>
        <v>11201.687999999998</v>
      </c>
      <c r="DK39" s="80">
        <f t="shared" si="59"/>
        <v>22762.46</v>
      </c>
      <c r="DL39" s="80">
        <f t="shared" si="59"/>
        <v>27442.915000000005</v>
      </c>
      <c r="DM39" s="80">
        <f t="shared" si="59"/>
        <v>29030.171195000003</v>
      </c>
      <c r="DN39" s="167">
        <f t="shared" si="59"/>
        <v>0</v>
      </c>
      <c r="DO39" s="167">
        <f t="shared" si="59"/>
        <v>0</v>
      </c>
      <c r="DP39" s="167">
        <f t="shared" si="59"/>
        <v>0</v>
      </c>
      <c r="DQ39" s="167">
        <f t="shared" si="59"/>
        <v>10071</v>
      </c>
      <c r="DR39" s="167">
        <f t="shared" si="59"/>
        <v>12002</v>
      </c>
      <c r="DS39" s="167">
        <f t="shared" si="59"/>
        <v>10616</v>
      </c>
      <c r="DT39" s="154">
        <f t="shared" si="59"/>
        <v>9209</v>
      </c>
      <c r="DU39" s="154">
        <f t="shared" si="59"/>
        <v>1093.5</v>
      </c>
      <c r="DV39" s="154">
        <f t="shared" si="59"/>
        <v>984.15000000000009</v>
      </c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</row>
    <row r="40" spans="2:136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725.04</v>
      </c>
      <c r="BB40" s="82">
        <v>847</v>
      </c>
      <c r="BC40" s="82">
        <v>674</v>
      </c>
      <c r="BD40" s="82">
        <v>788</v>
      </c>
      <c r="BE40" s="82">
        <v>1064</v>
      </c>
      <c r="BF40" s="82">
        <v>857</v>
      </c>
      <c r="BG40" s="82">
        <v>983</v>
      </c>
      <c r="BH40" s="82">
        <v>864</v>
      </c>
      <c r="BI40" s="82">
        <v>1129</v>
      </c>
      <c r="BJ40" s="140">
        <v>860</v>
      </c>
      <c r="BK40" s="140">
        <v>743</v>
      </c>
      <c r="BL40" s="82">
        <v>1126</v>
      </c>
      <c r="BM40" s="82">
        <v>1032</v>
      </c>
      <c r="BN40" s="140">
        <v>966</v>
      </c>
      <c r="BO40" s="140">
        <v>687</v>
      </c>
      <c r="BP40" s="140">
        <v>875</v>
      </c>
      <c r="BQ40" s="140">
        <v>1086</v>
      </c>
      <c r="BR40" s="140">
        <v>1257</v>
      </c>
      <c r="BS40" s="140">
        <v>674</v>
      </c>
      <c r="BT40" s="82">
        <v>714</v>
      </c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/>
      <c r="CK40" s="140"/>
      <c r="CL40" s="140"/>
      <c r="CM40" s="140">
        <v>974</v>
      </c>
      <c r="CN40" s="140">
        <v>965</v>
      </c>
      <c r="CO40" s="140"/>
      <c r="CP40" s="140"/>
      <c r="CQ40" s="140"/>
      <c r="CR40" s="140"/>
      <c r="CS40" s="140"/>
      <c r="CT40" s="140"/>
      <c r="CU40" s="79"/>
      <c r="CV40" s="79"/>
      <c r="CW40" s="79"/>
      <c r="CX40" s="79"/>
      <c r="CY40" s="79"/>
      <c r="CZ40" s="79"/>
      <c r="DA40" s="79"/>
      <c r="DB40" s="87"/>
      <c r="DC40" s="82"/>
      <c r="DD40" s="82"/>
      <c r="DE40" s="82"/>
      <c r="DF40" s="104">
        <f t="shared" ref="DF40:DH40" si="60">DF39-DF41</f>
        <v>1567.7789999999995</v>
      </c>
      <c r="DG40" s="104">
        <f t="shared" si="60"/>
        <v>2899.9859999999994</v>
      </c>
      <c r="DH40" s="82">
        <f t="shared" si="60"/>
        <v>2124.4209999999994</v>
      </c>
      <c r="DI40" s="93">
        <f t="shared" ref="DI40:DI43" si="61">SUM(AQ40:AT40)</f>
        <v>2471.3630000000003</v>
      </c>
      <c r="DJ40" s="83">
        <f t="shared" ref="DJ40" si="62">SUM(AU40:AX40)</f>
        <v>2731.48</v>
      </c>
      <c r="DK40" s="82">
        <f>+DK39-DK41</f>
        <v>2731.4952000000012</v>
      </c>
      <c r="DL40" s="82">
        <f t="shared" ref="DL40:DQ40" si="63">+DL39-DL41</f>
        <v>3293.1497999999992</v>
      </c>
      <c r="DM40" s="82">
        <f t="shared" si="63"/>
        <v>3483.6205434000003</v>
      </c>
      <c r="DN40" s="140">
        <f t="shared" si="63"/>
        <v>0</v>
      </c>
      <c r="DO40" s="140">
        <f t="shared" si="63"/>
        <v>0</v>
      </c>
      <c r="DP40" s="140">
        <f t="shared" si="63"/>
        <v>0</v>
      </c>
      <c r="DQ40" s="140">
        <f t="shared" si="63"/>
        <v>1208.5200000000004</v>
      </c>
      <c r="DR40" s="140">
        <f t="shared" ref="DR40:DV40" si="64">+DR39-DR41</f>
        <v>1440.2399999999998</v>
      </c>
      <c r="DS40" s="140">
        <f t="shared" si="64"/>
        <v>1273.92</v>
      </c>
      <c r="DT40" s="79">
        <f t="shared" si="64"/>
        <v>1105.08</v>
      </c>
      <c r="DU40" s="79">
        <f t="shared" si="64"/>
        <v>131.22000000000003</v>
      </c>
      <c r="DV40" s="79">
        <f t="shared" si="64"/>
        <v>118.09799999999996</v>
      </c>
      <c r="DW40" s="79"/>
      <c r="DX40" s="79"/>
      <c r="DY40" s="79"/>
      <c r="DZ40" s="79"/>
      <c r="EA40" s="79"/>
      <c r="EB40" s="79"/>
      <c r="EC40" s="79"/>
      <c r="ED40" s="79"/>
      <c r="EE40" s="79"/>
      <c r="EF40" s="79"/>
    </row>
    <row r="41" spans="2:136" s="17" customFormat="1" x14ac:dyDescent="0.2">
      <c r="B41" s="17" t="s">
        <v>50</v>
      </c>
      <c r="C41" s="82">
        <f t="shared" ref="C41:R41" si="65">C39-C40</f>
        <v>-6.665</v>
      </c>
      <c r="D41" s="82">
        <f t="shared" si="65"/>
        <v>-10.981</v>
      </c>
      <c r="E41" s="82">
        <f t="shared" si="65"/>
        <v>-16.03</v>
      </c>
      <c r="F41" s="82">
        <f t="shared" si="65"/>
        <v>-15.641999999999999</v>
      </c>
      <c r="G41" s="82">
        <f t="shared" si="65"/>
        <v>-13.988</v>
      </c>
      <c r="H41" s="82">
        <f t="shared" si="65"/>
        <v>-25.071000000000002</v>
      </c>
      <c r="I41" s="82">
        <f t="shared" si="65"/>
        <v>-21.061</v>
      </c>
      <c r="J41" s="82">
        <f t="shared" si="65"/>
        <v>-27.352</v>
      </c>
      <c r="K41" s="82" t="e">
        <f t="shared" si="65"/>
        <v>#REF!</v>
      </c>
      <c r="L41" s="82" t="e">
        <f t="shared" si="65"/>
        <v>#REF!</v>
      </c>
      <c r="M41" s="82" t="e">
        <f t="shared" si="65"/>
        <v>#REF!</v>
      </c>
      <c r="N41" s="82" t="e">
        <f t="shared" si="65"/>
        <v>#REF!</v>
      </c>
      <c r="O41" s="82" t="e">
        <f t="shared" si="65"/>
        <v>#REF!</v>
      </c>
      <c r="P41" s="82" t="e">
        <f t="shared" si="65"/>
        <v>#REF!</v>
      </c>
      <c r="Q41" s="82" t="e">
        <f t="shared" si="65"/>
        <v>#REF!</v>
      </c>
      <c r="R41" s="82" t="e">
        <f t="shared" si="65"/>
        <v>#REF!</v>
      </c>
      <c r="S41" s="82" t="e">
        <f t="shared" ref="S41:X41" si="66">S39-S40</f>
        <v>#REF!</v>
      </c>
      <c r="T41" s="82" t="e">
        <f t="shared" si="66"/>
        <v>#REF!</v>
      </c>
      <c r="U41" s="82" t="e">
        <f t="shared" si="66"/>
        <v>#REF!</v>
      </c>
      <c r="V41" s="82" t="e">
        <f t="shared" si="66"/>
        <v>#REF!</v>
      </c>
      <c r="W41" s="82" t="e">
        <f t="shared" si="66"/>
        <v>#REF!</v>
      </c>
      <c r="X41" s="82" t="e">
        <f t="shared" si="66"/>
        <v>#REF!</v>
      </c>
      <c r="Y41" s="82" t="e">
        <f t="shared" ref="Y41:AD41" si="67">Y39-Y40</f>
        <v>#REF!</v>
      </c>
      <c r="Z41" s="82" t="e">
        <f t="shared" si="67"/>
        <v>#REF!</v>
      </c>
      <c r="AA41" s="82" t="e">
        <f t="shared" si="67"/>
        <v>#REF!</v>
      </c>
      <c r="AB41" s="82" t="e">
        <f t="shared" si="67"/>
        <v>#REF!</v>
      </c>
      <c r="AC41" s="82" t="e">
        <f t="shared" si="67"/>
        <v>#REF!</v>
      </c>
      <c r="AD41" s="82" t="e">
        <f t="shared" si="67"/>
        <v>#REF!</v>
      </c>
      <c r="AE41" s="82">
        <f t="shared" ref="AE41:AM41" si="68">+AE39-AE40</f>
        <v>1204.3000000000002</v>
      </c>
      <c r="AF41" s="82">
        <f t="shared" si="68"/>
        <v>1266.769</v>
      </c>
      <c r="AG41" s="82">
        <f t="shared" si="68"/>
        <v>1391.6890000000005</v>
      </c>
      <c r="AH41" s="82">
        <f t="shared" si="68"/>
        <v>1580.3349999999996</v>
      </c>
      <c r="AI41" s="82">
        <f t="shared" si="68"/>
        <v>-119.82499999999999</v>
      </c>
      <c r="AJ41" s="82">
        <f t="shared" si="68"/>
        <v>1491.6889999999999</v>
      </c>
      <c r="AK41" s="82">
        <f t="shared" si="68"/>
        <v>1477.6220000000001</v>
      </c>
      <c r="AL41" s="82">
        <f t="shared" si="68"/>
        <v>-411.27499999999998</v>
      </c>
      <c r="AM41" s="82">
        <f t="shared" si="68"/>
        <v>1428.0680000000002</v>
      </c>
      <c r="AN41" s="82">
        <f t="shared" ref="AN41:AO41" si="69">+AN39-AN40</f>
        <v>1603.39</v>
      </c>
      <c r="AO41" s="82">
        <f t="shared" si="69"/>
        <v>1590.2000000000003</v>
      </c>
      <c r="AP41" s="82">
        <f>AP39-AP40</f>
        <v>1615.9309999999996</v>
      </c>
      <c r="AQ41" s="82">
        <f t="shared" ref="AQ41:AY41" si="70">+AQ39-AQ40</f>
        <v>1701.5179999999996</v>
      </c>
      <c r="AR41" s="82">
        <f t="shared" si="70"/>
        <v>1787.8409999999997</v>
      </c>
      <c r="AS41" s="82">
        <f t="shared" si="70"/>
        <v>1829.3280000000002</v>
      </c>
      <c r="AT41" s="82">
        <f t="shared" si="70"/>
        <v>1912.4669999999999</v>
      </c>
      <c r="AU41" s="82">
        <f t="shared" si="70"/>
        <v>1897.1870000000004</v>
      </c>
      <c r="AV41" s="82">
        <f t="shared" si="70"/>
        <v>2106.6270000000004</v>
      </c>
      <c r="AW41" s="82">
        <f t="shared" si="70"/>
        <v>2124.0520000000001</v>
      </c>
      <c r="AX41" s="82">
        <f t="shared" si="70"/>
        <v>2342.3420000000001</v>
      </c>
      <c r="AY41" s="82">
        <f t="shared" si="70"/>
        <v>4387.6230000000023</v>
      </c>
      <c r="AZ41" s="82">
        <f>+AZ39-AZ40</f>
        <v>5811.5900000000011</v>
      </c>
      <c r="BA41" s="82">
        <f>+BA39-BA40</f>
        <v>5316.96</v>
      </c>
      <c r="BB41" s="82">
        <f t="shared" ref="BB41" si="71">+BB39-BB40</f>
        <v>6467</v>
      </c>
      <c r="BC41" s="82">
        <f>BC39-BC40</f>
        <v>6920</v>
      </c>
      <c r="BD41" s="82">
        <f>BD39-BD40</f>
        <v>7456</v>
      </c>
      <c r="BE41" s="82">
        <f>+BE39-BE40</f>
        <v>7231</v>
      </c>
      <c r="BF41" s="82">
        <f>+BF39-BF40</f>
        <v>7649</v>
      </c>
      <c r="BG41" s="82">
        <f>+BG39-BG40</f>
        <v>6811</v>
      </c>
      <c r="BH41" s="82">
        <f>+BH39-BH40</f>
        <v>6912</v>
      </c>
      <c r="BI41" s="82">
        <f>+BI39-BI40</f>
        <v>6371</v>
      </c>
      <c r="BJ41" s="140">
        <f t="shared" ref="BJ41:BK41" si="72">+BJ39-BJ40</f>
        <v>6460</v>
      </c>
      <c r="BK41" s="140">
        <f t="shared" si="72"/>
        <v>5762</v>
      </c>
      <c r="BL41" s="82">
        <f>+BL39-BL40</f>
        <v>6015</v>
      </c>
      <c r="BM41" s="82">
        <f>+BM39-BM40</f>
        <v>5480</v>
      </c>
      <c r="BN41" s="140">
        <f>+BN39-BN40</f>
        <v>4983</v>
      </c>
      <c r="BO41" s="140">
        <f t="shared" ref="BO41:BP41" si="73">+BO39-BO40</f>
        <v>4401</v>
      </c>
      <c r="BP41" s="140">
        <f t="shared" si="73"/>
        <v>4773</v>
      </c>
      <c r="BQ41" s="140">
        <f>+BQ39-BQ40</f>
        <v>4510</v>
      </c>
      <c r="BR41" s="140">
        <f>+BR39-BR40</f>
        <v>4538</v>
      </c>
      <c r="BS41" s="140">
        <f>+BS39-BS40</f>
        <v>4607</v>
      </c>
      <c r="BT41" s="140">
        <f>+BT39-BT40</f>
        <v>4971</v>
      </c>
      <c r="BU41" s="140">
        <f t="shared" ref="BU41" si="74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75">BZ39-BZ40</f>
        <v>6503</v>
      </c>
      <c r="CA41" s="140">
        <f t="shared" si="75"/>
        <v>5568</v>
      </c>
      <c r="CB41" s="140">
        <f t="shared" si="75"/>
        <v>5381</v>
      </c>
      <c r="CC41" s="140">
        <f t="shared" si="75"/>
        <v>6685</v>
      </c>
      <c r="CD41" s="140">
        <f t="shared" si="75"/>
        <v>5132</v>
      </c>
      <c r="CE41" s="140">
        <f t="shared" si="75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/>
      <c r="CK41" s="140"/>
      <c r="CL41" s="140"/>
      <c r="CM41" s="140">
        <f>+CM39-CM40</f>
        <v>5713</v>
      </c>
      <c r="CN41" s="140">
        <f>+CN39-CN40</f>
        <v>5989</v>
      </c>
      <c r="CO41" s="140"/>
      <c r="CP41" s="140"/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127"/>
      <c r="DD41" s="127"/>
      <c r="DE41" s="82"/>
      <c r="DF41" s="105">
        <f>SUM(AE41:AH41)</f>
        <v>5443.0930000000008</v>
      </c>
      <c r="DG41" s="104">
        <f>SUM(AI41:AL41)</f>
        <v>2438.2109999999998</v>
      </c>
      <c r="DH41" s="82">
        <f>SUM(AM41:AP41)</f>
        <v>6237.5890000000009</v>
      </c>
      <c r="DI41" s="82">
        <f>+DI39-DI40</f>
        <v>7231.1540000000014</v>
      </c>
      <c r="DJ41" s="82">
        <f>+DJ39-DJ40</f>
        <v>8470.2079999999987</v>
      </c>
      <c r="DK41" s="82">
        <f>+DK39*0.88</f>
        <v>20030.964799999998</v>
      </c>
      <c r="DL41" s="82">
        <f t="shared" ref="DL41:DV41" si="76">+DL39*0.88</f>
        <v>24149.765200000005</v>
      </c>
      <c r="DM41" s="82">
        <f t="shared" si="76"/>
        <v>25546.550651600002</v>
      </c>
      <c r="DN41" s="140">
        <f t="shared" si="76"/>
        <v>0</v>
      </c>
      <c r="DO41" s="140">
        <f t="shared" si="76"/>
        <v>0</v>
      </c>
      <c r="DP41" s="140">
        <f t="shared" si="76"/>
        <v>0</v>
      </c>
      <c r="DQ41" s="140">
        <f t="shared" si="76"/>
        <v>8862.48</v>
      </c>
      <c r="DR41" s="140">
        <f t="shared" si="76"/>
        <v>10561.76</v>
      </c>
      <c r="DS41" s="140">
        <f t="shared" si="76"/>
        <v>9342.08</v>
      </c>
      <c r="DT41" s="140">
        <f t="shared" si="76"/>
        <v>8103.92</v>
      </c>
      <c r="DU41" s="140">
        <f t="shared" si="76"/>
        <v>962.28</v>
      </c>
      <c r="DV41" s="140">
        <f t="shared" si="76"/>
        <v>866.05200000000013</v>
      </c>
      <c r="DW41" s="79"/>
      <c r="DX41" s="79"/>
      <c r="DY41" s="79"/>
      <c r="DZ41" s="79"/>
      <c r="EA41" s="79"/>
      <c r="EB41" s="79"/>
      <c r="EC41" s="79"/>
      <c r="ED41" s="79"/>
      <c r="EE41" s="79"/>
      <c r="EF41" s="79"/>
    </row>
    <row r="42" spans="2:136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v>899</v>
      </c>
      <c r="BC42" s="82">
        <v>651</v>
      </c>
      <c r="BD42" s="82">
        <v>702</v>
      </c>
      <c r="BE42" s="82">
        <v>743</v>
      </c>
      <c r="BF42" s="82">
        <v>779</v>
      </c>
      <c r="BG42" s="82">
        <v>769</v>
      </c>
      <c r="BH42" s="82">
        <v>1484</v>
      </c>
      <c r="BI42" s="82">
        <v>1141</v>
      </c>
      <c r="BJ42" s="140">
        <v>959</v>
      </c>
      <c r="BK42" s="140">
        <v>889</v>
      </c>
      <c r="BL42" s="82">
        <v>864</v>
      </c>
      <c r="BM42" s="82">
        <v>789</v>
      </c>
      <c r="BN42" s="140">
        <v>845</v>
      </c>
      <c r="BO42" s="140">
        <v>814</v>
      </c>
      <c r="BP42" s="140">
        <v>921</v>
      </c>
      <c r="BQ42" s="140">
        <v>939</v>
      </c>
      <c r="BR42" s="140">
        <v>939</v>
      </c>
      <c r="BS42" s="140">
        <v>932</v>
      </c>
      <c r="BT42" s="82">
        <v>916</v>
      </c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77">+CF42</f>
        <v>1102</v>
      </c>
      <c r="CK42" s="140">
        <f t="shared" ref="CK42" si="78">+CG42</f>
        <v>1173</v>
      </c>
      <c r="CL42" s="140">
        <f t="shared" ref="CL42" si="79">+CH42</f>
        <v>1544</v>
      </c>
      <c r="CM42" s="140">
        <v>1403</v>
      </c>
      <c r="CN42" s="140">
        <v>1335</v>
      </c>
      <c r="CO42" s="140"/>
      <c r="CP42" s="140"/>
      <c r="CQ42" s="140"/>
      <c r="CR42" s="140"/>
      <c r="CS42" s="140"/>
      <c r="CT42" s="140"/>
      <c r="CU42" s="79"/>
      <c r="CV42" s="79">
        <v>110.873</v>
      </c>
      <c r="CW42" s="79">
        <v>132.339</v>
      </c>
      <c r="CX42" s="79">
        <v>185.553</v>
      </c>
      <c r="CY42" s="79">
        <v>134.75799999999998</v>
      </c>
      <c r="CZ42" s="79">
        <v>164.87299999999999</v>
      </c>
      <c r="DA42" s="79">
        <v>223.55200000000008</v>
      </c>
      <c r="DB42" s="17">
        <v>277.73099999999999</v>
      </c>
      <c r="DC42" s="82">
        <f>SUM(S42:V42)</f>
        <v>331.69800000000004</v>
      </c>
      <c r="DD42" s="82">
        <f>SUM(W42:Z42)</f>
        <v>553.28700000000003</v>
      </c>
      <c r="DE42" s="82">
        <f>SUM(AA42:AD42)</f>
        <v>655.245</v>
      </c>
      <c r="DF42" s="105">
        <f>SUM(AE42:AH42)</f>
        <v>831.32300000000009</v>
      </c>
      <c r="DG42" s="104">
        <f>SUM(AI42:AL42)</f>
        <v>838.90999999999985</v>
      </c>
      <c r="DH42" s="82">
        <f>SUM(AM42:AP42)</f>
        <v>1229.1849999999999</v>
      </c>
      <c r="DI42" s="93">
        <f t="shared" si="61"/>
        <v>1759.9450000000002</v>
      </c>
      <c r="DJ42" s="83">
        <f>SUM(AU42:AX42)</f>
        <v>1985.3230000000001</v>
      </c>
      <c r="DK42" s="82"/>
      <c r="DL42" s="82"/>
      <c r="DM42" s="82"/>
      <c r="DN42" s="140"/>
      <c r="DO42" s="140"/>
      <c r="DP42" s="140"/>
      <c r="DQ42" s="140"/>
      <c r="DR42" s="140"/>
      <c r="DS42" s="140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</row>
    <row r="43" spans="2:136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570</v>
      </c>
      <c r="BA43" s="82">
        <f>+AZ43+10</f>
        <v>580</v>
      </c>
      <c r="BB43" s="82">
        <v>799</v>
      </c>
      <c r="BC43" s="82">
        <v>600</v>
      </c>
      <c r="BD43" s="82">
        <v>761</v>
      </c>
      <c r="BE43" s="82">
        <v>903</v>
      </c>
      <c r="BF43" s="82">
        <v>1013</v>
      </c>
      <c r="BG43" s="82">
        <v>638</v>
      </c>
      <c r="BH43" s="82">
        <v>890</v>
      </c>
      <c r="BI43" s="82">
        <v>831</v>
      </c>
      <c r="BJ43" s="140">
        <v>938</v>
      </c>
      <c r="BK43" s="140">
        <v>807</v>
      </c>
      <c r="BL43" s="82">
        <v>897</v>
      </c>
      <c r="BM43" s="82">
        <v>879</v>
      </c>
      <c r="BN43" s="140">
        <v>923</v>
      </c>
      <c r="BO43" s="140">
        <v>884</v>
      </c>
      <c r="BP43" s="140">
        <v>840</v>
      </c>
      <c r="BQ43" s="140">
        <v>948</v>
      </c>
      <c r="BR43" s="140">
        <v>1032</v>
      </c>
      <c r="BS43" s="140">
        <v>1030</v>
      </c>
      <c r="BT43" s="82">
        <v>1015</v>
      </c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80">+CF43</f>
        <v>1272</v>
      </c>
      <c r="CK43" s="140">
        <f t="shared" si="80"/>
        <v>1212</v>
      </c>
      <c r="CL43" s="140">
        <f t="shared" si="80"/>
        <v>2020</v>
      </c>
      <c r="CM43" s="140">
        <v>1295</v>
      </c>
      <c r="CN43" s="140">
        <v>1351</v>
      </c>
      <c r="CO43" s="140"/>
      <c r="CP43" s="140"/>
      <c r="CQ43" s="140"/>
      <c r="CR43" s="140"/>
      <c r="CS43" s="140"/>
      <c r="CT43" s="140"/>
      <c r="CU43" s="79"/>
      <c r="CV43" s="79">
        <v>99.418999999999997</v>
      </c>
      <c r="CW43" s="79">
        <v>82.022000000000006</v>
      </c>
      <c r="CX43" s="79">
        <v>125.14100000000001</v>
      </c>
      <c r="CY43" s="79">
        <v>181.30100000000002</v>
      </c>
      <c r="CZ43" s="79">
        <v>250.15699999999998</v>
      </c>
      <c r="DA43" s="79">
        <v>302.79300000000029</v>
      </c>
      <c r="DB43" s="17">
        <v>379.18100000000004</v>
      </c>
      <c r="DC43" s="82">
        <f>SUM(S43:V43)</f>
        <v>502.86699999999996</v>
      </c>
      <c r="DD43" s="82">
        <f>SUM(W43:Z43)</f>
        <v>643.60599999999999</v>
      </c>
      <c r="DE43" s="82">
        <f>SUM(AA43:AD43)</f>
        <v>720.81499999999994</v>
      </c>
      <c r="DF43" s="105">
        <f>SUM(AE43:AH43)</f>
        <v>820.02900000000011</v>
      </c>
      <c r="DG43" s="104">
        <f>SUM(AI43:AL43)</f>
        <v>912.55600000000004</v>
      </c>
      <c r="DH43" s="82">
        <f>SUM(AM43:AP43)</f>
        <v>1241.9559999999999</v>
      </c>
      <c r="DI43" s="93">
        <f t="shared" si="61"/>
        <v>1461.0340000000001</v>
      </c>
      <c r="DJ43" s="83">
        <f>SUM(AU43:AX43)</f>
        <v>1598.4379999999999</v>
      </c>
      <c r="DK43" s="82">
        <f>SUM(AY43:BB43)</f>
        <v>2449.105</v>
      </c>
      <c r="DL43" s="82">
        <f>+DK43</f>
        <v>2449.105</v>
      </c>
      <c r="DM43" s="82">
        <f t="shared" ref="DM43:DV43" si="81">+DL43</f>
        <v>2449.105</v>
      </c>
      <c r="DN43" s="140">
        <f t="shared" si="81"/>
        <v>2449.105</v>
      </c>
      <c r="DO43" s="140">
        <f t="shared" si="81"/>
        <v>2449.105</v>
      </c>
      <c r="DP43" s="140">
        <f t="shared" si="81"/>
        <v>2449.105</v>
      </c>
      <c r="DQ43" s="140">
        <f t="shared" si="81"/>
        <v>2449.105</v>
      </c>
      <c r="DR43" s="140">
        <f t="shared" si="81"/>
        <v>2449.105</v>
      </c>
      <c r="DS43" s="140">
        <f t="shared" si="81"/>
        <v>2449.105</v>
      </c>
      <c r="DT43" s="140">
        <f t="shared" si="81"/>
        <v>2449.105</v>
      </c>
      <c r="DU43" s="140">
        <f t="shared" si="81"/>
        <v>2449.105</v>
      </c>
      <c r="DV43" s="140">
        <f t="shared" si="81"/>
        <v>2449.105</v>
      </c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75" customFormat="1" x14ac:dyDescent="0.2">
      <c r="B44" s="75" t="s">
        <v>49</v>
      </c>
      <c r="C44" s="83">
        <f t="shared" ref="C44:R44" si="82">SUM(C40:C43)</f>
        <v>78.694000000000003</v>
      </c>
      <c r="D44" s="83">
        <f t="shared" si="82"/>
        <v>79.188000000000002</v>
      </c>
      <c r="E44" s="83">
        <f t="shared" si="82"/>
        <v>82.037000000000006</v>
      </c>
      <c r="F44" s="83">
        <f t="shared" si="82"/>
        <v>96.545999999999992</v>
      </c>
      <c r="G44" s="83">
        <f t="shared" si="82"/>
        <v>96.115000000000009</v>
      </c>
      <c r="H44" s="83">
        <f t="shared" si="82"/>
        <v>106.027</v>
      </c>
      <c r="I44" s="83">
        <f t="shared" si="82"/>
        <v>100.13800000000001</v>
      </c>
      <c r="J44" s="83">
        <f t="shared" si="82"/>
        <v>137.96899999999999</v>
      </c>
      <c r="K44" s="83" t="e">
        <f t="shared" si="82"/>
        <v>#REF!</v>
      </c>
      <c r="L44" s="83" t="e">
        <f t="shared" si="82"/>
        <v>#REF!</v>
      </c>
      <c r="M44" s="83" t="e">
        <f t="shared" si="82"/>
        <v>#REF!</v>
      </c>
      <c r="N44" s="83" t="e">
        <f t="shared" si="82"/>
        <v>#REF!</v>
      </c>
      <c r="O44" s="83" t="e">
        <f t="shared" si="82"/>
        <v>#REF!</v>
      </c>
      <c r="P44" s="83" t="e">
        <f t="shared" si="82"/>
        <v>#REF!</v>
      </c>
      <c r="Q44" s="83" t="e">
        <f t="shared" si="82"/>
        <v>#REF!</v>
      </c>
      <c r="R44" s="83" t="e">
        <f t="shared" si="82"/>
        <v>#REF!</v>
      </c>
      <c r="S44" s="83">
        <f t="shared" ref="S44:Z44" si="83">S43+S42</f>
        <v>204.42400000000001</v>
      </c>
      <c r="T44" s="83">
        <f t="shared" si="83"/>
        <v>207.86300000000003</v>
      </c>
      <c r="U44" s="83">
        <f t="shared" si="83"/>
        <v>196.613</v>
      </c>
      <c r="V44" s="82">
        <f t="shared" si="83"/>
        <v>225.66499999999999</v>
      </c>
      <c r="W44" s="83">
        <f t="shared" si="83"/>
        <v>241.88399999999999</v>
      </c>
      <c r="X44" s="83">
        <f t="shared" si="83"/>
        <v>277</v>
      </c>
      <c r="Y44" s="83">
        <f t="shared" si="83"/>
        <v>313.31299999999999</v>
      </c>
      <c r="Z44" s="82">
        <f t="shared" si="83"/>
        <v>364.69600000000003</v>
      </c>
      <c r="AA44" s="82">
        <f t="shared" ref="AA44:AM44" si="84">AA43+AA42</f>
        <v>315.81599999999997</v>
      </c>
      <c r="AB44" s="82">
        <f t="shared" si="84"/>
        <v>362.048</v>
      </c>
      <c r="AC44" s="82">
        <f t="shared" si="84"/>
        <v>338.24900000000002</v>
      </c>
      <c r="AD44" s="82">
        <f t="shared" si="84"/>
        <v>359.947</v>
      </c>
      <c r="AE44" s="82">
        <f t="shared" si="84"/>
        <v>354.9</v>
      </c>
      <c r="AF44" s="82">
        <f t="shared" si="84"/>
        <v>419.26800000000003</v>
      </c>
      <c r="AG44" s="82">
        <f t="shared" si="84"/>
        <v>442.5</v>
      </c>
      <c r="AH44" s="82">
        <f t="shared" si="84"/>
        <v>434.68399999999997</v>
      </c>
      <c r="AI44" s="82">
        <f t="shared" si="84"/>
        <v>425.61</v>
      </c>
      <c r="AJ44" s="82">
        <f t="shared" si="84"/>
        <v>430.95600000000002</v>
      </c>
      <c r="AK44" s="82">
        <f t="shared" si="84"/>
        <v>423.79999999999995</v>
      </c>
      <c r="AL44" s="82">
        <f t="shared" si="84"/>
        <v>471.1</v>
      </c>
      <c r="AM44" s="82">
        <f t="shared" si="84"/>
        <v>550.01400000000001</v>
      </c>
      <c r="AN44" s="82">
        <f t="shared" ref="AN44" si="85">AN43+AN42</f>
        <v>586.67200000000003</v>
      </c>
      <c r="AO44" s="82">
        <f t="shared" ref="AO44" si="86">AO43+AO42</f>
        <v>586</v>
      </c>
      <c r="AP44" s="82">
        <f>+AP43+AP42</f>
        <v>748.45499999999993</v>
      </c>
      <c r="AQ44" s="82">
        <f t="shared" ref="AQ44:AX44" si="87">+AQ43+AQ42</f>
        <v>901.33199999999999</v>
      </c>
      <c r="AR44" s="82">
        <f t="shared" si="87"/>
        <v>728.74900000000002</v>
      </c>
      <c r="AS44" s="82">
        <f t="shared" si="87"/>
        <v>785.41399999999999</v>
      </c>
      <c r="AT44" s="82">
        <f t="shared" si="87"/>
        <v>805.48399999999992</v>
      </c>
      <c r="AU44" s="82">
        <f t="shared" si="87"/>
        <v>871.928</v>
      </c>
      <c r="AV44" s="82">
        <f t="shared" si="87"/>
        <v>864.10699999999997</v>
      </c>
      <c r="AW44" s="82">
        <f t="shared" si="87"/>
        <v>865.37599999999998</v>
      </c>
      <c r="AX44" s="82">
        <f t="shared" si="87"/>
        <v>982.34999999999991</v>
      </c>
      <c r="AY44" s="82">
        <f>+AY43+AY42</f>
        <v>1057.9099999999999</v>
      </c>
      <c r="AZ44" s="82">
        <f>+AZ43+AZ42</f>
        <v>1111.9740000000002</v>
      </c>
      <c r="BA44" s="82">
        <f t="shared" ref="BA44:BE44" si="88">+BA43+BA42</f>
        <v>1121.9740000000002</v>
      </c>
      <c r="BB44" s="82">
        <f t="shared" si="88"/>
        <v>1698</v>
      </c>
      <c r="BC44" s="82">
        <f t="shared" si="88"/>
        <v>1251</v>
      </c>
      <c r="BD44" s="82">
        <f t="shared" si="88"/>
        <v>1463</v>
      </c>
      <c r="BE44" s="82">
        <f t="shared" si="88"/>
        <v>1646</v>
      </c>
      <c r="BF44" s="140">
        <f t="shared" ref="BF44:BG44" si="89">BF42+BF43</f>
        <v>1792</v>
      </c>
      <c r="BG44" s="140">
        <f t="shared" si="89"/>
        <v>1407</v>
      </c>
      <c r="BH44" s="140">
        <f t="shared" ref="BH44:BI44" si="90">BH42+BH43</f>
        <v>2374</v>
      </c>
      <c r="BI44" s="140">
        <f t="shared" si="90"/>
        <v>1972</v>
      </c>
      <c r="BJ44" s="140">
        <f t="shared" ref="BJ44:BM44" si="91">BJ42+BJ43</f>
        <v>1897</v>
      </c>
      <c r="BK44" s="140">
        <f t="shared" si="91"/>
        <v>1696</v>
      </c>
      <c r="BL44" s="140">
        <f t="shared" si="91"/>
        <v>1761</v>
      </c>
      <c r="BM44" s="140">
        <f t="shared" si="91"/>
        <v>1668</v>
      </c>
      <c r="BN44" s="140">
        <f t="shared" ref="BN44" si="92">BN42+BN43</f>
        <v>1768</v>
      </c>
      <c r="BO44" s="140">
        <f t="shared" ref="BO44" si="93">BO42+BO43</f>
        <v>1698</v>
      </c>
      <c r="BP44" s="140">
        <f t="shared" ref="BP44:BQ44" si="94">BP42+BP43</f>
        <v>1761</v>
      </c>
      <c r="BQ44" s="140">
        <f t="shared" si="94"/>
        <v>1887</v>
      </c>
      <c r="BR44" s="140">
        <f t="shared" ref="BR44:BT44" si="95">BR42+BR43</f>
        <v>1971</v>
      </c>
      <c r="BS44" s="140">
        <f t="shared" si="95"/>
        <v>1962</v>
      </c>
      <c r="BT44" s="140">
        <f t="shared" si="95"/>
        <v>1931</v>
      </c>
      <c r="BU44" s="140">
        <f t="shared" ref="BU44:BV44" si="96">BU42+BU43</f>
        <v>6042</v>
      </c>
      <c r="BV44" s="140">
        <f t="shared" si="96"/>
        <v>2307</v>
      </c>
      <c r="BW44" s="140">
        <f t="shared" ref="BW44:BX44" si="97">BW42+BW43</f>
        <v>2080</v>
      </c>
      <c r="BX44" s="140">
        <f t="shared" si="97"/>
        <v>2350</v>
      </c>
      <c r="BY44" s="140">
        <f t="shared" ref="BY44" si="98">BY42+BY43</f>
        <v>2250</v>
      </c>
      <c r="BZ44" s="140">
        <f t="shared" ref="BZ44" si="99">BZ42+BZ43</f>
        <v>3011</v>
      </c>
      <c r="CA44" s="140">
        <f>CA42+CA43</f>
        <v>2082</v>
      </c>
      <c r="CB44" s="140">
        <f t="shared" ref="CB44:CE44" si="100">CB42+CB43</f>
        <v>2163</v>
      </c>
      <c r="CC44" s="140">
        <f t="shared" si="100"/>
        <v>2241</v>
      </c>
      <c r="CD44" s="140">
        <f t="shared" si="100"/>
        <v>2957</v>
      </c>
      <c r="CE44" s="140">
        <f t="shared" si="100"/>
        <v>2241</v>
      </c>
      <c r="CF44" s="140">
        <f t="shared" ref="CF44:CM44" si="101">CF42+CF43</f>
        <v>2374</v>
      </c>
      <c r="CG44" s="140">
        <f t="shared" si="101"/>
        <v>2385</v>
      </c>
      <c r="CH44" s="140">
        <f t="shared" si="101"/>
        <v>3564</v>
      </c>
      <c r="CI44" s="140">
        <f t="shared" si="101"/>
        <v>2757</v>
      </c>
      <c r="CJ44" s="140">
        <f t="shared" si="101"/>
        <v>2374</v>
      </c>
      <c r="CK44" s="140">
        <f t="shared" si="101"/>
        <v>2385</v>
      </c>
      <c r="CL44" s="140">
        <f t="shared" si="101"/>
        <v>3564</v>
      </c>
      <c r="CM44" s="140">
        <f t="shared" si="101"/>
        <v>2698</v>
      </c>
      <c r="CN44" s="140">
        <f>+CN42+CN43</f>
        <v>2686</v>
      </c>
      <c r="CO44" s="140"/>
      <c r="CP44" s="140"/>
      <c r="CQ44" s="140"/>
      <c r="CR44" s="140"/>
      <c r="CS44" s="140"/>
      <c r="CT44" s="140"/>
      <c r="CU44" s="155"/>
      <c r="CV44" s="155">
        <f t="shared" ref="CV44:DH44" si="102">CV42+CV43</f>
        <v>210.292</v>
      </c>
      <c r="CW44" s="155">
        <f t="shared" si="102"/>
        <v>214.36099999999999</v>
      </c>
      <c r="CX44" s="155">
        <f t="shared" si="102"/>
        <v>310.69400000000002</v>
      </c>
      <c r="CY44" s="155">
        <f t="shared" si="102"/>
        <v>316.05899999999997</v>
      </c>
      <c r="CZ44" s="155">
        <f t="shared" si="102"/>
        <v>415.03</v>
      </c>
      <c r="DA44" s="155">
        <f t="shared" si="102"/>
        <v>526.34500000000037</v>
      </c>
      <c r="DB44" s="75">
        <f t="shared" si="102"/>
        <v>656.91200000000003</v>
      </c>
      <c r="DC44" s="83">
        <f t="shared" si="102"/>
        <v>834.56500000000005</v>
      </c>
      <c r="DD44" s="83">
        <f t="shared" si="102"/>
        <v>1196.893</v>
      </c>
      <c r="DE44" s="83">
        <f>DE42+DE43</f>
        <v>1376.06</v>
      </c>
      <c r="DF44" s="105">
        <f>DF42+DF43</f>
        <v>1651.3520000000003</v>
      </c>
      <c r="DG44" s="105">
        <f>DG42+DG43</f>
        <v>1751.4659999999999</v>
      </c>
      <c r="DH44" s="83">
        <f t="shared" si="102"/>
        <v>2471.1409999999996</v>
      </c>
      <c r="DI44" s="83">
        <f t="shared" ref="DI44:DN44" si="103">DI42+DI43</f>
        <v>3220.9790000000003</v>
      </c>
      <c r="DJ44" s="83">
        <f t="shared" si="103"/>
        <v>3583.761</v>
      </c>
      <c r="DK44" s="83">
        <f t="shared" si="103"/>
        <v>2449.105</v>
      </c>
      <c r="DL44" s="83">
        <f t="shared" si="103"/>
        <v>2449.105</v>
      </c>
      <c r="DM44" s="83">
        <f t="shared" si="103"/>
        <v>2449.105</v>
      </c>
      <c r="DN44" s="142">
        <f t="shared" si="103"/>
        <v>2449.105</v>
      </c>
      <c r="DO44" s="142">
        <f t="shared" ref="DO44:DQ44" si="104">DO42+DO43</f>
        <v>2449.105</v>
      </c>
      <c r="DP44" s="142">
        <f t="shared" si="104"/>
        <v>2449.105</v>
      </c>
      <c r="DQ44" s="142">
        <f t="shared" si="104"/>
        <v>2449.105</v>
      </c>
      <c r="DR44" s="142">
        <f t="shared" ref="DR44:DV44" si="105">DR42+DR43</f>
        <v>2449.105</v>
      </c>
      <c r="DS44" s="142">
        <f t="shared" si="105"/>
        <v>2449.105</v>
      </c>
      <c r="DT44" s="155">
        <f t="shared" si="105"/>
        <v>2449.105</v>
      </c>
      <c r="DU44" s="155">
        <f t="shared" si="105"/>
        <v>2449.105</v>
      </c>
      <c r="DV44" s="155">
        <f t="shared" si="105"/>
        <v>2449.105</v>
      </c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</row>
    <row r="45" spans="2:136" s="17" customFormat="1" x14ac:dyDescent="0.2">
      <c r="B45" s="100" t="s">
        <v>642</v>
      </c>
      <c r="C45" s="82">
        <f t="shared" ref="C45:R45" si="106">C39-C44</f>
        <v>-73.317000000000007</v>
      </c>
      <c r="D45" s="82">
        <f t="shared" si="106"/>
        <v>-72.451000000000008</v>
      </c>
      <c r="E45" s="82">
        <f t="shared" si="106"/>
        <v>-77.655000000000001</v>
      </c>
      <c r="F45" s="82">
        <f t="shared" si="106"/>
        <v>-92.635999999999996</v>
      </c>
      <c r="G45" s="82">
        <f t="shared" si="106"/>
        <v>-88.731000000000009</v>
      </c>
      <c r="H45" s="82">
        <f t="shared" si="106"/>
        <v>-98.992000000000004</v>
      </c>
      <c r="I45" s="82">
        <f t="shared" si="106"/>
        <v>-95.263000000000005</v>
      </c>
      <c r="J45" s="82">
        <f t="shared" si="106"/>
        <v>-132.04399999999998</v>
      </c>
      <c r="K45" s="82" t="e">
        <f t="shared" si="106"/>
        <v>#REF!</v>
      </c>
      <c r="L45" s="82" t="e">
        <f t="shared" si="106"/>
        <v>#REF!</v>
      </c>
      <c r="M45" s="82" t="e">
        <f t="shared" si="106"/>
        <v>#REF!</v>
      </c>
      <c r="N45" s="82" t="e">
        <f t="shared" si="106"/>
        <v>#REF!</v>
      </c>
      <c r="O45" s="82" t="e">
        <f t="shared" si="106"/>
        <v>#REF!</v>
      </c>
      <c r="P45" s="82" t="e">
        <f t="shared" si="106"/>
        <v>#REF!</v>
      </c>
      <c r="Q45" s="82" t="e">
        <f t="shared" si="106"/>
        <v>#REF!</v>
      </c>
      <c r="R45" s="82" t="e">
        <f t="shared" si="106"/>
        <v>#REF!</v>
      </c>
      <c r="S45" s="82" t="e">
        <f t="shared" ref="S45:Z45" si="107">S41-S44</f>
        <v>#REF!</v>
      </c>
      <c r="T45" s="82" t="e">
        <f t="shared" si="107"/>
        <v>#REF!</v>
      </c>
      <c r="U45" s="82" t="e">
        <f t="shared" si="107"/>
        <v>#REF!</v>
      </c>
      <c r="V45" s="82" t="e">
        <f t="shared" si="107"/>
        <v>#REF!</v>
      </c>
      <c r="W45" s="82" t="e">
        <f t="shared" si="107"/>
        <v>#REF!</v>
      </c>
      <c r="X45" s="82" t="e">
        <f t="shared" si="107"/>
        <v>#REF!</v>
      </c>
      <c r="Y45" s="82" t="e">
        <f t="shared" si="107"/>
        <v>#REF!</v>
      </c>
      <c r="Z45" s="82" t="e">
        <f t="shared" si="107"/>
        <v>#REF!</v>
      </c>
      <c r="AA45" s="82" t="e">
        <f t="shared" ref="AA45:AM45" si="108">AA41-AA44</f>
        <v>#REF!</v>
      </c>
      <c r="AB45" s="82" t="e">
        <f t="shared" si="108"/>
        <v>#REF!</v>
      </c>
      <c r="AC45" s="82" t="e">
        <f t="shared" si="108"/>
        <v>#REF!</v>
      </c>
      <c r="AD45" s="82" t="e">
        <f t="shared" si="108"/>
        <v>#REF!</v>
      </c>
      <c r="AE45" s="82">
        <f t="shared" si="108"/>
        <v>849.4000000000002</v>
      </c>
      <c r="AF45" s="82">
        <f t="shared" si="108"/>
        <v>847.50099999999998</v>
      </c>
      <c r="AG45" s="82">
        <f t="shared" si="108"/>
        <v>949.18900000000053</v>
      </c>
      <c r="AH45" s="82">
        <f t="shared" si="108"/>
        <v>1145.6509999999996</v>
      </c>
      <c r="AI45" s="82">
        <f t="shared" si="108"/>
        <v>-545.43499999999995</v>
      </c>
      <c r="AJ45" s="82">
        <f t="shared" si="108"/>
        <v>1060.7329999999997</v>
      </c>
      <c r="AK45" s="82">
        <f t="shared" si="108"/>
        <v>1053.8220000000001</v>
      </c>
      <c r="AL45" s="82">
        <f t="shared" si="108"/>
        <v>-882.375</v>
      </c>
      <c r="AM45" s="82">
        <f t="shared" si="108"/>
        <v>878.0540000000002</v>
      </c>
      <c r="AN45" s="82">
        <f t="shared" ref="AN45" si="109">AN41-AN44</f>
        <v>1016.7180000000001</v>
      </c>
      <c r="AO45" s="82">
        <f t="shared" ref="AO45" si="110">AO41-AO44</f>
        <v>1004.2000000000003</v>
      </c>
      <c r="AP45" s="82">
        <f>+AP41-AP44</f>
        <v>867.47599999999966</v>
      </c>
      <c r="AQ45" s="82">
        <f t="shared" ref="AQ45:AX45" si="111">+AQ41-AQ44</f>
        <v>800.18599999999958</v>
      </c>
      <c r="AR45" s="82">
        <f t="shared" si="111"/>
        <v>1059.0919999999996</v>
      </c>
      <c r="AS45" s="82">
        <f t="shared" si="111"/>
        <v>1043.9140000000002</v>
      </c>
      <c r="AT45" s="82">
        <f t="shared" si="111"/>
        <v>1106.9829999999999</v>
      </c>
      <c r="AU45" s="82">
        <f t="shared" si="111"/>
        <v>1025.2590000000005</v>
      </c>
      <c r="AV45" s="82">
        <f t="shared" si="111"/>
        <v>1242.5200000000004</v>
      </c>
      <c r="AW45" s="82">
        <f t="shared" si="111"/>
        <v>1258.6760000000002</v>
      </c>
      <c r="AX45" s="82">
        <f t="shared" si="111"/>
        <v>1359.9920000000002</v>
      </c>
      <c r="AY45" s="82">
        <f>+AY41-AY44</f>
        <v>3329.7130000000025</v>
      </c>
      <c r="AZ45" s="82">
        <f>+AZ41-AZ44</f>
        <v>4699.6160000000009</v>
      </c>
      <c r="BA45" s="82">
        <f t="shared" ref="BA45:BE45" si="112">+BA41-BA44</f>
        <v>4194.9859999999999</v>
      </c>
      <c r="BB45" s="82">
        <f t="shared" si="112"/>
        <v>4769</v>
      </c>
      <c r="BC45" s="82">
        <f t="shared" si="112"/>
        <v>5669</v>
      </c>
      <c r="BD45" s="82">
        <f t="shared" si="112"/>
        <v>5993</v>
      </c>
      <c r="BE45" s="82">
        <f t="shared" si="112"/>
        <v>5585</v>
      </c>
      <c r="BF45" s="140">
        <f t="shared" ref="BF45:BG45" si="113">BF41-BF44</f>
        <v>5857</v>
      </c>
      <c r="BG45" s="140">
        <f t="shared" si="113"/>
        <v>5404</v>
      </c>
      <c r="BH45" s="140">
        <f t="shared" ref="BH45:BI45" si="114">BH41-BH44</f>
        <v>4538</v>
      </c>
      <c r="BI45" s="140">
        <f t="shared" si="114"/>
        <v>4399</v>
      </c>
      <c r="BJ45" s="140">
        <f t="shared" ref="BJ45:BM45" si="115">BJ41-BJ44</f>
        <v>4563</v>
      </c>
      <c r="BK45" s="140">
        <f t="shared" si="115"/>
        <v>4066</v>
      </c>
      <c r="BL45" s="140">
        <f t="shared" si="115"/>
        <v>4254</v>
      </c>
      <c r="BM45" s="140">
        <f t="shared" si="115"/>
        <v>3812</v>
      </c>
      <c r="BN45" s="140">
        <f t="shared" ref="BN45" si="116">BN41-BN44</f>
        <v>3215</v>
      </c>
      <c r="BO45" s="140">
        <f t="shared" ref="BO45" si="117">BO41-BO44</f>
        <v>2703</v>
      </c>
      <c r="BP45" s="140">
        <f t="shared" ref="BP45:BQ45" si="118">BP41-BP44</f>
        <v>3012</v>
      </c>
      <c r="BQ45" s="140">
        <f t="shared" si="118"/>
        <v>2623</v>
      </c>
      <c r="BR45" s="140">
        <f t="shared" ref="BR45:BT45" si="119">BR41-BR44</f>
        <v>2567</v>
      </c>
      <c r="BS45" s="140">
        <f t="shared" si="119"/>
        <v>2645</v>
      </c>
      <c r="BT45" s="140">
        <f t="shared" si="119"/>
        <v>3040</v>
      </c>
      <c r="BU45" s="140">
        <f t="shared" ref="BU45:BV45" si="120">BU41-BU44</f>
        <v>-1473</v>
      </c>
      <c r="BV45" s="140">
        <f t="shared" si="120"/>
        <v>2155</v>
      </c>
      <c r="BW45" s="140">
        <f t="shared" ref="BW45:BX45" si="121">BW41-BW44</f>
        <v>2765</v>
      </c>
      <c r="BX45" s="140">
        <f t="shared" si="121"/>
        <v>1995</v>
      </c>
      <c r="BY45" s="140">
        <f t="shared" ref="BY45" si="122">BY41-BY44</f>
        <v>3452</v>
      </c>
      <c r="BZ45" s="140">
        <f t="shared" ref="BZ45" si="123">BZ41-BZ44</f>
        <v>3492</v>
      </c>
      <c r="CA45" s="140">
        <f>CA41-CA44</f>
        <v>3486</v>
      </c>
      <c r="CB45" s="140">
        <f t="shared" ref="CB45:CE45" si="124">CB41-CB44</f>
        <v>3218</v>
      </c>
      <c r="CC45" s="140">
        <f t="shared" si="124"/>
        <v>4444</v>
      </c>
      <c r="CD45" s="140">
        <f t="shared" si="124"/>
        <v>2175</v>
      </c>
      <c r="CE45" s="140">
        <f t="shared" si="124"/>
        <v>3523</v>
      </c>
      <c r="CF45" s="140">
        <f t="shared" ref="CF45:CM45" si="125">CF41-CF44</f>
        <v>3001</v>
      </c>
      <c r="CG45" s="140">
        <f t="shared" si="125"/>
        <v>3734</v>
      </c>
      <c r="CH45" s="140">
        <f t="shared" si="125"/>
        <v>2857</v>
      </c>
      <c r="CI45" s="140">
        <f t="shared" si="125"/>
        <v>2724</v>
      </c>
      <c r="CJ45" s="140">
        <f t="shared" si="125"/>
        <v>-2374</v>
      </c>
      <c r="CK45" s="140">
        <f t="shared" si="125"/>
        <v>-2385</v>
      </c>
      <c r="CL45" s="140">
        <f t="shared" si="125"/>
        <v>-3564</v>
      </c>
      <c r="CM45" s="140">
        <f t="shared" si="125"/>
        <v>3015</v>
      </c>
      <c r="CN45" s="140">
        <f>+CN41-CN44</f>
        <v>3303</v>
      </c>
      <c r="CO45" s="140"/>
      <c r="CP45" s="140"/>
      <c r="CQ45" s="140"/>
      <c r="CR45" s="140"/>
      <c r="CS45" s="140"/>
      <c r="CT45" s="140"/>
      <c r="CU45" s="79"/>
      <c r="CV45" s="79">
        <f t="shared" ref="CV45:DC45" si="126">CV41-CV44</f>
        <v>-210.292</v>
      </c>
      <c r="CW45" s="79">
        <f t="shared" si="126"/>
        <v>-214.36099999999999</v>
      </c>
      <c r="CX45" s="79">
        <f t="shared" si="126"/>
        <v>-310.69400000000002</v>
      </c>
      <c r="CY45" s="79">
        <f t="shared" si="126"/>
        <v>-316.05899999999997</v>
      </c>
      <c r="CZ45" s="79">
        <f t="shared" si="126"/>
        <v>-415.03</v>
      </c>
      <c r="DA45" s="79">
        <f t="shared" si="126"/>
        <v>-526.34500000000037</v>
      </c>
      <c r="DB45" s="17">
        <f t="shared" si="126"/>
        <v>-656.91200000000003</v>
      </c>
      <c r="DC45" s="82">
        <f t="shared" si="126"/>
        <v>-834.56500000000005</v>
      </c>
      <c r="DD45" s="82">
        <f>DD41-DD44</f>
        <v>-1196.893</v>
      </c>
      <c r="DE45" s="82">
        <f>DE41-DE44</f>
        <v>-1376.06</v>
      </c>
      <c r="DF45" s="104">
        <f>DF41-DF44</f>
        <v>3791.7410000000004</v>
      </c>
      <c r="DG45" s="104">
        <f>DG41-DG44</f>
        <v>686.74499999999989</v>
      </c>
      <c r="DH45" s="82">
        <f t="shared" ref="DH45" si="127">DH41-DH44</f>
        <v>3766.4480000000012</v>
      </c>
      <c r="DI45" s="82">
        <f t="shared" ref="DI45:DN45" si="128">DI41-DI44</f>
        <v>4010.1750000000011</v>
      </c>
      <c r="DJ45" s="82">
        <f t="shared" si="128"/>
        <v>4886.4469999999983</v>
      </c>
      <c r="DK45" s="82">
        <f t="shared" si="128"/>
        <v>17581.859799999998</v>
      </c>
      <c r="DL45" s="82">
        <f t="shared" si="128"/>
        <v>21700.660200000006</v>
      </c>
      <c r="DM45" s="82">
        <f t="shared" si="128"/>
        <v>23097.445651600003</v>
      </c>
      <c r="DN45" s="140">
        <f t="shared" si="128"/>
        <v>-2449.105</v>
      </c>
      <c r="DO45" s="140">
        <f t="shared" ref="DO45:DQ45" si="129">DO41-DO44</f>
        <v>-2449.105</v>
      </c>
      <c r="DP45" s="140">
        <f t="shared" si="129"/>
        <v>-2449.105</v>
      </c>
      <c r="DQ45" s="140">
        <f t="shared" si="129"/>
        <v>6413.375</v>
      </c>
      <c r="DR45" s="140">
        <f t="shared" ref="DR45:DV45" si="130">DR41-DR44</f>
        <v>8112.6550000000007</v>
      </c>
      <c r="DS45" s="140">
        <f t="shared" si="130"/>
        <v>6892.9750000000004</v>
      </c>
      <c r="DT45" s="79">
        <f t="shared" si="130"/>
        <v>5654.8150000000005</v>
      </c>
      <c r="DU45" s="79">
        <f t="shared" si="130"/>
        <v>-1486.825</v>
      </c>
      <c r="DV45" s="79">
        <f t="shared" si="130"/>
        <v>-1583.0529999999999</v>
      </c>
      <c r="DW45" s="79"/>
      <c r="DX45" s="79"/>
      <c r="DY45" s="79"/>
      <c r="DZ45" s="79"/>
      <c r="EA45" s="79"/>
      <c r="EB45" s="79"/>
      <c r="EC45" s="79"/>
      <c r="ED45" s="79"/>
      <c r="EE45" s="79"/>
      <c r="EF45" s="79"/>
    </row>
    <row r="46" spans="2:136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31">-73.15-11.108</f>
        <v>-84.25800000000001</v>
      </c>
      <c r="BB46" s="82">
        <f>-130+30</f>
        <v>-100</v>
      </c>
      <c r="BC46" s="82">
        <f>-153+21</f>
        <v>-132</v>
      </c>
      <c r="BD46" s="82">
        <f>-140+35</f>
        <v>-105</v>
      </c>
      <c r="BE46" s="82">
        <f>-165+52</f>
        <v>-113</v>
      </c>
      <c r="BF46" s="82">
        <f>-230+46</f>
        <v>-184</v>
      </c>
      <c r="BG46" s="82">
        <f>-230+81</f>
        <v>-149</v>
      </c>
      <c r="BH46" s="82">
        <f>-227+88</f>
        <v>-139</v>
      </c>
      <c r="BI46" s="82">
        <f>-242+119</f>
        <v>-123</v>
      </c>
      <c r="BJ46" s="140">
        <f>-265+140</f>
        <v>-125</v>
      </c>
      <c r="BK46" s="140">
        <f>-261+111</f>
        <v>-150</v>
      </c>
      <c r="BL46" s="82">
        <f>-269+130</f>
        <v>-139</v>
      </c>
      <c r="BM46" s="82">
        <f>-291+150</f>
        <v>-141</v>
      </c>
      <c r="BN46" s="140">
        <f>-297+132</f>
        <v>-165</v>
      </c>
      <c r="BO46" s="140">
        <f>-290+125</f>
        <v>-165</v>
      </c>
      <c r="BP46" s="140">
        <f>-266+136</f>
        <v>-130</v>
      </c>
      <c r="BQ46" s="140">
        <f>-264+305</f>
        <v>41</v>
      </c>
      <c r="BR46" s="140">
        <f>-257+163</f>
        <v>-94</v>
      </c>
      <c r="BS46" s="140">
        <f>-254+170</f>
        <v>-84</v>
      </c>
      <c r="BT46" s="82">
        <f>-248+171</f>
        <v>-77</v>
      </c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>
        <f>-254+104</f>
        <v>-150</v>
      </c>
      <c r="CN46" s="140">
        <f>-237+37</f>
        <v>-200</v>
      </c>
      <c r="CO46" s="140"/>
      <c r="CP46" s="140"/>
      <c r="CQ46" s="140"/>
      <c r="CR46" s="140"/>
      <c r="CS46" s="140"/>
      <c r="CT46" s="140"/>
      <c r="CU46" s="79"/>
      <c r="CV46" s="79">
        <v>9.916999999999998</v>
      </c>
      <c r="CW46" s="79">
        <v>13.269</v>
      </c>
      <c r="CX46" s="79">
        <v>11.611000000000001</v>
      </c>
      <c r="CY46" s="79">
        <v>8.4380000000000006</v>
      </c>
      <c r="CZ46" s="79">
        <v>-8.8579999999999988</v>
      </c>
      <c r="DA46" s="79">
        <v>11.595000000000001</v>
      </c>
      <c r="DB46" s="17">
        <v>46.717399999999998</v>
      </c>
      <c r="DC46" s="82">
        <v>79.940878614177947</v>
      </c>
      <c r="DD46" s="82">
        <v>135.79390689056299</v>
      </c>
      <c r="DE46" s="82">
        <f>SUM(AA46:AD46)</f>
        <v>47.3</v>
      </c>
      <c r="DF46" s="105">
        <f>SUM(AE46:AH46)</f>
        <v>-27.263999999999999</v>
      </c>
      <c r="DG46" s="104">
        <f>SUM(AI46:AL46)</f>
        <v>-48.673999999999992</v>
      </c>
      <c r="DH46" s="82"/>
      <c r="DI46" s="93">
        <f t="shared" ref="DI46:DI48" si="132">SUM(AQ46:AT46)</f>
        <v>-400.96699999999998</v>
      </c>
      <c r="DJ46" s="83">
        <f>SUM(AU46:AX46)</f>
        <v>-327.334</v>
      </c>
      <c r="DK46" s="82">
        <f>SUM(AY46:BB46)</f>
        <v>-384.08800000000002</v>
      </c>
      <c r="DL46" s="82">
        <f t="shared" ref="DL46:DV46" si="133">+DK61*$EA$55</f>
        <v>35.42907000000001</v>
      </c>
      <c r="DM46" s="82">
        <f t="shared" si="133"/>
        <v>117.48280699425003</v>
      </c>
      <c r="DN46" s="140">
        <f t="shared" si="133"/>
        <v>205.11916192544334</v>
      </c>
      <c r="DO46" s="140">
        <f t="shared" si="133"/>
        <v>196.64811538671188</v>
      </c>
      <c r="DP46" s="140">
        <f t="shared" si="133"/>
        <v>188.14509064729671</v>
      </c>
      <c r="DQ46" s="140">
        <f t="shared" si="133"/>
        <v>179.60996698949023</v>
      </c>
      <c r="DR46" s="140">
        <f t="shared" si="133"/>
        <v>204.49848523987555</v>
      </c>
      <c r="DS46" s="140">
        <f t="shared" si="133"/>
        <v>235.89573964665607</v>
      </c>
      <c r="DT46" s="79">
        <f t="shared" si="133"/>
        <v>262.8072266888222</v>
      </c>
      <c r="DU46" s="79">
        <f t="shared" si="133"/>
        <v>285.14625059457251</v>
      </c>
      <c r="DV46" s="79">
        <f t="shared" si="133"/>
        <v>280.60991331556698</v>
      </c>
      <c r="DW46" s="79"/>
      <c r="DX46" s="79"/>
      <c r="DY46" s="79"/>
      <c r="DZ46" s="79"/>
      <c r="EA46" s="79"/>
      <c r="EB46" s="79"/>
      <c r="EC46" s="79"/>
      <c r="ED46" s="79"/>
      <c r="EE46" s="79"/>
      <c r="EF46" s="79"/>
    </row>
    <row r="47" spans="2:136" s="17" customFormat="1" x14ac:dyDescent="0.2">
      <c r="B47" s="17" t="s">
        <v>26</v>
      </c>
      <c r="C47" s="82">
        <f t="shared" ref="C47:V47" si="134">SUM(C45:C46)</f>
        <v>-71.188000000000002</v>
      </c>
      <c r="D47" s="82">
        <f t="shared" si="134"/>
        <v>-71.296000000000006</v>
      </c>
      <c r="E47" s="82">
        <f t="shared" si="134"/>
        <v>-76.216999999999999</v>
      </c>
      <c r="F47" s="82">
        <f t="shared" si="134"/>
        <v>-88.92</v>
      </c>
      <c r="G47" s="82">
        <f t="shared" si="134"/>
        <v>-90.528000000000006</v>
      </c>
      <c r="H47" s="82">
        <f t="shared" si="134"/>
        <v>-101.117</v>
      </c>
      <c r="I47" s="82">
        <f t="shared" si="134"/>
        <v>-97.484999999999999</v>
      </c>
      <c r="J47" s="82">
        <f t="shared" si="134"/>
        <v>-134.75799999999998</v>
      </c>
      <c r="K47" s="82" t="e">
        <f t="shared" si="134"/>
        <v>#REF!</v>
      </c>
      <c r="L47" s="82" t="e">
        <f t="shared" si="134"/>
        <v>#REF!</v>
      </c>
      <c r="M47" s="82" t="e">
        <f t="shared" si="134"/>
        <v>#REF!</v>
      </c>
      <c r="N47" s="82" t="e">
        <f t="shared" si="134"/>
        <v>#REF!</v>
      </c>
      <c r="O47" s="82" t="e">
        <f t="shared" si="134"/>
        <v>#REF!</v>
      </c>
      <c r="P47" s="82" t="e">
        <f t="shared" si="134"/>
        <v>#REF!</v>
      </c>
      <c r="Q47" s="82" t="e">
        <f>SUM(Q45:Q46)</f>
        <v>#REF!</v>
      </c>
      <c r="R47" s="82" t="e">
        <f>SUM(R45:R46)</f>
        <v>#REF!</v>
      </c>
      <c r="S47" s="82" t="e">
        <f t="shared" si="134"/>
        <v>#REF!</v>
      </c>
      <c r="T47" s="82" t="e">
        <f t="shared" si="134"/>
        <v>#REF!</v>
      </c>
      <c r="U47" s="82" t="e">
        <f t="shared" si="134"/>
        <v>#REF!</v>
      </c>
      <c r="V47" s="82" t="e">
        <f t="shared" si="134"/>
        <v>#REF!</v>
      </c>
      <c r="W47" s="82" t="e">
        <f t="shared" ref="W47:AB47" si="135">SUM(W45:W46)</f>
        <v>#REF!</v>
      </c>
      <c r="X47" s="82" t="e">
        <f t="shared" si="135"/>
        <v>#REF!</v>
      </c>
      <c r="Y47" s="82" t="e">
        <f t="shared" si="135"/>
        <v>#REF!</v>
      </c>
      <c r="Z47" s="82" t="e">
        <f t="shared" si="135"/>
        <v>#REF!</v>
      </c>
      <c r="AA47" s="82" t="e">
        <f t="shared" si="135"/>
        <v>#REF!</v>
      </c>
      <c r="AB47" s="82" t="e">
        <f t="shared" si="135"/>
        <v>#REF!</v>
      </c>
      <c r="AC47" s="82" t="e">
        <f t="shared" ref="AC47:AM47" si="136">SUM(AC45:AC46)</f>
        <v>#REF!</v>
      </c>
      <c r="AD47" s="82" t="e">
        <f t="shared" si="136"/>
        <v>#REF!</v>
      </c>
      <c r="AE47" s="82">
        <f t="shared" si="136"/>
        <v>836.88800000000015</v>
      </c>
      <c r="AF47" s="82">
        <f t="shared" si="136"/>
        <v>841.93999999999994</v>
      </c>
      <c r="AG47" s="82">
        <f t="shared" si="136"/>
        <v>945.98900000000049</v>
      </c>
      <c r="AH47" s="82">
        <f t="shared" si="136"/>
        <v>1139.6599999999996</v>
      </c>
      <c r="AI47" s="82">
        <f t="shared" si="136"/>
        <v>-546.74499999999989</v>
      </c>
      <c r="AJ47" s="82">
        <f t="shared" si="136"/>
        <v>1061.2539999999997</v>
      </c>
      <c r="AK47" s="82">
        <f t="shared" si="136"/>
        <v>1035.7950000000001</v>
      </c>
      <c r="AL47" s="82">
        <f t="shared" si="136"/>
        <v>-912.23299999999995</v>
      </c>
      <c r="AM47" s="82">
        <f t="shared" si="136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37">+AT46+AT45</f>
        <v>1019.6909999999999</v>
      </c>
      <c r="AU47" s="82">
        <f t="shared" si="137"/>
        <v>940.14800000000048</v>
      </c>
      <c r="AV47" s="82">
        <f t="shared" si="137"/>
        <v>1164.2810000000004</v>
      </c>
      <c r="AW47" s="82">
        <f t="shared" si="137"/>
        <v>1178.9500000000003</v>
      </c>
      <c r="AX47" s="82">
        <f t="shared" si="137"/>
        <v>1275.7340000000002</v>
      </c>
      <c r="AY47" s="82">
        <f>+AY46+AY45</f>
        <v>3235.5320000000024</v>
      </c>
      <c r="AZ47" s="82">
        <f>+AZ46+AZ45</f>
        <v>4593.9670000000006</v>
      </c>
      <c r="BA47" s="82">
        <f t="shared" ref="BA47:BE47" si="138">+BA46+BA45</f>
        <v>4110.7280000000001</v>
      </c>
      <c r="BB47" s="82">
        <f t="shared" si="138"/>
        <v>4669</v>
      </c>
      <c r="BC47" s="82">
        <f t="shared" si="138"/>
        <v>5537</v>
      </c>
      <c r="BD47" s="82">
        <f t="shared" si="138"/>
        <v>5888</v>
      </c>
      <c r="BE47" s="82">
        <f t="shared" si="138"/>
        <v>5472</v>
      </c>
      <c r="BF47" s="140">
        <f t="shared" ref="BF47:BG47" si="139">BF45+BF46</f>
        <v>5673</v>
      </c>
      <c r="BG47" s="140">
        <f t="shared" si="139"/>
        <v>5255</v>
      </c>
      <c r="BH47" s="140">
        <f t="shared" ref="BH47:BM47" si="140">BH45+BH46</f>
        <v>4399</v>
      </c>
      <c r="BI47" s="140">
        <f t="shared" si="140"/>
        <v>4276</v>
      </c>
      <c r="BJ47" s="140">
        <f t="shared" si="140"/>
        <v>4438</v>
      </c>
      <c r="BK47" s="140">
        <f t="shared" si="140"/>
        <v>3916</v>
      </c>
      <c r="BL47" s="140">
        <f t="shared" si="140"/>
        <v>4115</v>
      </c>
      <c r="BM47" s="140">
        <f t="shared" si="140"/>
        <v>3671</v>
      </c>
      <c r="BN47" s="140">
        <f t="shared" ref="BN47:BO47" si="141">BN45+BN46</f>
        <v>3050</v>
      </c>
      <c r="BO47" s="140">
        <f t="shared" si="141"/>
        <v>2538</v>
      </c>
      <c r="BP47" s="140">
        <f t="shared" ref="BP47:BQ47" si="142">BP45+BP46</f>
        <v>2882</v>
      </c>
      <c r="BQ47" s="140">
        <f t="shared" si="142"/>
        <v>2664</v>
      </c>
      <c r="BR47" s="140">
        <f t="shared" ref="BR47:BT47" si="143">BR45+BR46</f>
        <v>2473</v>
      </c>
      <c r="BS47" s="140">
        <f t="shared" si="143"/>
        <v>2561</v>
      </c>
      <c r="BT47" s="140">
        <f t="shared" si="143"/>
        <v>2963</v>
      </c>
      <c r="BU47" s="140">
        <f t="shared" ref="BU47:BV47" si="144">BU45+BU46</f>
        <v>-1501</v>
      </c>
      <c r="BV47" s="140">
        <f t="shared" si="144"/>
        <v>2034</v>
      </c>
      <c r="BW47" s="140">
        <f t="shared" ref="BW47:BX47" si="145">BW45+BW46</f>
        <v>2649</v>
      </c>
      <c r="BX47" s="140">
        <f t="shared" si="145"/>
        <v>2005</v>
      </c>
      <c r="BY47" s="140">
        <f t="shared" ref="BY47" si="146">BY45+BY46</f>
        <v>3259</v>
      </c>
      <c r="BZ47" s="140">
        <f t="shared" ref="BZ47:CD47" si="147">BZ45+BZ46</f>
        <v>3271</v>
      </c>
      <c r="CA47" s="140">
        <f t="shared" si="147"/>
        <v>2860</v>
      </c>
      <c r="CB47" s="140">
        <f t="shared" si="147"/>
        <v>2789</v>
      </c>
      <c r="CC47" s="140">
        <f t="shared" si="147"/>
        <v>4194</v>
      </c>
      <c r="CD47" s="140">
        <f t="shared" si="147"/>
        <v>1994</v>
      </c>
      <c r="CE47" s="140">
        <f>CE45+CE46</f>
        <v>3174</v>
      </c>
      <c r="CF47" s="140">
        <f>CF45+CF46</f>
        <v>2778</v>
      </c>
      <c r="CG47" s="140">
        <f t="shared" ref="CG47:CM47" si="148">CG45+CG46</f>
        <v>3329</v>
      </c>
      <c r="CH47" s="140">
        <f t="shared" si="148"/>
        <v>2621</v>
      </c>
      <c r="CI47" s="140">
        <f t="shared" si="148"/>
        <v>2320</v>
      </c>
      <c r="CJ47" s="140">
        <f t="shared" si="148"/>
        <v>-2374</v>
      </c>
      <c r="CK47" s="140">
        <f t="shared" si="148"/>
        <v>-2385</v>
      </c>
      <c r="CL47" s="140">
        <f t="shared" si="148"/>
        <v>-3564</v>
      </c>
      <c r="CM47" s="140">
        <f t="shared" si="148"/>
        <v>2865</v>
      </c>
      <c r="CN47" s="140">
        <f>+CN45+CN46</f>
        <v>3103</v>
      </c>
      <c r="CO47" s="140"/>
      <c r="CP47" s="140"/>
      <c r="CQ47" s="140"/>
      <c r="CR47" s="140"/>
      <c r="CS47" s="140"/>
      <c r="CT47" s="140"/>
      <c r="CU47" s="79"/>
      <c r="CV47" s="79">
        <f t="shared" ref="CV47:DB47" si="149">SUM(CV45:CV46)</f>
        <v>-200.375</v>
      </c>
      <c r="CW47" s="79">
        <f t="shared" si="149"/>
        <v>-201.09199999999998</v>
      </c>
      <c r="CX47" s="79">
        <f t="shared" si="149"/>
        <v>-299.08300000000003</v>
      </c>
      <c r="CY47" s="79">
        <f t="shared" si="149"/>
        <v>-307.62099999999998</v>
      </c>
      <c r="CZ47" s="79">
        <f t="shared" si="149"/>
        <v>-423.88799999999998</v>
      </c>
      <c r="DA47" s="79">
        <f t="shared" si="149"/>
        <v>-514.75000000000034</v>
      </c>
      <c r="DB47" s="17">
        <f t="shared" si="149"/>
        <v>-610.19460000000004</v>
      </c>
      <c r="DC47" s="82">
        <f>SUM(DC45:DC46)</f>
        <v>-754.62412138582215</v>
      </c>
      <c r="DD47" s="82">
        <f t="shared" ref="DD47:DI47" si="150">SUM(DD45:DD46)</f>
        <v>-1061.099093109437</v>
      </c>
      <c r="DE47" s="82">
        <f>SUM(DE45:DE46)</f>
        <v>-1328.76</v>
      </c>
      <c r="DF47" s="104">
        <f>SUM(DF45:DF46)</f>
        <v>3764.4770000000003</v>
      </c>
      <c r="DG47" s="104">
        <f>SUM(DG45:DG46)</f>
        <v>638.07099999999991</v>
      </c>
      <c r="DH47" s="82">
        <f t="shared" si="150"/>
        <v>3766.4480000000012</v>
      </c>
      <c r="DI47" s="82">
        <f t="shared" si="150"/>
        <v>3609.208000000001</v>
      </c>
      <c r="DJ47" s="82">
        <f>SUM(DJ45:DJ46)</f>
        <v>4559.1129999999985</v>
      </c>
      <c r="DK47" s="82">
        <f>SUM(DK45:DK46)</f>
        <v>17197.771799999999</v>
      </c>
      <c r="DL47" s="82">
        <f>SUM(DL45:DL46)</f>
        <v>21736.089270000004</v>
      </c>
      <c r="DM47" s="82">
        <f>SUM(DM45:DM46)</f>
        <v>23214.928458594251</v>
      </c>
      <c r="DN47" s="140">
        <f>SUM(DN45:DN46)</f>
        <v>-2243.9858380745568</v>
      </c>
      <c r="DO47" s="140">
        <f t="shared" ref="DO47:DV47" si="151">SUM(DO45:DO46)</f>
        <v>-2252.4568846132879</v>
      </c>
      <c r="DP47" s="140">
        <f t="shared" si="151"/>
        <v>-2260.9599093527031</v>
      </c>
      <c r="DQ47" s="140">
        <f t="shared" si="151"/>
        <v>6592.9849669894902</v>
      </c>
      <c r="DR47" s="140">
        <f t="shared" si="151"/>
        <v>8317.1534852398763</v>
      </c>
      <c r="DS47" s="140">
        <f t="shared" si="151"/>
        <v>7128.8707396466561</v>
      </c>
      <c r="DT47" s="79">
        <f t="shared" si="151"/>
        <v>5917.6222266888226</v>
      </c>
      <c r="DU47" s="79">
        <f t="shared" si="151"/>
        <v>-1201.6787494054274</v>
      </c>
      <c r="DV47" s="79">
        <f t="shared" si="151"/>
        <v>-1302.443086684433</v>
      </c>
      <c r="DW47" s="79"/>
      <c r="DX47" s="79"/>
      <c r="DY47" s="79"/>
      <c r="DZ47" s="79"/>
      <c r="EA47" s="79"/>
      <c r="EB47" s="79"/>
      <c r="EC47" s="79"/>
      <c r="ED47" s="79"/>
      <c r="EE47" s="79"/>
      <c r="EF47" s="79"/>
    </row>
    <row r="48" spans="2:136" s="17" customFormat="1" x14ac:dyDescent="0.2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" si="152">+BA47*0.25</f>
        <v>1027.682</v>
      </c>
      <c r="BB48" s="82">
        <f>768-25</f>
        <v>743</v>
      </c>
      <c r="BC48" s="82">
        <v>907</v>
      </c>
      <c r="BD48" s="82">
        <f>1014+5</f>
        <v>1019</v>
      </c>
      <c r="BE48" s="82">
        <f>880-8</f>
        <v>872</v>
      </c>
      <c r="BF48" s="82">
        <f>752+2</f>
        <v>754</v>
      </c>
      <c r="BG48" s="82">
        <f>935+1</f>
        <v>936</v>
      </c>
      <c r="BH48" s="82">
        <v>902</v>
      </c>
      <c r="BI48" s="82">
        <v>951</v>
      </c>
      <c r="BJ48" s="140">
        <f>821+9</f>
        <v>830</v>
      </c>
      <c r="BK48" s="140">
        <f>918-3</f>
        <v>915</v>
      </c>
      <c r="BL48" s="82">
        <v>1046</v>
      </c>
      <c r="BM48" s="82">
        <v>959</v>
      </c>
      <c r="BN48" s="140">
        <v>0</v>
      </c>
      <c r="BO48" s="140">
        <f>494+1</f>
        <v>495</v>
      </c>
      <c r="BP48" s="140">
        <f>267+2</f>
        <v>269</v>
      </c>
      <c r="BQ48" s="140">
        <f>565+2</f>
        <v>567</v>
      </c>
      <c r="BR48" s="140">
        <f>1013-588-14+189</f>
        <v>600</v>
      </c>
      <c r="BS48" s="140">
        <f>382-7+45</f>
        <v>420</v>
      </c>
      <c r="BT48" s="82">
        <f>535-5</f>
        <v>530</v>
      </c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/>
      <c r="CK48" s="140"/>
      <c r="CL48" s="140"/>
      <c r="CM48" s="140">
        <v>379</v>
      </c>
      <c r="CN48" s="140">
        <v>438</v>
      </c>
      <c r="CO48" s="140"/>
      <c r="CP48" s="140"/>
      <c r="CQ48" s="140"/>
      <c r="CR48" s="140"/>
      <c r="CS48" s="140"/>
      <c r="CT48" s="140"/>
      <c r="CU48" s="79"/>
      <c r="CV48" s="79">
        <v>0.88800000000000001</v>
      </c>
      <c r="CW48" s="79">
        <v>1.1990000000000001</v>
      </c>
      <c r="CX48" s="79">
        <v>4.1349999999999998</v>
      </c>
      <c r="CY48" s="79">
        <v>1.3</v>
      </c>
      <c r="CZ48" s="79">
        <v>-95.53</v>
      </c>
      <c r="DA48" s="79">
        <v>207.05099999999999</v>
      </c>
      <c r="DB48" s="17">
        <v>347.94309299999998</v>
      </c>
      <c r="DC48" s="82">
        <f>DC47*DC54</f>
        <v>-244.59241513956377</v>
      </c>
      <c r="DD48" s="82">
        <f>DD47*DD54</f>
        <v>0</v>
      </c>
      <c r="DE48" s="82">
        <f>SUM(AA48:AD48)</f>
        <v>755.25199999999995</v>
      </c>
      <c r="DF48" s="105">
        <f>SUM(AE48:AH48)</f>
        <v>-907</v>
      </c>
      <c r="DG48" s="104">
        <f>SUM(AI48:AL48)</f>
        <v>-1077</v>
      </c>
      <c r="DH48" s="82">
        <f t="shared" ref="DH48" si="153">DH47*DH54</f>
        <v>979.27648000000033</v>
      </c>
      <c r="DI48" s="93">
        <f t="shared" si="132"/>
        <v>1030.329</v>
      </c>
      <c r="DJ48" s="83">
        <f>SUM(AU48:AX48)</f>
        <v>1142.556</v>
      </c>
      <c r="DK48" s="82">
        <f>SUM(AY48:BB48)</f>
        <v>3148.0770000000002</v>
      </c>
      <c r="DL48" s="82">
        <f t="shared" ref="DL48:DV48" si="154">+DL47*0.245</f>
        <v>5325.3418711500008</v>
      </c>
      <c r="DM48" s="82">
        <f t="shared" si="154"/>
        <v>5687.6574723555914</v>
      </c>
      <c r="DN48" s="140">
        <f t="shared" si="154"/>
        <v>-549.7765303282664</v>
      </c>
      <c r="DO48" s="140">
        <f t="shared" si="154"/>
        <v>-551.85193673025549</v>
      </c>
      <c r="DP48" s="140">
        <f t="shared" si="154"/>
        <v>-553.93517779141223</v>
      </c>
      <c r="DQ48" s="140">
        <f t="shared" si="154"/>
        <v>1615.2813169124252</v>
      </c>
      <c r="DR48" s="140">
        <f t="shared" si="154"/>
        <v>2037.7026038837696</v>
      </c>
      <c r="DS48" s="140">
        <f t="shared" si="154"/>
        <v>1746.5733312134307</v>
      </c>
      <c r="DT48" s="79">
        <f t="shared" si="154"/>
        <v>1449.8174455387616</v>
      </c>
      <c r="DU48" s="79">
        <f t="shared" si="154"/>
        <v>-294.41129360432973</v>
      </c>
      <c r="DV48" s="79">
        <f t="shared" si="154"/>
        <v>-319.09855623768607</v>
      </c>
      <c r="DW48" s="79"/>
      <c r="DX48" s="79"/>
      <c r="DY48" s="79"/>
      <c r="DZ48" s="79"/>
      <c r="EA48" s="79"/>
      <c r="EB48" s="79"/>
      <c r="EC48" s="79"/>
      <c r="ED48" s="79"/>
      <c r="EE48" s="79"/>
      <c r="EF48" s="79"/>
    </row>
    <row r="49" spans="2:184" s="75" customFormat="1" x14ac:dyDescent="0.2">
      <c r="B49" s="75" t="s">
        <v>51</v>
      </c>
      <c r="C49" s="83">
        <f>C47-C48</f>
        <v>-70.224000000000004</v>
      </c>
      <c r="D49" s="83">
        <f t="shared" ref="D49:V49" si="155">D47-D48</f>
        <v>-71.934000000000012</v>
      </c>
      <c r="E49" s="83">
        <f t="shared" si="155"/>
        <v>-76.766999999999996</v>
      </c>
      <c r="F49" s="83">
        <f t="shared" si="155"/>
        <v>-89.995999999999995</v>
      </c>
      <c r="G49" s="83">
        <f t="shared" si="155"/>
        <v>-93.188000000000002</v>
      </c>
      <c r="H49" s="83">
        <f t="shared" si="155"/>
        <v>-106.39200000000001</v>
      </c>
      <c r="I49" s="83">
        <f t="shared" si="155"/>
        <v>-101.34</v>
      </c>
      <c r="J49" s="83">
        <f t="shared" si="155"/>
        <v>-27.437999999999988</v>
      </c>
      <c r="K49" s="83" t="e">
        <f t="shared" si="155"/>
        <v>#REF!</v>
      </c>
      <c r="L49" s="83" t="e">
        <f t="shared" si="155"/>
        <v>#REF!</v>
      </c>
      <c r="M49" s="83" t="e">
        <f t="shared" si="155"/>
        <v>#REF!</v>
      </c>
      <c r="N49" s="83" t="e">
        <f t="shared" si="155"/>
        <v>#REF!</v>
      </c>
      <c r="O49" s="83" t="e">
        <f t="shared" si="155"/>
        <v>#REF!</v>
      </c>
      <c r="P49" s="83" t="e">
        <f t="shared" si="155"/>
        <v>#REF!</v>
      </c>
      <c r="Q49" s="83" t="e">
        <f t="shared" si="155"/>
        <v>#REF!</v>
      </c>
      <c r="R49" s="83" t="e">
        <f t="shared" si="155"/>
        <v>#REF!</v>
      </c>
      <c r="S49" s="83" t="e">
        <f t="shared" si="155"/>
        <v>#REF!</v>
      </c>
      <c r="T49" s="83" t="e">
        <f t="shared" si="155"/>
        <v>#REF!</v>
      </c>
      <c r="U49" s="83" t="e">
        <f t="shared" si="155"/>
        <v>#REF!</v>
      </c>
      <c r="V49" s="83" t="e">
        <f t="shared" si="155"/>
        <v>#REF!</v>
      </c>
      <c r="W49" s="83" t="e">
        <f t="shared" ref="W49:AB49" si="156">W47-W48</f>
        <v>#REF!</v>
      </c>
      <c r="X49" s="83" t="e">
        <f t="shared" si="156"/>
        <v>#REF!</v>
      </c>
      <c r="Y49" s="83" t="e">
        <f t="shared" si="156"/>
        <v>#REF!</v>
      </c>
      <c r="Z49" s="83" t="e">
        <f t="shared" si="156"/>
        <v>#REF!</v>
      </c>
      <c r="AA49" s="83" t="e">
        <f t="shared" si="156"/>
        <v>#REF!</v>
      </c>
      <c r="AB49" s="83" t="e">
        <f t="shared" si="156"/>
        <v>#REF!</v>
      </c>
      <c r="AC49" s="83" t="e">
        <f t="shared" ref="AC49:AD49" si="157">AC47-AC48</f>
        <v>#REF!</v>
      </c>
      <c r="AD49" s="83" t="e">
        <f t="shared" si="157"/>
        <v>#REF!</v>
      </c>
      <c r="AE49" s="108">
        <f t="shared" ref="AE49:AO49" si="158">AE47+AE48</f>
        <v>619.88800000000015</v>
      </c>
      <c r="AF49" s="108">
        <f t="shared" si="158"/>
        <v>645.93999999999994</v>
      </c>
      <c r="AG49" s="108">
        <f t="shared" si="158"/>
        <v>727.98900000000049</v>
      </c>
      <c r="AH49" s="108">
        <f t="shared" si="158"/>
        <v>863.65999999999963</v>
      </c>
      <c r="AI49" s="108">
        <f t="shared" si="158"/>
        <v>-873.74499999999989</v>
      </c>
      <c r="AJ49" s="108">
        <f t="shared" si="158"/>
        <v>760.25399999999968</v>
      </c>
      <c r="AK49" s="108">
        <f t="shared" si="158"/>
        <v>759.79500000000007</v>
      </c>
      <c r="AL49" s="108">
        <f t="shared" si="158"/>
        <v>-1085.2329999999999</v>
      </c>
      <c r="AM49" s="108">
        <f t="shared" si="158"/>
        <v>623.67000000000019</v>
      </c>
      <c r="AN49" s="108">
        <f t="shared" si="158"/>
        <v>1222.7190000000001</v>
      </c>
      <c r="AO49" s="108">
        <f t="shared" si="158"/>
        <v>738.10000000000025</v>
      </c>
      <c r="AP49" s="108">
        <f>+AP47-AP48</f>
        <v>661.75899999999956</v>
      </c>
      <c r="AQ49" s="108">
        <f t="shared" ref="AQ49:AX49" si="159">+AQ47-AQ48</f>
        <v>437.53099999999955</v>
      </c>
      <c r="AR49" s="108">
        <f t="shared" si="159"/>
        <v>706.07399999999961</v>
      </c>
      <c r="AS49" s="108">
        <f t="shared" si="159"/>
        <v>675.50500000000022</v>
      </c>
      <c r="AT49" s="108">
        <f t="shared" si="159"/>
        <v>759.76899999999989</v>
      </c>
      <c r="AU49" s="108">
        <f t="shared" si="159"/>
        <v>717.71000000000049</v>
      </c>
      <c r="AV49" s="108">
        <f t="shared" si="159"/>
        <v>861.28700000000049</v>
      </c>
      <c r="AW49" s="108">
        <f t="shared" si="159"/>
        <v>887.86700000000019</v>
      </c>
      <c r="AX49" s="108">
        <f t="shared" si="159"/>
        <v>949.69300000000021</v>
      </c>
      <c r="AY49" s="108">
        <f>+AY47-AY48</f>
        <v>2509.6500000000024</v>
      </c>
      <c r="AZ49" s="126">
        <f>+AZ47-AZ48</f>
        <v>3942.4540000000006</v>
      </c>
      <c r="BA49" s="108">
        <f t="shared" ref="BA49:BC49" si="160">+BA47-BA48</f>
        <v>3083.0460000000003</v>
      </c>
      <c r="BB49" s="108">
        <f t="shared" si="160"/>
        <v>3926</v>
      </c>
      <c r="BC49" s="108">
        <f t="shared" si="160"/>
        <v>4630</v>
      </c>
      <c r="BD49" s="108">
        <f>BD47-BD48</f>
        <v>4869</v>
      </c>
      <c r="BE49" s="108">
        <f>BE47-BE48</f>
        <v>4600</v>
      </c>
      <c r="BF49" s="142">
        <f t="shared" ref="BF49:BG49" si="161">BF47-BF48</f>
        <v>4919</v>
      </c>
      <c r="BG49" s="142">
        <f t="shared" si="161"/>
        <v>4319</v>
      </c>
      <c r="BH49" s="142">
        <f t="shared" ref="BH49:BM49" si="162">BH47-BH48</f>
        <v>3497</v>
      </c>
      <c r="BI49" s="142">
        <f t="shared" si="162"/>
        <v>3325</v>
      </c>
      <c r="BJ49" s="142">
        <f t="shared" si="162"/>
        <v>3608</v>
      </c>
      <c r="BK49" s="142">
        <f t="shared" si="162"/>
        <v>3001</v>
      </c>
      <c r="BL49" s="142">
        <f t="shared" si="162"/>
        <v>3069</v>
      </c>
      <c r="BM49" s="142">
        <f t="shared" si="162"/>
        <v>2712</v>
      </c>
      <c r="BN49" s="142">
        <f t="shared" ref="BN49:BP49" si="163">BN47-BN48</f>
        <v>3050</v>
      </c>
      <c r="BO49" s="142">
        <f t="shared" si="163"/>
        <v>2043</v>
      </c>
      <c r="BP49" s="142">
        <f t="shared" si="163"/>
        <v>2613</v>
      </c>
      <c r="BQ49" s="142">
        <f>BQ47-BQ48</f>
        <v>2097</v>
      </c>
      <c r="BR49" s="142">
        <f>BR47-BR48</f>
        <v>1873</v>
      </c>
      <c r="BS49" s="142">
        <f t="shared" ref="BS49:BT49" si="164">BS47-BS48</f>
        <v>2141</v>
      </c>
      <c r="BT49" s="142">
        <f t="shared" si="164"/>
        <v>2433</v>
      </c>
      <c r="BU49" s="142">
        <f t="shared" ref="BU49" si="165">BU47-BU48</f>
        <v>-1165</v>
      </c>
      <c r="BV49" s="142">
        <f>BV47-BV48</f>
        <v>1435</v>
      </c>
      <c r="BW49" s="142">
        <f t="shared" ref="BW49" si="166">BW47-BW48</f>
        <v>2139</v>
      </c>
      <c r="BX49" s="142">
        <f t="shared" ref="BX49:CD49" si="167">BX47-BX48</f>
        <v>1632</v>
      </c>
      <c r="BY49" s="142">
        <f t="shared" si="167"/>
        <v>2741</v>
      </c>
      <c r="BZ49" s="142">
        <f t="shared" si="167"/>
        <v>2761</v>
      </c>
      <c r="CA49" s="142">
        <f t="shared" si="167"/>
        <v>2578</v>
      </c>
      <c r="CB49" s="142">
        <f t="shared" si="167"/>
        <v>2489</v>
      </c>
      <c r="CC49" s="142">
        <f t="shared" si="167"/>
        <v>3454</v>
      </c>
      <c r="CD49" s="142">
        <f t="shared" si="167"/>
        <v>1619</v>
      </c>
      <c r="CE49" s="142">
        <f>CE47-CE48</f>
        <v>2676</v>
      </c>
      <c r="CF49" s="142">
        <f>CF47-CF48</f>
        <v>2410</v>
      </c>
      <c r="CG49" s="142">
        <f t="shared" ref="CG49:CM49" si="168">CG47-CG48</f>
        <v>2686</v>
      </c>
      <c r="CH49" s="142">
        <f t="shared" si="168"/>
        <v>2230</v>
      </c>
      <c r="CI49" s="142">
        <f t="shared" si="168"/>
        <v>2030</v>
      </c>
      <c r="CJ49" s="142">
        <f t="shared" si="168"/>
        <v>-2374</v>
      </c>
      <c r="CK49" s="142">
        <f t="shared" si="168"/>
        <v>-2385</v>
      </c>
      <c r="CL49" s="142">
        <f t="shared" si="168"/>
        <v>-3564</v>
      </c>
      <c r="CM49" s="142">
        <f t="shared" si="168"/>
        <v>2486</v>
      </c>
      <c r="CN49" s="142">
        <f>+CN47-CN48</f>
        <v>2665</v>
      </c>
      <c r="CO49" s="142"/>
      <c r="CP49" s="142"/>
      <c r="CQ49" s="142"/>
      <c r="CR49" s="142"/>
      <c r="CS49" s="142"/>
      <c r="CT49" s="142"/>
      <c r="CU49" s="155"/>
      <c r="CV49" s="155">
        <f t="shared" ref="CV49:DU49" si="169">CV47-CV48</f>
        <v>-201.26300000000001</v>
      </c>
      <c r="CW49" s="155">
        <f t="shared" si="169"/>
        <v>-202.291</v>
      </c>
      <c r="CX49" s="155">
        <f t="shared" si="169"/>
        <v>-303.21800000000002</v>
      </c>
      <c r="CY49" s="155">
        <f t="shared" si="169"/>
        <v>-308.92099999999999</v>
      </c>
      <c r="CZ49" s="155">
        <f t="shared" si="169"/>
        <v>-328.35799999999995</v>
      </c>
      <c r="DA49" s="155">
        <f t="shared" si="169"/>
        <v>-721.80100000000039</v>
      </c>
      <c r="DB49" s="75">
        <f t="shared" si="169"/>
        <v>-958.13769300000001</v>
      </c>
      <c r="DC49" s="83">
        <f t="shared" si="169"/>
        <v>-510.03170624625841</v>
      </c>
      <c r="DD49" s="83">
        <f t="shared" si="169"/>
        <v>-1061.099093109437</v>
      </c>
      <c r="DE49" s="83">
        <f>DE47-DE48</f>
        <v>-2084.0119999999997</v>
      </c>
      <c r="DF49" s="105">
        <f>DF47-DF48</f>
        <v>4671.4770000000008</v>
      </c>
      <c r="DG49" s="105">
        <f>DG47-DG48</f>
        <v>1715.0709999999999</v>
      </c>
      <c r="DH49" s="83">
        <f t="shared" si="169"/>
        <v>2787.1715200000008</v>
      </c>
      <c r="DI49" s="83">
        <f t="shared" si="169"/>
        <v>2578.8790000000008</v>
      </c>
      <c r="DJ49" s="83">
        <f>DJ47-DJ48</f>
        <v>3416.5569999999984</v>
      </c>
      <c r="DK49" s="93">
        <f>DK47-DK48</f>
        <v>14049.694799999997</v>
      </c>
      <c r="DL49" s="93">
        <f t="shared" si="169"/>
        <v>16410.747398850002</v>
      </c>
      <c r="DM49" s="93">
        <f t="shared" si="169"/>
        <v>17527.270986238662</v>
      </c>
      <c r="DN49" s="142">
        <f t="shared" si="169"/>
        <v>-1694.2093077462905</v>
      </c>
      <c r="DO49" s="142">
        <f t="shared" si="169"/>
        <v>-1700.6049478830323</v>
      </c>
      <c r="DP49" s="142">
        <f t="shared" si="169"/>
        <v>-1707.024731561291</v>
      </c>
      <c r="DQ49" s="139">
        <f t="shared" si="169"/>
        <v>4977.7036500770646</v>
      </c>
      <c r="DR49" s="142">
        <f t="shared" si="169"/>
        <v>6279.4508813561069</v>
      </c>
      <c r="DS49" s="142">
        <f t="shared" si="169"/>
        <v>5382.2974084332254</v>
      </c>
      <c r="DT49" s="155">
        <f t="shared" si="169"/>
        <v>4467.804781150061</v>
      </c>
      <c r="DU49" s="155">
        <f t="shared" si="169"/>
        <v>-907.26745580109764</v>
      </c>
      <c r="DV49" s="155">
        <f>DV47-DV48</f>
        <v>-983.34453044674683</v>
      </c>
      <c r="DW49" s="155">
        <f>+DV49*(1+$EA$54)</f>
        <v>-934.17730392440944</v>
      </c>
      <c r="DX49" s="155">
        <f t="shared" ref="DX49:GB49" si="170">+DW49*(1+$EA$54)</f>
        <v>-887.46843872818897</v>
      </c>
      <c r="DY49" s="155">
        <f t="shared" si="170"/>
        <v>-843.09501679177947</v>
      </c>
      <c r="DZ49" s="155">
        <f t="shared" si="170"/>
        <v>-800.94026595219043</v>
      </c>
      <c r="EA49" s="155">
        <f t="shared" si="170"/>
        <v>-760.89325265458092</v>
      </c>
      <c r="EB49" s="155">
        <f t="shared" si="170"/>
        <v>-722.84859002185181</v>
      </c>
      <c r="EC49" s="155">
        <f t="shared" si="170"/>
        <v>-686.70616052075923</v>
      </c>
      <c r="ED49" s="155">
        <f t="shared" si="170"/>
        <v>-652.37085249472125</v>
      </c>
      <c r="EE49" s="155">
        <f t="shared" si="170"/>
        <v>-619.7523098699852</v>
      </c>
      <c r="EF49" s="155">
        <f t="shared" si="170"/>
        <v>-588.76469437648586</v>
      </c>
      <c r="EG49" s="75">
        <f t="shared" si="170"/>
        <v>-559.32645965766153</v>
      </c>
      <c r="EH49" s="75">
        <f t="shared" si="170"/>
        <v>-531.36013667477846</v>
      </c>
      <c r="EI49" s="75">
        <f t="shared" si="170"/>
        <v>-504.79212984103953</v>
      </c>
      <c r="EJ49" s="75">
        <f t="shared" si="170"/>
        <v>-479.55252334898751</v>
      </c>
      <c r="EK49" s="75">
        <f t="shared" si="170"/>
        <v>-455.57489718153812</v>
      </c>
      <c r="EL49" s="75">
        <f t="shared" si="170"/>
        <v>-432.79615232246118</v>
      </c>
      <c r="EM49" s="75">
        <f t="shared" si="170"/>
        <v>-411.15634470633813</v>
      </c>
      <c r="EN49" s="75">
        <f t="shared" si="170"/>
        <v>-390.59852747102121</v>
      </c>
      <c r="EO49" s="75">
        <f t="shared" si="170"/>
        <v>-371.06860109747015</v>
      </c>
      <c r="EP49" s="75">
        <f t="shared" si="170"/>
        <v>-352.51517104259665</v>
      </c>
      <c r="EQ49" s="75">
        <f t="shared" si="170"/>
        <v>-334.88941249046678</v>
      </c>
      <c r="ER49" s="75">
        <f t="shared" si="170"/>
        <v>-318.14494186594345</v>
      </c>
      <c r="ES49" s="75">
        <f t="shared" si="170"/>
        <v>-302.23769477264625</v>
      </c>
      <c r="ET49" s="75">
        <f t="shared" si="170"/>
        <v>-287.12581003401391</v>
      </c>
      <c r="EU49" s="75">
        <f t="shared" si="170"/>
        <v>-272.76951953231321</v>
      </c>
      <c r="EV49" s="75">
        <f t="shared" si="170"/>
        <v>-259.13104355569754</v>
      </c>
      <c r="EW49" s="75">
        <f t="shared" si="170"/>
        <v>-246.17449137791266</v>
      </c>
      <c r="EX49" s="75">
        <f t="shared" si="170"/>
        <v>-233.865766809017</v>
      </c>
      <c r="EY49" s="75">
        <f t="shared" si="170"/>
        <v>-222.17247846856614</v>
      </c>
      <c r="EZ49" s="75">
        <f t="shared" si="170"/>
        <v>-211.06385454513781</v>
      </c>
      <c r="FA49" s="75">
        <f t="shared" si="170"/>
        <v>-200.5106618178809</v>
      </c>
      <c r="FB49" s="75">
        <f t="shared" si="170"/>
        <v>-190.48512872698686</v>
      </c>
      <c r="FC49" s="75">
        <f t="shared" si="170"/>
        <v>-180.9608722906375</v>
      </c>
      <c r="FD49" s="75">
        <f t="shared" si="170"/>
        <v>-171.91282867610562</v>
      </c>
      <c r="FE49" s="75">
        <f t="shared" si="170"/>
        <v>-163.31718724230032</v>
      </c>
      <c r="FF49" s="75">
        <f t="shared" si="170"/>
        <v>-155.15132788018531</v>
      </c>
      <c r="FG49" s="75">
        <f t="shared" si="170"/>
        <v>-147.39376148617603</v>
      </c>
      <c r="FH49" s="75">
        <f t="shared" si="170"/>
        <v>-140.02407341186722</v>
      </c>
      <c r="FI49" s="75">
        <f t="shared" si="170"/>
        <v>-133.02286974127387</v>
      </c>
      <c r="FJ49" s="75">
        <f t="shared" si="170"/>
        <v>-126.37172625421016</v>
      </c>
      <c r="FK49" s="75">
        <f t="shared" si="170"/>
        <v>-120.05313994149965</v>
      </c>
      <c r="FL49" s="75">
        <f t="shared" si="170"/>
        <v>-114.05048294442466</v>
      </c>
      <c r="FM49" s="75">
        <f t="shared" si="170"/>
        <v>-108.34795879720342</v>
      </c>
      <c r="FN49" s="75">
        <f t="shared" si="170"/>
        <v>-102.93056085734324</v>
      </c>
      <c r="FO49" s="75">
        <f t="shared" si="170"/>
        <v>-97.784032814476078</v>
      </c>
      <c r="FP49" s="75">
        <f t="shared" si="170"/>
        <v>-92.894831173752266</v>
      </c>
      <c r="FQ49" s="75">
        <f t="shared" si="170"/>
        <v>-88.250089615064653</v>
      </c>
      <c r="FR49" s="75">
        <f t="shared" si="170"/>
        <v>-83.837585134311411</v>
      </c>
      <c r="FS49" s="75">
        <f t="shared" si="170"/>
        <v>-79.64570587759583</v>
      </c>
      <c r="FT49" s="75">
        <f t="shared" si="170"/>
        <v>-75.663420583716032</v>
      </c>
      <c r="FU49" s="75">
        <f t="shared" si="170"/>
        <v>-71.880249554530224</v>
      </c>
      <c r="FV49" s="75">
        <f t="shared" si="170"/>
        <v>-68.286237076803715</v>
      </c>
      <c r="FW49" s="75">
        <f t="shared" si="170"/>
        <v>-64.871925222963526</v>
      </c>
      <c r="FX49" s="75">
        <f t="shared" si="170"/>
        <v>-61.628328961815349</v>
      </c>
      <c r="FY49" s="75">
        <f t="shared" si="170"/>
        <v>-58.546912513724578</v>
      </c>
      <c r="FZ49" s="75">
        <f t="shared" si="170"/>
        <v>-55.619566888038349</v>
      </c>
      <c r="GA49" s="75">
        <f t="shared" si="170"/>
        <v>-52.838588543636426</v>
      </c>
      <c r="GB49" s="75">
        <f t="shared" si="170"/>
        <v>-50.196659116454605</v>
      </c>
    </row>
    <row r="50" spans="2:184" s="15" customFormat="1" x14ac:dyDescent="0.2">
      <c r="B50" s="15" t="s">
        <v>20</v>
      </c>
      <c r="C50" s="131">
        <f>C49/C51</f>
        <v>-0.1811764705882353</v>
      </c>
      <c r="D50" s="131">
        <f t="shared" ref="D50:V50" si="171">D49/D51</f>
        <v>-0.17427138600188971</v>
      </c>
      <c r="E50" s="131">
        <f t="shared" si="171"/>
        <v>-0.18618306169965074</v>
      </c>
      <c r="F50" s="131">
        <f t="shared" si="171"/>
        <v>-0.21697076068507945</v>
      </c>
      <c r="G50" s="131">
        <f t="shared" si="171"/>
        <v>-0.23493404864668629</v>
      </c>
      <c r="H50" s="131">
        <f t="shared" si="171"/>
        <v>-0.23094555873925504</v>
      </c>
      <c r="I50" s="131">
        <f t="shared" si="171"/>
        <v>-0.21706535522122075</v>
      </c>
      <c r="J50" s="131">
        <f t="shared" si="171"/>
        <v>-5.9655347848206919E-2</v>
      </c>
      <c r="K50" s="131" t="e">
        <f t="shared" si="171"/>
        <v>#REF!</v>
      </c>
      <c r="L50" s="131" t="e">
        <f t="shared" si="171"/>
        <v>#REF!</v>
      </c>
      <c r="M50" s="131" t="e">
        <f t="shared" si="171"/>
        <v>#REF!</v>
      </c>
      <c r="N50" s="131" t="e">
        <f t="shared" si="171"/>
        <v>#REF!</v>
      </c>
      <c r="O50" s="131" t="e">
        <f t="shared" si="171"/>
        <v>#REF!</v>
      </c>
      <c r="P50" s="131" t="e">
        <f t="shared" si="171"/>
        <v>#REF!</v>
      </c>
      <c r="Q50" s="131" t="e">
        <f t="shared" si="171"/>
        <v>#REF!</v>
      </c>
      <c r="R50" s="131" t="e">
        <f t="shared" si="171"/>
        <v>#REF!</v>
      </c>
      <c r="S50" s="131" t="e">
        <f t="shared" si="171"/>
        <v>#REF!</v>
      </c>
      <c r="T50" s="131" t="e">
        <f t="shared" si="171"/>
        <v>#REF!</v>
      </c>
      <c r="U50" s="131" t="e">
        <f t="shared" si="171"/>
        <v>#REF!</v>
      </c>
      <c r="V50" s="131" t="e">
        <f t="shared" si="171"/>
        <v>#REF!</v>
      </c>
      <c r="W50" s="131" t="e">
        <f t="shared" ref="W50:AD50" si="172">W49/W51</f>
        <v>#REF!</v>
      </c>
      <c r="X50" s="131" t="e">
        <f t="shared" si="172"/>
        <v>#REF!</v>
      </c>
      <c r="Y50" s="131" t="e">
        <f t="shared" si="172"/>
        <v>#REF!</v>
      </c>
      <c r="Z50" s="131" t="e">
        <f t="shared" si="172"/>
        <v>#REF!</v>
      </c>
      <c r="AA50" s="131" t="e">
        <f t="shared" si="172"/>
        <v>#REF!</v>
      </c>
      <c r="AB50" s="131" t="e">
        <f t="shared" si="172"/>
        <v>#REF!</v>
      </c>
      <c r="AC50" s="131" t="e">
        <f t="shared" si="172"/>
        <v>#REF!</v>
      </c>
      <c r="AD50" s="131" t="e">
        <f t="shared" si="172"/>
        <v>#REF!</v>
      </c>
      <c r="AE50" s="132">
        <f t="shared" ref="AE50:AO50" si="173">AE49/AE51</f>
        <v>0.6571636357468319</v>
      </c>
      <c r="AF50" s="132">
        <f t="shared" si="173"/>
        <v>0.69121011529085952</v>
      </c>
      <c r="AG50" s="132">
        <f>AG49/AG51</f>
        <v>0.78074888677254184</v>
      </c>
      <c r="AH50" s="132">
        <f t="shared" si="173"/>
        <v>0.93236102189859771</v>
      </c>
      <c r="AI50" s="132">
        <f t="shared" si="173"/>
        <v>-0.94187556930572991</v>
      </c>
      <c r="AJ50" s="132">
        <f t="shared" si="173"/>
        <v>0.84589870631864328</v>
      </c>
      <c r="AK50" s="132">
        <f t="shared" si="173"/>
        <v>0.89680109722530432</v>
      </c>
      <c r="AL50" s="132">
        <f t="shared" si="173"/>
        <v>-1.3204098840357177</v>
      </c>
      <c r="AM50" s="132">
        <f>AM49/AM51</f>
        <v>0.76820178923135507</v>
      </c>
      <c r="AN50" s="132">
        <f t="shared" si="173"/>
        <v>1.5060768090932271</v>
      </c>
      <c r="AO50" s="131">
        <f t="shared" si="173"/>
        <v>0.92032418952618489</v>
      </c>
      <c r="AP50" s="131">
        <f t="shared" ref="AP50:AY50" si="174">AP49/AP51</f>
        <v>0.8635476285549486</v>
      </c>
      <c r="AQ50" s="131">
        <f t="shared" si="174"/>
        <v>0.56282191132355985</v>
      </c>
      <c r="AR50" s="131">
        <f t="shared" si="174"/>
        <v>0.90463622316804693</v>
      </c>
      <c r="AS50" s="131">
        <f t="shared" si="174"/>
        <v>0.85258309941638599</v>
      </c>
      <c r="AT50" s="131">
        <f t="shared" si="174"/>
        <v>0.46414008096819726</v>
      </c>
      <c r="AU50" s="131">
        <f t="shared" si="174"/>
        <v>0.4310415240291644</v>
      </c>
      <c r="AV50" s="131">
        <f t="shared" si="174"/>
        <v>0.50826076360059202</v>
      </c>
      <c r="AW50" s="131">
        <f t="shared" si="174"/>
        <v>0.5247757252505767</v>
      </c>
      <c r="AX50" s="131">
        <f t="shared" si="174"/>
        <v>0.56062160566706032</v>
      </c>
      <c r="AY50" s="131">
        <f t="shared" si="174"/>
        <v>1.4939540000392901</v>
      </c>
      <c r="AZ50" s="131">
        <f>AZ49/AZ51</f>
        <v>2.3686724765157732</v>
      </c>
      <c r="BA50" s="131">
        <f t="shared" ref="BA50:BE50" si="175">BA49/BA51</f>
        <v>1.8199799291617476</v>
      </c>
      <c r="BB50" s="131">
        <f t="shared" si="175"/>
        <v>2.4583594239198496</v>
      </c>
      <c r="BC50" s="131">
        <f t="shared" si="175"/>
        <v>2.9509241555130656</v>
      </c>
      <c r="BD50" s="131">
        <f t="shared" si="175"/>
        <v>3.1616883116883119</v>
      </c>
      <c r="BE50" s="131">
        <f t="shared" si="175"/>
        <v>3.0605455755156354</v>
      </c>
      <c r="BF50" s="143">
        <f t="shared" ref="BF50:BG50" si="176">BF49/BF51</f>
        <v>3.3417119565217392</v>
      </c>
      <c r="BG50" s="143">
        <f t="shared" si="176"/>
        <v>3.0587818696883851</v>
      </c>
      <c r="BH50" s="143">
        <f t="shared" ref="BH50:BM50" si="177">BH49/BH51</f>
        <v>2.5808118081180811</v>
      </c>
      <c r="BI50" s="143">
        <f t="shared" si="177"/>
        <v>2.4831964152352501</v>
      </c>
      <c r="BJ50" s="143">
        <f t="shared" si="177"/>
        <v>2.7189148455162018</v>
      </c>
      <c r="BK50" s="143">
        <f t="shared" si="177"/>
        <v>2.2734848484848484</v>
      </c>
      <c r="BL50" s="143">
        <f t="shared" si="177"/>
        <v>2.3302961275626424</v>
      </c>
      <c r="BM50" s="143">
        <f t="shared" si="177"/>
        <v>2.0561031084154662</v>
      </c>
      <c r="BN50" s="143">
        <f t="shared" ref="BN50:BO50" si="178">BN49/BN51</f>
        <v>2.3335883703136955</v>
      </c>
      <c r="BO50" s="143">
        <f t="shared" si="178"/>
        <v>1.5477272727272726</v>
      </c>
      <c r="BP50" s="143">
        <f t="shared" ref="BP50:BQ50" si="179">BP49/BP51</f>
        <v>1.9977064220183487</v>
      </c>
      <c r="BQ50" s="143">
        <f t="shared" si="179"/>
        <v>1.6044376434583014</v>
      </c>
      <c r="BR50" s="143">
        <f t="shared" ref="BR50:BT50" si="180">BR49/BR51</f>
        <v>1.4418783679753657</v>
      </c>
      <c r="BS50" s="143">
        <f t="shared" si="180"/>
        <v>1.6687451286048325</v>
      </c>
      <c r="BT50" s="143">
        <f t="shared" si="180"/>
        <v>1.9052466718872356</v>
      </c>
      <c r="BU50" s="143">
        <f t="shared" ref="BU50" si="181">BU49/BU51</f>
        <v>-0.91949486977111283</v>
      </c>
      <c r="BV50" s="143">
        <f t="shared" ref="BV50:BW50" si="182">BV49/BV51</f>
        <v>1.1272584446190101</v>
      </c>
      <c r="BW50" s="143">
        <f t="shared" si="182"/>
        <v>1.684251968503937</v>
      </c>
      <c r="BX50" s="143">
        <f t="shared" ref="BX50:CA50" si="183">BX49/BX51</f>
        <v>1.300398406374502</v>
      </c>
      <c r="BY50" s="143">
        <f t="shared" si="183"/>
        <v>2.1736716891356065</v>
      </c>
      <c r="BZ50" s="143">
        <f t="shared" si="183"/>
        <v>2.193010325655282</v>
      </c>
      <c r="CA50" s="143">
        <f t="shared" si="183"/>
        <v>2.0427892234548337</v>
      </c>
      <c r="CB50" s="143">
        <f t="shared" ref="CB50" si="184">CB49/CB51</f>
        <v>1.9753968253968255</v>
      </c>
      <c r="CC50" s="143">
        <f t="shared" ref="CC50:CD50" si="185">CC49/CC51</f>
        <v>2.7369255150554674</v>
      </c>
      <c r="CD50" s="143">
        <f t="shared" si="185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86">CG49/CG51</f>
        <v>2.1300555114988104</v>
      </c>
      <c r="CH50" s="143">
        <f t="shared" ref="CH50" si="187">CH49/CH51</f>
        <v>1.764240506329114</v>
      </c>
      <c r="CI50" s="143">
        <f t="shared" ref="CI50" si="188">CI49/CI51</f>
        <v>1.6098334655035687</v>
      </c>
      <c r="CJ50" s="143">
        <f t="shared" ref="CJ50" si="189">CJ49/CJ51</f>
        <v>-1.8826328310864393</v>
      </c>
      <c r="CK50" s="143">
        <f t="shared" ref="CK50" si="190">CK49/CK51</f>
        <v>-1.8913560666137985</v>
      </c>
      <c r="CL50" s="143">
        <f t="shared" ref="CL50:CN50" si="191">CL49/CL51</f>
        <v>-2.8263283108643935</v>
      </c>
      <c r="CM50" s="143">
        <f t="shared" si="191"/>
        <v>1.9935846030473134</v>
      </c>
      <c r="CN50" s="143">
        <f t="shared" si="191"/>
        <v>2.1302957633892885</v>
      </c>
      <c r="CO50" s="143"/>
      <c r="CP50" s="143"/>
      <c r="CQ50" s="143"/>
      <c r="CR50" s="143"/>
      <c r="CS50" s="143"/>
      <c r="CT50" s="143"/>
      <c r="CU50" s="13"/>
      <c r="CV50" s="156">
        <f t="shared" ref="CV50:DH50" si="192">CV49/CV51</f>
        <v>-0.58744053004874341</v>
      </c>
      <c r="CW50" s="156">
        <f t="shared" si="192"/>
        <v>-0.55544236926067692</v>
      </c>
      <c r="CX50" s="156">
        <f t="shared" si="192"/>
        <v>-0.7493488070936779</v>
      </c>
      <c r="CY50" s="156">
        <f t="shared" si="192"/>
        <v>-0.74807605689737833</v>
      </c>
      <c r="CZ50" s="156">
        <f t="shared" si="192"/>
        <v>-0.81638447577136308</v>
      </c>
      <c r="DA50" s="156">
        <f t="shared" si="192"/>
        <v>-1.5622941753866506</v>
      </c>
      <c r="DB50" s="133">
        <f t="shared" si="192"/>
        <v>-2.0220124848713792</v>
      </c>
      <c r="DC50" s="131"/>
      <c r="DD50" s="131">
        <f t="shared" si="192"/>
        <v>-1.0998806083911572</v>
      </c>
      <c r="DE50" s="131">
        <f>DE49/DE51</f>
        <v>-2.1692810134356204</v>
      </c>
      <c r="DF50" s="132">
        <f>DF49/DF51</f>
        <v>5.00088130061022</v>
      </c>
      <c r="DG50" s="132">
        <f>DG49/DG51</f>
        <v>1.9625837174660143</v>
      </c>
      <c r="DH50" s="131">
        <f t="shared" si="192"/>
        <v>3.3911692913050526</v>
      </c>
      <c r="DI50" s="131">
        <f t="shared" ref="DI50:DN50" si="193">DI49/DI51</f>
        <v>2.5871987844912288</v>
      </c>
      <c r="DJ50" s="131">
        <f t="shared" si="193"/>
        <v>2.025966509698637</v>
      </c>
      <c r="DK50" s="131">
        <f t="shared" si="193"/>
        <v>8.469684532060862</v>
      </c>
      <c r="DL50" s="131">
        <f t="shared" si="193"/>
        <v>9.8930158542374826</v>
      </c>
      <c r="DM50" s="131">
        <f t="shared" si="193"/>
        <v>10.566098272923677</v>
      </c>
      <c r="DN50" s="143">
        <f t="shared" si="193"/>
        <v>-1.0213331016907428</v>
      </c>
      <c r="DO50" s="143">
        <f t="shared" ref="DO50:DQ50" si="194">DO49/DO51</f>
        <v>-1.025188634149625</v>
      </c>
      <c r="DP50" s="143">
        <f t="shared" si="194"/>
        <v>-1.02905872124354</v>
      </c>
      <c r="DQ50" s="143">
        <f t="shared" si="194"/>
        <v>3.000747006279497</v>
      </c>
      <c r="DR50" s="143">
        <f t="shared" ref="DR50:DV50" si="195">DR49/DR51</f>
        <v>3.7854892050507587</v>
      </c>
      <c r="DS50" s="143">
        <f t="shared" si="195"/>
        <v>3.2446513433984459</v>
      </c>
      <c r="DT50" s="156">
        <f t="shared" si="195"/>
        <v>2.6933607872517089</v>
      </c>
      <c r="DU50" s="156">
        <f t="shared" si="195"/>
        <v>-0.54693495098845635</v>
      </c>
      <c r="DV50" s="156">
        <f t="shared" si="195"/>
        <v>-0.59279707337211796</v>
      </c>
      <c r="DW50" s="13"/>
      <c r="DX50" s="13"/>
      <c r="DY50" s="13"/>
      <c r="DZ50" s="13"/>
      <c r="EA50" s="13"/>
      <c r="EB50" s="13"/>
      <c r="EC50" s="13"/>
      <c r="ED50" s="13"/>
      <c r="EE50" s="13"/>
      <c r="EF50" s="13"/>
    </row>
    <row r="51" spans="2:184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1597</v>
      </c>
      <c r="BC51" s="82">
        <v>1569</v>
      </c>
      <c r="BD51" s="82">
        <v>1540</v>
      </c>
      <c r="BE51" s="82">
        <v>1503</v>
      </c>
      <c r="BF51" s="82">
        <v>1472</v>
      </c>
      <c r="BG51" s="82">
        <v>1412</v>
      </c>
      <c r="BH51" s="82">
        <v>1355</v>
      </c>
      <c r="BI51" s="82">
        <v>1339</v>
      </c>
      <c r="BJ51" s="82">
        <v>1327</v>
      </c>
      <c r="BK51" s="82">
        <v>1320</v>
      </c>
      <c r="BL51" s="82">
        <v>1317</v>
      </c>
      <c r="BM51" s="82">
        <v>1319</v>
      </c>
      <c r="BN51" s="82">
        <v>1307</v>
      </c>
      <c r="BO51" s="82">
        <v>1320</v>
      </c>
      <c r="BP51" s="82">
        <v>1308</v>
      </c>
      <c r="BQ51" s="140">
        <v>1307</v>
      </c>
      <c r="BR51" s="140">
        <v>1299</v>
      </c>
      <c r="BS51" s="140">
        <v>1283</v>
      </c>
      <c r="BT51" s="82">
        <v>1277</v>
      </c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96">+CI51</f>
        <v>1261</v>
      </c>
      <c r="CK51" s="140">
        <f t="shared" si="196"/>
        <v>1261</v>
      </c>
      <c r="CL51" s="140">
        <f t="shared" si="196"/>
        <v>1261</v>
      </c>
      <c r="CM51" s="140">
        <v>1247</v>
      </c>
      <c r="CN51" s="140">
        <v>1251</v>
      </c>
      <c r="CO51" s="140"/>
      <c r="CP51" s="140"/>
      <c r="CQ51" s="140"/>
      <c r="CR51" s="140"/>
      <c r="CS51" s="140"/>
      <c r="CT51" s="140"/>
      <c r="CU51" s="79"/>
      <c r="CV51" s="79">
        <v>342.61</v>
      </c>
      <c r="CW51" s="79">
        <v>364.19799999999998</v>
      </c>
      <c r="CX51" s="79">
        <v>404.642</v>
      </c>
      <c r="CY51" s="79">
        <v>412.95400000000001</v>
      </c>
      <c r="CZ51" s="79">
        <v>402.21</v>
      </c>
      <c r="DA51" s="79">
        <v>462.01350000000002</v>
      </c>
      <c r="DB51" s="17">
        <v>473.8535</v>
      </c>
      <c r="DC51" s="82">
        <f>AVERAGE(S51:V51)*2</f>
        <v>938.63900000000001</v>
      </c>
      <c r="DD51" s="82">
        <f>AVERAGE(W51:Z51)</f>
        <v>964.74024999999995</v>
      </c>
      <c r="DE51" s="82">
        <f>AVERAGE(AA51:AD51)</f>
        <v>960.6925</v>
      </c>
      <c r="DF51" s="104">
        <f>AVERAGE(AE51:AH51)</f>
        <v>934.13075000000003</v>
      </c>
      <c r="DG51" s="104">
        <f>AVERAGE(AI51:AL51)</f>
        <v>873.88425000000007</v>
      </c>
      <c r="DH51" s="82">
        <f>AL51</f>
        <v>821.89099999999996</v>
      </c>
      <c r="DI51" s="82">
        <f>AVERAGE(AQ51:AT51)</f>
        <v>996.78424999999993</v>
      </c>
      <c r="DJ51" s="82">
        <f>AVERAGE(AU51:AX51)</f>
        <v>1686.38375</v>
      </c>
      <c r="DK51" s="82">
        <f>AVERAGE(AY51:BB51)</f>
        <v>1658.8215</v>
      </c>
      <c r="DL51" s="82">
        <f t="shared" ref="DL51:DN51" si="197">DK51</f>
        <v>1658.8215</v>
      </c>
      <c r="DM51" s="82">
        <f t="shared" si="197"/>
        <v>1658.8215</v>
      </c>
      <c r="DN51" s="140">
        <f t="shared" si="197"/>
        <v>1658.8215</v>
      </c>
      <c r="DO51" s="140">
        <f>DN51</f>
        <v>1658.8215</v>
      </c>
      <c r="DP51" s="140">
        <f>DO51</f>
        <v>1658.8215</v>
      </c>
      <c r="DQ51" s="140">
        <f>DP51</f>
        <v>1658.8215</v>
      </c>
      <c r="DR51" s="140">
        <f t="shared" ref="DR51:DV51" si="198">DQ51</f>
        <v>1658.8215</v>
      </c>
      <c r="DS51" s="140">
        <f t="shared" si="198"/>
        <v>1658.8215</v>
      </c>
      <c r="DT51" s="79">
        <f t="shared" si="198"/>
        <v>1658.8215</v>
      </c>
      <c r="DU51" s="79">
        <f t="shared" si="198"/>
        <v>1658.8215</v>
      </c>
      <c r="DV51" s="79">
        <f t="shared" si="198"/>
        <v>1658.8215</v>
      </c>
      <c r="DW51" s="79"/>
      <c r="DX51" s="79"/>
      <c r="DY51" s="79"/>
      <c r="DZ51" s="79"/>
      <c r="EA51" s="79"/>
      <c r="EB51" s="79"/>
      <c r="EC51" s="79"/>
      <c r="ED51" s="79"/>
      <c r="EE51" s="79"/>
      <c r="EF51" s="79"/>
    </row>
    <row r="52" spans="2:184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79"/>
      <c r="CV52" s="79"/>
      <c r="CW52" s="79"/>
      <c r="CX52" s="79"/>
      <c r="CY52" s="79"/>
      <c r="CZ52" s="79"/>
      <c r="DA52" s="79"/>
      <c r="DC52" s="82"/>
      <c r="DD52" s="82"/>
      <c r="DE52" s="82"/>
      <c r="DF52" s="104"/>
      <c r="DG52" s="104"/>
      <c r="DH52" s="82"/>
      <c r="DI52" s="82"/>
      <c r="DJ52" s="82"/>
      <c r="DK52" s="82"/>
      <c r="DL52" s="82"/>
      <c r="DM52" s="82"/>
      <c r="DN52" s="140"/>
      <c r="DO52" s="140"/>
      <c r="DP52" s="140"/>
      <c r="DQ52" s="139"/>
      <c r="DR52" s="140"/>
      <c r="DS52" s="140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</row>
    <row r="53" spans="2:184" s="24" customFormat="1" x14ac:dyDescent="0.2">
      <c r="B53" s="117" t="s">
        <v>589</v>
      </c>
      <c r="C53" s="78">
        <f t="shared" ref="C53:R53" si="199">(C39-C40)/C39</f>
        <v>-1.2395387762692951</v>
      </c>
      <c r="D53" s="78">
        <f t="shared" si="199"/>
        <v>-1.6299539854534659</v>
      </c>
      <c r="E53" s="78">
        <f t="shared" si="199"/>
        <v>-3.6581469648562304</v>
      </c>
      <c r="F53" s="78">
        <f t="shared" si="199"/>
        <v>-4.0005115089514067</v>
      </c>
      <c r="G53" s="78">
        <f t="shared" si="199"/>
        <v>-1.8943661971830985</v>
      </c>
      <c r="H53" s="78">
        <f t="shared" si="199"/>
        <v>-3.5637526652452025</v>
      </c>
      <c r="I53" s="78">
        <f t="shared" si="199"/>
        <v>-4.3202051282051279</v>
      </c>
      <c r="J53" s="78">
        <f t="shared" si="199"/>
        <v>-4.6163713080168778</v>
      </c>
      <c r="K53" s="78" t="e">
        <f t="shared" si="199"/>
        <v>#REF!</v>
      </c>
      <c r="L53" s="78" t="e">
        <f t="shared" si="199"/>
        <v>#REF!</v>
      </c>
      <c r="M53" s="78" t="e">
        <f t="shared" si="199"/>
        <v>#REF!</v>
      </c>
      <c r="N53" s="78" t="e">
        <f t="shared" si="199"/>
        <v>#REF!</v>
      </c>
      <c r="O53" s="78" t="e">
        <f t="shared" si="199"/>
        <v>#REF!</v>
      </c>
      <c r="P53" s="78" t="e">
        <f t="shared" si="199"/>
        <v>#REF!</v>
      </c>
      <c r="Q53" s="78" t="e">
        <f t="shared" si="199"/>
        <v>#REF!</v>
      </c>
      <c r="R53" s="78" t="e">
        <f t="shared" si="199"/>
        <v>#REF!</v>
      </c>
      <c r="S53" s="86" t="e">
        <f t="shared" ref="S53:AQ53" si="200">S41/S39</f>
        <v>#REF!</v>
      </c>
      <c r="T53" s="86" t="e">
        <f t="shared" si="200"/>
        <v>#REF!</v>
      </c>
      <c r="U53" s="86" t="e">
        <f t="shared" si="200"/>
        <v>#REF!</v>
      </c>
      <c r="V53" s="86" t="e">
        <f t="shared" si="200"/>
        <v>#REF!</v>
      </c>
      <c r="W53" s="86" t="e">
        <f t="shared" si="200"/>
        <v>#REF!</v>
      </c>
      <c r="X53" s="86" t="e">
        <f t="shared" si="200"/>
        <v>#REF!</v>
      </c>
      <c r="Y53" s="86" t="e">
        <f t="shared" si="200"/>
        <v>#REF!</v>
      </c>
      <c r="Z53" s="86" t="e">
        <f t="shared" si="200"/>
        <v>#REF!</v>
      </c>
      <c r="AA53" s="86" t="e">
        <f t="shared" si="200"/>
        <v>#REF!</v>
      </c>
      <c r="AB53" s="86" t="e">
        <f t="shared" si="200"/>
        <v>#REF!</v>
      </c>
      <c r="AC53" s="86" t="e">
        <f t="shared" si="200"/>
        <v>#REF!</v>
      </c>
      <c r="AD53" s="86" t="e">
        <f t="shared" si="200"/>
        <v>#REF!</v>
      </c>
      <c r="AE53" s="106">
        <f t="shared" si="200"/>
        <v>0.78688760242018752</v>
      </c>
      <c r="AF53" s="106">
        <f t="shared" si="200"/>
        <v>0.76906484210654125</v>
      </c>
      <c r="AG53" s="106">
        <f t="shared" si="200"/>
        <v>0.77256439336534199</v>
      </c>
      <c r="AH53" s="106">
        <f t="shared" si="200"/>
        <v>0.77777444204052615</v>
      </c>
      <c r="AI53" s="106">
        <f t="shared" si="200"/>
        <v>-0.40238087242687792</v>
      </c>
      <c r="AJ53" s="106">
        <f t="shared" si="200"/>
        <v>0.77400914475950899</v>
      </c>
      <c r="AK53" s="106">
        <f t="shared" si="200"/>
        <v>0.76264479377258387</v>
      </c>
      <c r="AL53" s="106">
        <f t="shared" si="200"/>
        <v>-6.0084880714108309</v>
      </c>
      <c r="AM53" s="106">
        <f t="shared" si="200"/>
        <v>0.75075374084142454</v>
      </c>
      <c r="AN53" s="106">
        <f t="shared" si="200"/>
        <v>0.7502106676186675</v>
      </c>
      <c r="AO53" s="86">
        <f t="shared" si="200"/>
        <v>0.74931674677221749</v>
      </c>
      <c r="AP53" s="86">
        <f t="shared" si="200"/>
        <v>0.73438790971369461</v>
      </c>
      <c r="AQ53" s="86">
        <f t="shared" si="200"/>
        <v>0.74547908847032285</v>
      </c>
      <c r="AR53" s="86">
        <f t="shared" ref="AR53:AS53" si="201">AR41/AR39</f>
        <v>0.74332754306735527</v>
      </c>
      <c r="AS53" s="86">
        <f t="shared" si="201"/>
        <v>0.75386559861402613</v>
      </c>
      <c r="AT53" s="86">
        <f t="shared" ref="AT53:AU53" si="202">AT41/AT39</f>
        <v>0.73889351443137052</v>
      </c>
      <c r="AU53" s="86">
        <f t="shared" si="202"/>
        <v>0.74939199371157383</v>
      </c>
      <c r="AV53" s="86">
        <f t="shared" ref="AV53:BE53" si="203">AV41/AV39</f>
        <v>0.76123132448794784</v>
      </c>
      <c r="AW53" s="86">
        <f t="shared" si="203"/>
        <v>0.76326966080968572</v>
      </c>
      <c r="AX53" s="86">
        <f t="shared" si="203"/>
        <v>0.75079251214651077</v>
      </c>
      <c r="AY53" s="86">
        <f t="shared" si="203"/>
        <v>0.87770786540229617</v>
      </c>
      <c r="AZ53" s="86">
        <f>AZ41/AZ39</f>
        <v>0.88936972109895418</v>
      </c>
      <c r="BA53" s="86">
        <f t="shared" si="203"/>
        <v>0.88</v>
      </c>
      <c r="BB53" s="86">
        <f t="shared" si="203"/>
        <v>0.88419469510527759</v>
      </c>
      <c r="BC53" s="86">
        <f t="shared" si="203"/>
        <v>0.91124572030550433</v>
      </c>
      <c r="BD53" s="86">
        <f t="shared" si="203"/>
        <v>0.90441533236293059</v>
      </c>
      <c r="BE53" s="86">
        <f t="shared" si="203"/>
        <v>0.87172995780590712</v>
      </c>
      <c r="BF53" s="144">
        <f t="shared" ref="BF53" si="204">BF41/BF39</f>
        <v>0.89924758993651543</v>
      </c>
      <c r="BG53" s="144">
        <f t="shared" ref="BG53" si="205">BG41/BG39</f>
        <v>0.87387734154477803</v>
      </c>
      <c r="BH53" s="144">
        <f t="shared" ref="BH53:BI53" si="206">BH41/BH39</f>
        <v>0.88888888888888884</v>
      </c>
      <c r="BI53" s="144">
        <f t="shared" si="206"/>
        <v>0.8494666666666667</v>
      </c>
      <c r="BJ53" s="144">
        <f t="shared" ref="BJ53" si="207">BJ41/BJ39</f>
        <v>0.88251366120218577</v>
      </c>
      <c r="BK53" s="144">
        <f t="shared" ref="BK53:BM53" si="208">BK41/BK39</f>
        <v>0.88578016910069179</v>
      </c>
      <c r="BL53" s="144">
        <f t="shared" si="208"/>
        <v>0.84231900294076456</v>
      </c>
      <c r="BM53" s="144">
        <f t="shared" si="208"/>
        <v>0.84152334152334152</v>
      </c>
      <c r="BN53" s="144">
        <f t="shared" ref="BN53:BO53" si="209">BN41/BN39</f>
        <v>0.83761976802824001</v>
      </c>
      <c r="BO53" s="144">
        <f t="shared" si="209"/>
        <v>0.86497641509433965</v>
      </c>
      <c r="BP53" s="144">
        <f t="shared" ref="BP53:BQ53" si="210">BP41/BP39</f>
        <v>0.84507790368271951</v>
      </c>
      <c r="BQ53" s="144">
        <f t="shared" si="210"/>
        <v>0.80593280914939247</v>
      </c>
      <c r="BR53" s="144">
        <f t="shared" ref="BR53:BT53" si="211">BR41/BR39</f>
        <v>0.78308886971527181</v>
      </c>
      <c r="BS53" s="144">
        <f t="shared" si="211"/>
        <v>0.87237265669380804</v>
      </c>
      <c r="BT53" s="144">
        <f t="shared" si="211"/>
        <v>0.87440633245382582</v>
      </c>
      <c r="BU53" s="144">
        <f t="shared" ref="BU53" si="212">BU41/BU39</f>
        <v>0.81531049250535337</v>
      </c>
      <c r="BV53" s="144">
        <f t="shared" ref="BV53:BW53" si="213">BV41/BV39</f>
        <v>0.75897261439020236</v>
      </c>
      <c r="BW53" s="144">
        <f t="shared" si="213"/>
        <v>0.87328767123287676</v>
      </c>
      <c r="BX53" s="144">
        <f t="shared" ref="BX53:BZ53" si="214">BX41/BX39</f>
        <v>0.84483764339879452</v>
      </c>
      <c r="BY53" s="144">
        <f t="shared" si="214"/>
        <v>0.86696062034362176</v>
      </c>
      <c r="BZ53" s="144">
        <f t="shared" si="214"/>
        <v>0.87629699501414904</v>
      </c>
      <c r="CA53" s="144">
        <f t="shared" ref="CA53:CE53" si="215">CA41/CA39</f>
        <v>0.86688463334890242</v>
      </c>
      <c r="CB53" s="144">
        <f t="shared" ref="CB53" si="216">CB41/CB39</f>
        <v>0.86552999839150713</v>
      </c>
      <c r="CC53" s="144">
        <f t="shared" ref="CC53" si="217">CC41/CC39</f>
        <v>0.90082199164533083</v>
      </c>
      <c r="CD53" s="144">
        <f t="shared" si="215"/>
        <v>0.70854618252105483</v>
      </c>
      <c r="CE53" s="144">
        <f t="shared" si="215"/>
        <v>0.87479131886477457</v>
      </c>
      <c r="CF53" s="144">
        <f t="shared" ref="CF53:CN53" si="218">CF41/CF39</f>
        <v>0.85848905925570995</v>
      </c>
      <c r="CG53" s="144">
        <f t="shared" si="218"/>
        <v>0.8689292814541324</v>
      </c>
      <c r="CH53" s="144">
        <f t="shared" si="218"/>
        <v>0.86899445121125996</v>
      </c>
      <c r="CI53" s="144">
        <f t="shared" si="218"/>
        <v>0.86287783375314864</v>
      </c>
      <c r="CJ53" s="144">
        <f t="shared" si="218"/>
        <v>0</v>
      </c>
      <c r="CK53" s="144">
        <f t="shared" si="218"/>
        <v>0</v>
      </c>
      <c r="CL53" s="144">
        <f t="shared" si="218"/>
        <v>0</v>
      </c>
      <c r="CM53" s="144">
        <f t="shared" si="218"/>
        <v>0.85434425003738601</v>
      </c>
      <c r="CN53" s="144">
        <f t="shared" si="218"/>
        <v>0.861230946218004</v>
      </c>
      <c r="CO53" s="144"/>
      <c r="CP53" s="144"/>
      <c r="CQ53" s="144"/>
      <c r="CR53" s="144"/>
      <c r="CS53" s="144"/>
      <c r="CT53" s="144"/>
      <c r="CU53" s="157"/>
      <c r="CV53" s="157">
        <f t="shared" ref="CV53:DC53" si="219">(CV39-CV40)/CV39</f>
        <v>1</v>
      </c>
      <c r="CW53" s="157">
        <f t="shared" si="219"/>
        <v>1</v>
      </c>
      <c r="CX53" s="157">
        <f t="shared" si="219"/>
        <v>1</v>
      </c>
      <c r="CY53" s="157">
        <f t="shared" si="219"/>
        <v>1</v>
      </c>
      <c r="CZ53" s="157">
        <f t="shared" si="219"/>
        <v>1</v>
      </c>
      <c r="DA53" s="157">
        <f t="shared" si="219"/>
        <v>1</v>
      </c>
      <c r="DB53" s="24">
        <f t="shared" si="219"/>
        <v>1</v>
      </c>
      <c r="DC53" s="78">
        <f t="shared" si="219"/>
        <v>1</v>
      </c>
      <c r="DD53" s="78">
        <f>DD41/DD39</f>
        <v>0</v>
      </c>
      <c r="DE53" s="78">
        <f t="shared" ref="DE53:DH53" si="220">(DE39-DE40)/DE39</f>
        <v>1</v>
      </c>
      <c r="DF53" s="136">
        <f t="shared" si="220"/>
        <v>0.77637888696299129</v>
      </c>
      <c r="DG53" s="136">
        <f t="shared" si="220"/>
        <v>0.45674803683715687</v>
      </c>
      <c r="DH53" s="78">
        <f t="shared" si="220"/>
        <v>0.74594373840739259</v>
      </c>
      <c r="DI53" s="78">
        <f>DI41/DI39</f>
        <v>0.74528640351776765</v>
      </c>
      <c r="DJ53" s="78">
        <f>DJ41/DJ39</f>
        <v>0.75615460812691804</v>
      </c>
      <c r="DK53" s="78">
        <f t="shared" ref="DK53:DQ53" si="221">DK41/DK39</f>
        <v>0.87999999999999989</v>
      </c>
      <c r="DL53" s="78">
        <f t="shared" si="221"/>
        <v>0.88</v>
      </c>
      <c r="DM53" s="78">
        <f t="shared" si="221"/>
        <v>0.88</v>
      </c>
      <c r="DN53" s="169" t="e">
        <f t="shared" si="221"/>
        <v>#DIV/0!</v>
      </c>
      <c r="DO53" s="169" t="e">
        <f t="shared" si="221"/>
        <v>#DIV/0!</v>
      </c>
      <c r="DP53" s="169" t="e">
        <f t="shared" si="221"/>
        <v>#DIV/0!</v>
      </c>
      <c r="DQ53" s="169">
        <f t="shared" si="221"/>
        <v>0.88</v>
      </c>
      <c r="DR53" s="169">
        <f t="shared" ref="DR53:DV53" si="222">DR41/DR39</f>
        <v>0.88</v>
      </c>
      <c r="DS53" s="169">
        <f t="shared" si="222"/>
        <v>0.88</v>
      </c>
      <c r="DT53" s="157">
        <f t="shared" si="222"/>
        <v>0.88</v>
      </c>
      <c r="DU53" s="157">
        <f t="shared" si="222"/>
        <v>0.88</v>
      </c>
      <c r="DV53" s="157">
        <f t="shared" si="222"/>
        <v>0.88</v>
      </c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</row>
    <row r="54" spans="2:184" s="24" customFormat="1" x14ac:dyDescent="0.2">
      <c r="B54" s="24" t="s">
        <v>471</v>
      </c>
      <c r="C54" s="78">
        <f t="shared" ref="C54:AP54" si="223">C48/C47</f>
        <v>1.354160813620273E-2</v>
      </c>
      <c r="D54" s="78">
        <f t="shared" si="223"/>
        <v>-8.9486086175942538E-3</v>
      </c>
      <c r="E54" s="78">
        <f t="shared" si="223"/>
        <v>-7.2162378471994446E-3</v>
      </c>
      <c r="F54" s="78">
        <f t="shared" si="223"/>
        <v>-1.210076473234368E-2</v>
      </c>
      <c r="G54" s="78">
        <f t="shared" si="223"/>
        <v>-2.9383174266525272E-2</v>
      </c>
      <c r="H54" s="78">
        <f t="shared" si="223"/>
        <v>-5.2167291355558414E-2</v>
      </c>
      <c r="I54" s="78">
        <f t="shared" si="223"/>
        <v>-3.9544545314663795E-2</v>
      </c>
      <c r="J54" s="78">
        <f t="shared" si="223"/>
        <v>0.79639056679380826</v>
      </c>
      <c r="K54" s="78" t="e">
        <f t="shared" si="223"/>
        <v>#REF!</v>
      </c>
      <c r="L54" s="78" t="e">
        <f t="shared" si="223"/>
        <v>#REF!</v>
      </c>
      <c r="M54" s="78" t="e">
        <f t="shared" si="223"/>
        <v>#REF!</v>
      </c>
      <c r="N54" s="78" t="e">
        <f t="shared" si="223"/>
        <v>#REF!</v>
      </c>
      <c r="O54" s="78" t="e">
        <f t="shared" si="223"/>
        <v>#REF!</v>
      </c>
      <c r="P54" s="78" t="e">
        <f t="shared" si="223"/>
        <v>#REF!</v>
      </c>
      <c r="Q54" s="78" t="e">
        <f t="shared" si="223"/>
        <v>#REF!</v>
      </c>
      <c r="R54" s="78" t="e">
        <f t="shared" si="223"/>
        <v>#REF!</v>
      </c>
      <c r="S54" s="86" t="e">
        <f t="shared" si="223"/>
        <v>#REF!</v>
      </c>
      <c r="T54" s="86" t="e">
        <f t="shared" si="223"/>
        <v>#REF!</v>
      </c>
      <c r="U54" s="86" t="e">
        <f t="shared" si="223"/>
        <v>#REF!</v>
      </c>
      <c r="V54" s="86" t="e">
        <f t="shared" si="223"/>
        <v>#REF!</v>
      </c>
      <c r="W54" s="86" t="e">
        <f t="shared" si="223"/>
        <v>#REF!</v>
      </c>
      <c r="X54" s="86" t="e">
        <f t="shared" si="223"/>
        <v>#REF!</v>
      </c>
      <c r="Y54" s="86" t="e">
        <f t="shared" si="223"/>
        <v>#REF!</v>
      </c>
      <c r="Z54" s="86" t="e">
        <f t="shared" si="223"/>
        <v>#REF!</v>
      </c>
      <c r="AA54" s="86" t="e">
        <f t="shared" si="223"/>
        <v>#REF!</v>
      </c>
      <c r="AB54" s="86" t="e">
        <f t="shared" si="223"/>
        <v>#REF!</v>
      </c>
      <c r="AC54" s="86" t="e">
        <f t="shared" si="223"/>
        <v>#REF!</v>
      </c>
      <c r="AD54" s="86" t="e">
        <f t="shared" si="223"/>
        <v>#REF!</v>
      </c>
      <c r="AE54" s="106">
        <f t="shared" si="223"/>
        <v>-0.25929395570255515</v>
      </c>
      <c r="AF54" s="106">
        <f t="shared" si="223"/>
        <v>-0.23279568615340762</v>
      </c>
      <c r="AG54" s="106">
        <f t="shared" si="223"/>
        <v>-0.23044665424227964</v>
      </c>
      <c r="AH54" s="106">
        <f t="shared" si="223"/>
        <v>-0.24217749153256243</v>
      </c>
      <c r="AI54" s="106">
        <f t="shared" si="223"/>
        <v>0.59808503049867867</v>
      </c>
      <c r="AJ54" s="106">
        <f t="shared" si="223"/>
        <v>-0.28362672837982245</v>
      </c>
      <c r="AK54" s="106">
        <f t="shared" si="223"/>
        <v>-0.2664619929619278</v>
      </c>
      <c r="AL54" s="106">
        <f t="shared" si="223"/>
        <v>0.18964453160541223</v>
      </c>
      <c r="AM54" s="106">
        <f t="shared" si="223"/>
        <v>-0.2668484841360339</v>
      </c>
      <c r="AN54" s="106">
        <f t="shared" si="223"/>
        <v>0.24438498700881037</v>
      </c>
      <c r="AO54" s="86">
        <f t="shared" si="223"/>
        <v>-0.24336237826755505</v>
      </c>
      <c r="AP54" s="86">
        <f t="shared" si="223"/>
        <v>0.19183653032388392</v>
      </c>
      <c r="AQ54" s="86">
        <f t="shared" ref="AQ54:AV54" si="224">AQ48/AQ47</f>
        <v>0.34582727176222416</v>
      </c>
      <c r="AR54" s="86">
        <f t="shared" si="224"/>
        <v>0.27178761529250761</v>
      </c>
      <c r="AS54" s="86">
        <f t="shared" si="224"/>
        <v>0.28975477532549593</v>
      </c>
      <c r="AT54" s="86">
        <f t="shared" si="224"/>
        <v>0.25490271072315052</v>
      </c>
      <c r="AU54" s="86">
        <f t="shared" si="224"/>
        <v>0.23659891846815595</v>
      </c>
      <c r="AV54" s="86">
        <f t="shared" si="224"/>
        <v>0.26024129913654853</v>
      </c>
      <c r="AW54" s="86">
        <f t="shared" ref="AW54:BE54" si="225">AW48/AW47</f>
        <v>0.24690020781203609</v>
      </c>
      <c r="AX54" s="86">
        <f t="shared" si="225"/>
        <v>0.25557130248155174</v>
      </c>
      <c r="AY54" s="86">
        <f t="shared" si="225"/>
        <v>0.2243470316473456</v>
      </c>
      <c r="AZ54" s="86">
        <f>AZ48/AZ47</f>
        <v>0.14181925991196714</v>
      </c>
      <c r="BA54" s="86">
        <f t="shared" si="225"/>
        <v>0.25</v>
      </c>
      <c r="BB54" s="86">
        <f t="shared" si="225"/>
        <v>0.15913471835510817</v>
      </c>
      <c r="BC54" s="86">
        <f t="shared" si="225"/>
        <v>0.16380711576666065</v>
      </c>
      <c r="BD54" s="86">
        <f t="shared" si="225"/>
        <v>0.17306385869565216</v>
      </c>
      <c r="BE54" s="86">
        <f t="shared" si="225"/>
        <v>0.15935672514619884</v>
      </c>
      <c r="BF54" s="144">
        <f t="shared" ref="BF54" si="226">BF48/BF47</f>
        <v>0.13291027674951525</v>
      </c>
      <c r="BG54" s="144">
        <f t="shared" ref="BG54" si="227">BG48/BG47</f>
        <v>0.17811607992388201</v>
      </c>
      <c r="BH54" s="144">
        <f t="shared" ref="BH54:BI54" si="228">BH48/BH47</f>
        <v>0.20504660150034099</v>
      </c>
      <c r="BI54" s="144">
        <f t="shared" si="228"/>
        <v>0.22240411599625817</v>
      </c>
      <c r="BJ54" s="144">
        <f t="shared" ref="BJ54" si="229">BJ48/BJ47</f>
        <v>0.18702118071203244</v>
      </c>
      <c r="BK54" s="144">
        <f t="shared" ref="BK54:BM54" si="230">BK48/BK47</f>
        <v>0.23365679264555669</v>
      </c>
      <c r="BL54" s="144">
        <f t="shared" si="230"/>
        <v>0.25419198055893072</v>
      </c>
      <c r="BM54" s="144">
        <f t="shared" si="230"/>
        <v>0.26123672023971672</v>
      </c>
      <c r="BN54" s="144">
        <f t="shared" ref="BN54:BO54" si="231">BN48/BN47</f>
        <v>0</v>
      </c>
      <c r="BO54" s="144">
        <f t="shared" si="231"/>
        <v>0.19503546099290781</v>
      </c>
      <c r="BP54" s="144">
        <f t="shared" ref="BP54:BQ54" si="232">BP48/BP47</f>
        <v>9.3337959750173491E-2</v>
      </c>
      <c r="BQ54" s="144">
        <f t="shared" si="232"/>
        <v>0.21283783783783783</v>
      </c>
      <c r="BR54" s="144">
        <f t="shared" ref="BR54:BT54" si="233">BR48/BR47</f>
        <v>0.24262029923170239</v>
      </c>
      <c r="BS54" s="144">
        <f t="shared" si="233"/>
        <v>0.16399843811011325</v>
      </c>
      <c r="BT54" s="144">
        <f t="shared" si="233"/>
        <v>0.17887276409044886</v>
      </c>
      <c r="BU54" s="144">
        <f t="shared" ref="BU54" si="234">BU48/BU47</f>
        <v>0.22385076615589608</v>
      </c>
      <c r="BV54" s="144">
        <f t="shared" ref="BV54:BW54" si="235">BV48/BV47</f>
        <v>0.2944936086529007</v>
      </c>
      <c r="BW54" s="144">
        <f t="shared" si="235"/>
        <v>0.19252548131370328</v>
      </c>
      <c r="BX54" s="144">
        <f t="shared" ref="BX54:BZ54" si="236">BX48/BX47</f>
        <v>0.18603491271820449</v>
      </c>
      <c r="BY54" s="144">
        <f t="shared" si="236"/>
        <v>0.15894446149125499</v>
      </c>
      <c r="BZ54" s="144">
        <f t="shared" si="236"/>
        <v>0.155915622133904</v>
      </c>
      <c r="CA54" s="144">
        <f t="shared" ref="CA54" si="237">CA48/CA47</f>
        <v>9.8601398601398604E-2</v>
      </c>
      <c r="CB54" s="144">
        <f t="shared" ref="CB54" si="238">CB48/CB47</f>
        <v>0.10756543564001435</v>
      </c>
      <c r="CC54" s="144">
        <f t="shared" ref="CC54" si="239">CC48/CC47</f>
        <v>0.1764425369575584</v>
      </c>
      <c r="CD54" s="144">
        <f>CD48/CD47</f>
        <v>0.18806419257773319</v>
      </c>
      <c r="CE54" s="144">
        <f t="shared" ref="CE54:CF54" si="240">CE48/CE47</f>
        <v>0.15689981096408318</v>
      </c>
      <c r="CF54" s="144">
        <f t="shared" si="240"/>
        <v>0.13246940244780417</v>
      </c>
      <c r="CG54" s="144">
        <f t="shared" ref="CG54:CN54" si="241">CG48/CG47</f>
        <v>0.19315109642535297</v>
      </c>
      <c r="CH54" s="144">
        <f t="shared" si="241"/>
        <v>0.14917970240366271</v>
      </c>
      <c r="CI54" s="144">
        <f t="shared" si="241"/>
        <v>0.125</v>
      </c>
      <c r="CJ54" s="144">
        <f t="shared" si="241"/>
        <v>0</v>
      </c>
      <c r="CK54" s="144">
        <f t="shared" si="241"/>
        <v>0</v>
      </c>
      <c r="CL54" s="144">
        <f t="shared" si="241"/>
        <v>0</v>
      </c>
      <c r="CM54" s="144">
        <f t="shared" si="241"/>
        <v>0.13228621291448517</v>
      </c>
      <c r="CN54" s="144">
        <f t="shared" si="241"/>
        <v>0.1411537222043184</v>
      </c>
      <c r="CO54" s="144"/>
      <c r="CP54" s="144"/>
      <c r="CQ54" s="144"/>
      <c r="CR54" s="144"/>
      <c r="CS54" s="144"/>
      <c r="CT54" s="144"/>
      <c r="CU54" s="157"/>
      <c r="CV54" s="157">
        <f t="shared" ref="CV54:DB54" si="242">CV48/CV47</f>
        <v>-4.4316905801621963E-3</v>
      </c>
      <c r="CW54" s="157">
        <f t="shared" si="242"/>
        <v>-5.9624450500268544E-3</v>
      </c>
      <c r="CX54" s="157">
        <f t="shared" si="242"/>
        <v>-1.3825593564328295E-2</v>
      </c>
      <c r="CY54" s="157">
        <f t="shared" si="242"/>
        <v>-4.2259793707191649E-3</v>
      </c>
      <c r="CZ54" s="157">
        <f t="shared" si="242"/>
        <v>0.2253661344506096</v>
      </c>
      <c r="DA54" s="157">
        <f t="shared" si="242"/>
        <v>-0.40223603691112159</v>
      </c>
      <c r="DB54" s="24">
        <f t="shared" si="242"/>
        <v>-0.57021660467005109</v>
      </c>
      <c r="DC54" s="78">
        <v>0.32412483010798065</v>
      </c>
      <c r="DD54" s="78"/>
      <c r="DE54" s="78">
        <f>DE48/DE47</f>
        <v>-0.5683885728047201</v>
      </c>
      <c r="DF54" s="136">
        <f>DF48/DF47</f>
        <v>-0.24093652318768316</v>
      </c>
      <c r="DG54" s="136">
        <f>DG48/DG47</f>
        <v>-1.6878999359005504</v>
      </c>
      <c r="DH54" s="78">
        <v>0.26</v>
      </c>
      <c r="DI54" s="78">
        <f>DI48/DI47</f>
        <v>0.28547232523035515</v>
      </c>
      <c r="DJ54" s="78">
        <f>DJ48/DJ47</f>
        <v>0.25060927421627854</v>
      </c>
      <c r="DK54" s="78">
        <f t="shared" ref="DK54:DQ54" si="243">DK48/DK47</f>
        <v>0.18305144623444769</v>
      </c>
      <c r="DL54" s="78">
        <f t="shared" si="243"/>
        <v>0.245</v>
      </c>
      <c r="DM54" s="78">
        <f t="shared" si="243"/>
        <v>0.245</v>
      </c>
      <c r="DN54" s="169">
        <f t="shared" si="243"/>
        <v>0.245</v>
      </c>
      <c r="DO54" s="169">
        <f t="shared" si="243"/>
        <v>0.24499999999999997</v>
      </c>
      <c r="DP54" s="169">
        <f t="shared" si="243"/>
        <v>0.245</v>
      </c>
      <c r="DQ54" s="169">
        <f t="shared" si="243"/>
        <v>0.245</v>
      </c>
      <c r="DR54" s="169">
        <f t="shared" ref="DR54:DV54" si="244">DR48/DR47</f>
        <v>0.245</v>
      </c>
      <c r="DS54" s="169">
        <f t="shared" si="244"/>
        <v>0.245</v>
      </c>
      <c r="DT54" s="157">
        <f t="shared" si="244"/>
        <v>0.24500000000000002</v>
      </c>
      <c r="DU54" s="157">
        <f t="shared" si="244"/>
        <v>0.245</v>
      </c>
      <c r="DV54" s="157">
        <f t="shared" si="244"/>
        <v>0.245</v>
      </c>
      <c r="DW54" s="157"/>
      <c r="DX54" s="157"/>
      <c r="DY54" s="157"/>
      <c r="DZ54" s="170" t="s">
        <v>592</v>
      </c>
      <c r="EA54" s="171">
        <v>-0.05</v>
      </c>
      <c r="EB54" s="157"/>
      <c r="EC54" s="157"/>
      <c r="ED54" s="157"/>
      <c r="EE54" s="157"/>
      <c r="EF54" s="157"/>
    </row>
    <row r="55" spans="2:184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58"/>
      <c r="CV55" s="158"/>
      <c r="CW55" s="158"/>
      <c r="CX55" s="158"/>
      <c r="CY55" s="158"/>
      <c r="CZ55" s="158"/>
      <c r="DA55" s="158"/>
      <c r="DC55" s="84"/>
      <c r="DD55" s="84"/>
      <c r="DE55" s="84"/>
      <c r="DF55" s="107"/>
      <c r="DG55" s="107"/>
      <c r="DH55" s="84"/>
      <c r="DI55" s="84"/>
      <c r="DJ55" s="84"/>
      <c r="DK55" s="84"/>
      <c r="DL55" s="84"/>
      <c r="DM55" s="137"/>
      <c r="DN55" s="145"/>
      <c r="DO55" s="145"/>
      <c r="DP55" s="145"/>
      <c r="DQ55" s="145"/>
      <c r="DR55" s="145"/>
      <c r="DS55" s="145"/>
      <c r="DT55" s="158"/>
      <c r="DU55" s="158"/>
      <c r="DV55" s="158"/>
      <c r="DW55" s="158"/>
      <c r="DX55" s="158"/>
      <c r="DY55" s="158"/>
      <c r="DZ55" s="172" t="s">
        <v>593</v>
      </c>
      <c r="EA55" s="173">
        <v>5.0000000000000001E-3</v>
      </c>
      <c r="EB55" s="158"/>
      <c r="EC55" s="158"/>
      <c r="ED55" s="158"/>
      <c r="EE55" s="158"/>
      <c r="EF55" s="158"/>
    </row>
    <row r="56" spans="2:184" s="147" customFormat="1" x14ac:dyDescent="0.2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51">
        <f t="shared" ref="AJ56" si="245">AJ39/AF39-1</f>
        <v>0.17003196420494726</v>
      </c>
      <c r="AK56" s="151">
        <f t="shared" ref="AK56" si="246">AK39/AG39-1</f>
        <v>7.5557250543885512E-2</v>
      </c>
      <c r="AL56" s="151">
        <f t="shared" ref="AL56" si="247">AL39/AH39-1</f>
        <v>-0.96631228012843351</v>
      </c>
      <c r="AM56" s="151">
        <f t="shared" ref="AM56" si="248">AM39/AI39-1</f>
        <v>5.3876523724772492</v>
      </c>
      <c r="AN56" s="151">
        <f t="shared" ref="AN56" si="249">AN39/AJ39-1</f>
        <v>0.10898006666583648</v>
      </c>
      <c r="AO56" s="151">
        <f t="shared" ref="AO56" si="250">AO39/AK39-1</f>
        <v>9.5330728254030994E-2</v>
      </c>
      <c r="AP56" s="151">
        <f t="shared" ref="AP56" si="251">AP39/AL39-1</f>
        <v>31.146240266475765</v>
      </c>
      <c r="AQ56" s="151">
        <f t="shared" ref="AQ56" si="252">AQ39/AM39-1</f>
        <v>0.19991283680452754</v>
      </c>
      <c r="AR56" s="151">
        <f t="shared" ref="AR56" si="253">AR39/AN39-1</f>
        <v>0.12536325835078932</v>
      </c>
      <c r="AS56" s="151">
        <f t="shared" ref="AS56" si="254">AS39/AO39-1</f>
        <v>0.14343464329469424</v>
      </c>
      <c r="AT56" s="151">
        <f t="shared" ref="AT56" si="255">AT39/AP39-1</f>
        <v>0.17629107362462282</v>
      </c>
      <c r="AU56" s="151">
        <f t="shared" ref="AU56" si="256">AU39/AQ39-1</f>
        <v>0.10917483807962447</v>
      </c>
      <c r="AV56" s="151">
        <f t="shared" ref="AV56" si="257">AV39/AR39-1</f>
        <v>0.15059459018969878</v>
      </c>
      <c r="AW56" s="151">
        <f t="shared" ref="AW56" si="258">AW39/AS39-1</f>
        <v>0.14680476403786868</v>
      </c>
      <c r="AX56" s="151">
        <f t="shared" ref="AX56" si="259">AX39/AT39-1</f>
        <v>0.20536416971083171</v>
      </c>
      <c r="AY56" s="151">
        <f t="shared" ref="AY56" si="260">AY39/AU39-1</f>
        <v>0.97459586393773256</v>
      </c>
      <c r="AZ56" s="151">
        <f t="shared" ref="AZ56" si="261">AZ39/AV39-1</f>
        <v>1.3612481634346243</v>
      </c>
      <c r="BA56" s="151">
        <f t="shared" ref="BA56" si="262">BA39/AW39-1</f>
        <v>1.1711687334453775</v>
      </c>
      <c r="BB56" s="151">
        <f t="shared" ref="BB56" si="263">BB39/AX39-1</f>
        <v>1.3443615124689647</v>
      </c>
      <c r="BC56" s="151">
        <f t="shared" ref="BC56" si="264">BC39/AY39-1</f>
        <v>0.51911719166962</v>
      </c>
      <c r="BD56" s="151">
        <f t="shared" ref="BD56" si="265">BD39/AZ39-1</f>
        <v>0.26161067465870391</v>
      </c>
      <c r="BE56" s="151">
        <f t="shared" ref="BE56" si="266">BE39/BA39-1</f>
        <v>0.37288977159880843</v>
      </c>
      <c r="BF56" s="151">
        <f t="shared" ref="BF56" si="267">BF39/BB39-1</f>
        <v>0.16297511621547711</v>
      </c>
      <c r="BG56" s="151">
        <f t="shared" ref="BG56" si="268">BG39/BC39-1</f>
        <v>2.6336581511719803E-2</v>
      </c>
      <c r="BH56" s="151">
        <f t="shared" ref="BH56" si="269">BH39/BD39-1</f>
        <v>-5.6768558951965087E-2</v>
      </c>
      <c r="BI56" s="151">
        <f t="shared" ref="BI56" si="270">BI39/BE39-1</f>
        <v>-9.5840867992766698E-2</v>
      </c>
      <c r="BJ56" s="151">
        <f t="shared" ref="BJ56" si="271">BJ39/BF39-1</f>
        <v>-0.13943098988948976</v>
      </c>
      <c r="BK56" s="151">
        <f t="shared" ref="BK56" si="272">BK39/BG39-1</f>
        <v>-0.16538362843212728</v>
      </c>
      <c r="BL56" s="151">
        <f t="shared" ref="BL56" si="273">BL39/BH39-1</f>
        <v>-8.1661522633744821E-2</v>
      </c>
      <c r="BM56" s="151">
        <f t="shared" ref="BM56" si="274">BM39/BI39-1</f>
        <v>-0.13173333333333337</v>
      </c>
      <c r="BN56" s="151">
        <f t="shared" ref="BN56" si="275">BN39/BJ39-1</f>
        <v>-0.18729508196721312</v>
      </c>
      <c r="BO56" s="151">
        <f t="shared" ref="BO56" si="276">BO39/BK39-1</f>
        <v>-0.21783243658724061</v>
      </c>
      <c r="BP56" s="151">
        <f t="shared" ref="BP56" si="277">BP39/BL39-1</f>
        <v>-0.20907435933342666</v>
      </c>
      <c r="BQ56" s="151">
        <f t="shared" ref="BQ56" si="278">BQ39/BM39-1</f>
        <v>-0.14066339066339062</v>
      </c>
      <c r="BR56" s="151">
        <f t="shared" ref="BR56" si="279">BR39/BN39-1</f>
        <v>-2.5886703647671871E-2</v>
      </c>
      <c r="BS56" s="151">
        <f t="shared" ref="BS56:BT56" si="280">BS39/BO39-1</f>
        <v>3.7932389937106903E-2</v>
      </c>
      <c r="BT56" s="151">
        <f t="shared" si="280"/>
        <v>6.5509915014163589E-3</v>
      </c>
      <c r="BU56" s="151">
        <f t="shared" ref="BU56" si="281">BU39/BQ39-1</f>
        <v>1.4295925661187425E-3</v>
      </c>
      <c r="BV56" s="151">
        <f t="shared" ref="BV56" si="282">BV39/BR39-1</f>
        <v>1.4495254529766965E-2</v>
      </c>
      <c r="BW56" s="151">
        <f t="shared" ref="BW56" si="283">BW39/BS39-1</f>
        <v>5.0558606324559774E-2</v>
      </c>
      <c r="BX56" s="151">
        <f t="shared" ref="BX56" si="284">BX39/BT39-1</f>
        <v>-9.5338610378188249E-2</v>
      </c>
      <c r="BY56" s="151">
        <f t="shared" ref="BY56:CE56" si="285">BY39/BU39-1</f>
        <v>0.17362598144182728</v>
      </c>
      <c r="BZ56" s="151">
        <f t="shared" si="285"/>
        <v>0.26228950501786019</v>
      </c>
      <c r="CA56" s="151">
        <f t="shared" si="285"/>
        <v>0.15771449170872387</v>
      </c>
      <c r="CB56" s="151">
        <f t="shared" si="285"/>
        <v>0.20882753256853981</v>
      </c>
      <c r="CC56" s="151">
        <f t="shared" si="285"/>
        <v>0.12832598449140953</v>
      </c>
      <c r="CD56" s="151">
        <f t="shared" si="285"/>
        <v>-2.39859857162108E-2</v>
      </c>
      <c r="CE56" s="151">
        <f t="shared" si="285"/>
        <v>2.584462089366335E-2</v>
      </c>
      <c r="CF56" s="151">
        <f t="shared" ref="CF56" si="286">CF39/CB39-1</f>
        <v>7.0773685057101687E-3</v>
      </c>
      <c r="CG56" s="151">
        <f t="shared" ref="CG56" si="287">CG39/CC39-1</f>
        <v>-5.1071284193504929E-2</v>
      </c>
      <c r="CH56" s="151">
        <f t="shared" ref="CH56" si="288">CH39/CD39-1</f>
        <v>2.015739334529898E-2</v>
      </c>
      <c r="CI56" s="151">
        <f t="shared" ref="CI56" si="289">CI39/CE39-1</f>
        <v>-3.5969039307937489E-2</v>
      </c>
      <c r="CJ56" s="151">
        <f t="shared" ref="CJ56" si="290">CJ39/CF39-1</f>
        <v>4.8554544002555433E-2</v>
      </c>
      <c r="CK56" s="151">
        <f t="shared" ref="CK56" si="291">CK39/CG39-1</f>
        <v>-6.5322351604657491E-3</v>
      </c>
      <c r="CL56" s="151">
        <f t="shared" ref="CL56" si="292">CL39/CH39-1</f>
        <v>-4.3036946812829879E-2</v>
      </c>
      <c r="CM56" s="151"/>
      <c r="CN56" s="151"/>
      <c r="CO56" s="151"/>
      <c r="CP56" s="151"/>
      <c r="CQ56" s="151"/>
      <c r="CR56" s="151"/>
      <c r="CS56" s="150"/>
      <c r="CT56" s="150"/>
      <c r="CU56" s="159"/>
      <c r="CV56" s="159"/>
      <c r="CW56" s="159"/>
      <c r="CX56" s="159"/>
      <c r="CY56" s="159"/>
      <c r="CZ56" s="159"/>
      <c r="DA56" s="159"/>
      <c r="DC56" s="148"/>
      <c r="DD56" s="148"/>
      <c r="DE56" s="148"/>
      <c r="DF56" s="149"/>
      <c r="DG56" s="149"/>
      <c r="DH56" s="148"/>
      <c r="DI56" s="148"/>
      <c r="DJ56" s="148"/>
      <c r="DK56" s="148"/>
      <c r="DL56" s="148"/>
      <c r="DM56" s="152"/>
      <c r="DN56" s="150"/>
      <c r="DO56" s="150"/>
      <c r="DP56" s="150"/>
      <c r="DQ56" s="150"/>
      <c r="DR56" s="150"/>
      <c r="DS56" s="150"/>
      <c r="DT56" s="159"/>
      <c r="DU56" s="159"/>
      <c r="DV56" s="159"/>
      <c r="DW56" s="159"/>
      <c r="DX56" s="159"/>
      <c r="DY56" s="159"/>
      <c r="DZ56" s="153" t="s">
        <v>594</v>
      </c>
      <c r="EA56" s="171">
        <v>0.06</v>
      </c>
      <c r="EB56" s="159"/>
      <c r="EC56" s="159"/>
      <c r="ED56" s="159"/>
      <c r="EE56" s="159"/>
      <c r="EF56" s="159"/>
    </row>
    <row r="57" spans="2:184" s="147" customFormat="1" x14ac:dyDescent="0.2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1"/>
      <c r="CN57" s="151"/>
      <c r="CO57" s="151"/>
      <c r="CP57" s="151"/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/>
      <c r="EA57" s="171"/>
      <c r="EB57" s="159"/>
      <c r="EC57" s="159"/>
      <c r="ED57" s="159"/>
      <c r="EE57" s="159"/>
      <c r="EF57" s="159"/>
    </row>
    <row r="58" spans="2:184" s="28" customFormat="1" x14ac:dyDescent="0.2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>
        <f t="shared" ref="BR58:BT58" si="293">BR3/BN3-1</f>
        <v>0.12764205325281353</v>
      </c>
      <c r="BS58" s="146">
        <f t="shared" si="293"/>
        <v>0.13119802894979982</v>
      </c>
      <c r="BT58" s="146">
        <f t="shared" si="293"/>
        <v>0.10005364806866957</v>
      </c>
      <c r="BU58" s="146">
        <f t="shared" ref="BU58" si="294">BU3/BQ3-1</f>
        <v>0.12450436161776368</v>
      </c>
      <c r="BV58" s="146">
        <f t="shared" ref="BV58" si="295">BV3/BR3-1</f>
        <v>0.12122687439143132</v>
      </c>
      <c r="BW58" s="146">
        <f t="shared" ref="BW58" si="296">BW3/BS3-1</f>
        <v>0.13422270623468546</v>
      </c>
      <c r="BX58" s="146">
        <f t="shared" ref="BX58" si="297">BX3/BT3-1</f>
        <v>-1.560594976834917E-2</v>
      </c>
      <c r="BY58" s="146">
        <f t="shared" ref="BY58:CD58" si="298">BY3/BU3-1</f>
        <v>7.3342736248237062E-2</v>
      </c>
      <c r="BZ58" s="146">
        <f t="shared" si="298"/>
        <v>-6.7303517151541481E-2</v>
      </c>
      <c r="CA58" s="146">
        <f t="shared" si="298"/>
        <v>-0.12794047047527601</v>
      </c>
      <c r="CB58" s="146">
        <f t="shared" si="298"/>
        <v>-2.0312112955164774E-2</v>
      </c>
      <c r="CC58" s="146">
        <f t="shared" si="298"/>
        <v>-7.8405606657906302E-2</v>
      </c>
      <c r="CD58" s="146">
        <f t="shared" si="298"/>
        <v>5.2607076350093207E-2</v>
      </c>
      <c r="CE58" s="146">
        <f>CE3/CA3-1</f>
        <v>2.2570878062207589E-2</v>
      </c>
      <c r="CF58" s="146">
        <f t="shared" ref="CF58" si="299">CF3/CB3-1</f>
        <v>7.0290771175727018E-2</v>
      </c>
      <c r="CG58" s="146">
        <f t="shared" ref="CG58" si="300">CG3/CC3-1</f>
        <v>6.8678707224334667E-2</v>
      </c>
      <c r="CH58" s="146">
        <f t="shared" ref="CH58" si="301">CH3/CD3-1</f>
        <v>5.7717823971694004E-2</v>
      </c>
      <c r="CI58" s="146">
        <f t="shared" ref="CI58" si="302">CI3/CE3-1</f>
        <v>0.13055181695827733</v>
      </c>
      <c r="CJ58" s="146">
        <f t="shared" ref="CJ58" si="303">CJ3/CF3-1</f>
        <v>9.284195605953216E-2</v>
      </c>
      <c r="CK58" s="146">
        <f t="shared" ref="CK58" si="304">CK3/CG3-1</f>
        <v>3.780297976428737E-2</v>
      </c>
      <c r="CL58" s="146">
        <f t="shared" ref="CL58" si="305">CL3/CH3-1</f>
        <v>-1.8816642274723017E-2</v>
      </c>
      <c r="CM58" s="146"/>
      <c r="CN58" s="146"/>
      <c r="CO58" s="146"/>
      <c r="CP58" s="146"/>
      <c r="CQ58" s="146"/>
      <c r="CR58" s="146"/>
      <c r="CS58" s="145"/>
      <c r="CT58" s="145"/>
      <c r="CU58" s="158"/>
      <c r="CV58" s="158"/>
      <c r="CW58" s="158"/>
      <c r="CX58" s="158"/>
      <c r="CY58" s="158"/>
      <c r="CZ58" s="158"/>
      <c r="DA58" s="158"/>
      <c r="DC58" s="84"/>
      <c r="DD58" s="84"/>
      <c r="DE58" s="84"/>
      <c r="DF58" s="107"/>
      <c r="DG58" s="107"/>
      <c r="DH58" s="84"/>
      <c r="DI58" s="84"/>
      <c r="DJ58" s="84"/>
      <c r="DK58" s="84"/>
      <c r="DL58" s="84"/>
      <c r="DM58" s="137"/>
      <c r="DN58" s="145"/>
      <c r="DO58" s="145"/>
      <c r="DP58" s="145"/>
      <c r="DQ58" s="145"/>
      <c r="DR58" s="145"/>
      <c r="DS58" s="145"/>
      <c r="DT58" s="158"/>
      <c r="DU58" s="158"/>
      <c r="DV58" s="158"/>
      <c r="DW58" s="158"/>
      <c r="DX58" s="158"/>
      <c r="DY58" s="158"/>
      <c r="DZ58" s="153" t="s">
        <v>595</v>
      </c>
      <c r="EA58" s="155">
        <f>NPV(EA56,DL49:GC49)+DK49</f>
        <v>49301.705719190846</v>
      </c>
      <c r="EB58" s="158"/>
      <c r="EC58" s="158"/>
      <c r="ED58" s="158"/>
      <c r="EE58" s="158"/>
      <c r="EF58" s="158"/>
    </row>
    <row r="59" spans="2:184" s="28" customFormat="1" x14ac:dyDescent="0.2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146"/>
      <c r="BS59" s="146">
        <f t="shared" ref="BS59:BT59" si="306">+BS9/BO9-1</f>
        <v>21.657142857142858</v>
      </c>
      <c r="BT59" s="146">
        <f t="shared" si="306"/>
        <v>5.0324324324324321</v>
      </c>
      <c r="BU59" s="146">
        <f t="shared" ref="BU59" si="307">+BU9/BQ9-1</f>
        <v>2.2616580310880829</v>
      </c>
      <c r="BV59" s="146">
        <f t="shared" ref="BV59" si="308">+BV9/BR9-1</f>
        <v>1.7162629757785468</v>
      </c>
      <c r="BW59" s="146">
        <f t="shared" ref="BW59" si="309">+BW9/BS9-1</f>
        <v>1.1349306431273645</v>
      </c>
      <c r="BX59" s="146">
        <f t="shared" ref="BX59" si="310">+BX9/BT9-1</f>
        <v>0.43727598566308234</v>
      </c>
      <c r="BY59" s="146">
        <f t="shared" ref="BY59:CE59" si="311">+BY9/BU9-1</f>
        <v>0.50198570293884037</v>
      </c>
      <c r="BZ59" s="146">
        <f t="shared" si="311"/>
        <v>0.31910828025477711</v>
      </c>
      <c r="CA59" s="146">
        <f t="shared" si="311"/>
        <v>7.7377436503248687E-2</v>
      </c>
      <c r="CB59" s="146">
        <f t="shared" si="311"/>
        <v>0.24314214463840389</v>
      </c>
      <c r="CC59" s="146">
        <f t="shared" si="311"/>
        <v>0.20359598096245368</v>
      </c>
      <c r="CD59" s="146">
        <f t="shared" si="311"/>
        <v>0.2216320618058909</v>
      </c>
      <c r="CE59" s="146">
        <f t="shared" si="311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312">+CH9/CD9-1</f>
        <v>0.15335968379446641</v>
      </c>
      <c r="CI59" s="146">
        <f t="shared" si="312"/>
        <v>0.24453742445374238</v>
      </c>
      <c r="CJ59" s="146">
        <f t="shared" si="312"/>
        <v>0.16549295774647876</v>
      </c>
      <c r="CK59" s="146">
        <f t="shared" si="312"/>
        <v>0.11532899493853943</v>
      </c>
      <c r="CL59" s="146">
        <f t="shared" si="312"/>
        <v>6.5455791638108218E-2</v>
      </c>
      <c r="CM59" s="146"/>
      <c r="CN59" s="146"/>
      <c r="CO59" s="146"/>
      <c r="CP59" s="146"/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596</v>
      </c>
      <c r="EA59" s="174">
        <f>EA58/Main!J3</f>
        <v>39.600015511416608</v>
      </c>
      <c r="EB59" s="158"/>
      <c r="EC59" s="158"/>
      <c r="ED59" s="158"/>
      <c r="EE59" s="158"/>
      <c r="EF59" s="158"/>
    </row>
    <row r="60" spans="2:184" s="28" customFormat="1" x14ac:dyDescent="0.2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5"/>
      <c r="CU60" s="158"/>
      <c r="CV60" s="158"/>
      <c r="CW60" s="158"/>
      <c r="CX60" s="158"/>
      <c r="CY60" s="158"/>
      <c r="CZ60" s="158"/>
      <c r="DA60" s="158"/>
      <c r="DC60" s="84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46"/>
      <c r="DO60" s="146"/>
      <c r="DP60" s="146"/>
      <c r="DQ60" s="146"/>
      <c r="DR60" s="146"/>
      <c r="DS60" s="146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</row>
    <row r="61" spans="2:184" s="28" customFormat="1" x14ac:dyDescent="0.2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3159.8140000000021</v>
      </c>
      <c r="BB61" s="82">
        <f>+BA61+BB49</f>
        <v>7085.8140000000021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0">
        <f>+CN62-CN82</f>
        <v>-20578</v>
      </c>
      <c r="CO61" s="140"/>
      <c r="CP61" s="140"/>
      <c r="CQ61" s="140"/>
      <c r="CR61" s="140"/>
      <c r="CS61" s="140"/>
      <c r="CT61" s="145"/>
      <c r="CU61" s="158"/>
      <c r="CV61" s="158"/>
      <c r="CW61" s="158"/>
      <c r="CX61" s="158"/>
      <c r="CY61" s="158"/>
      <c r="CZ61" s="158"/>
      <c r="DA61" s="158"/>
      <c r="DC61" s="84"/>
      <c r="DD61" s="84"/>
      <c r="DE61" s="84"/>
      <c r="DF61" s="107"/>
      <c r="DG61" s="107"/>
      <c r="DH61" s="84"/>
      <c r="DI61" s="84"/>
      <c r="DJ61" s="83"/>
      <c r="DK61" s="83">
        <f>+BB61</f>
        <v>7085.8140000000021</v>
      </c>
      <c r="DL61" s="83">
        <f t="shared" ref="DL61:DV61" si="313">+DK61+DL49</f>
        <v>23496.561398850004</v>
      </c>
      <c r="DM61" s="83">
        <f t="shared" si="313"/>
        <v>41023.832385088666</v>
      </c>
      <c r="DN61" s="142">
        <f t="shared" si="313"/>
        <v>39329.623077342374</v>
      </c>
      <c r="DO61" s="142">
        <f t="shared" si="313"/>
        <v>37629.018129459342</v>
      </c>
      <c r="DP61" s="142">
        <f t="shared" si="313"/>
        <v>35921.993397898048</v>
      </c>
      <c r="DQ61" s="142">
        <f t="shared" si="313"/>
        <v>40899.697047975111</v>
      </c>
      <c r="DR61" s="142">
        <f t="shared" si="313"/>
        <v>47179.147929331215</v>
      </c>
      <c r="DS61" s="142">
        <f t="shared" si="313"/>
        <v>52561.445337764439</v>
      </c>
      <c r="DT61" s="142">
        <f t="shared" si="313"/>
        <v>57029.250118914497</v>
      </c>
      <c r="DU61" s="142">
        <f t="shared" si="313"/>
        <v>56121.982663113398</v>
      </c>
      <c r="DV61" s="142">
        <f t="shared" si="313"/>
        <v>55138.638132666652</v>
      </c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75" customFormat="1" x14ac:dyDescent="0.2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>
        <v>2772</v>
      </c>
      <c r="CO62" s="142"/>
      <c r="CP62" s="142"/>
      <c r="CQ62" s="142"/>
      <c r="CR62" s="142"/>
      <c r="CS62" s="142"/>
      <c r="CT62" s="142"/>
      <c r="CU62" s="155"/>
      <c r="CV62" s="155"/>
      <c r="CW62" s="155"/>
      <c r="CX62" s="155"/>
      <c r="CY62" s="155"/>
      <c r="CZ62" s="155"/>
      <c r="DA62" s="155"/>
      <c r="DC62" s="83"/>
      <c r="DD62" s="83"/>
      <c r="DE62" s="83"/>
      <c r="DF62" s="105"/>
      <c r="DG62" s="105"/>
      <c r="DH62" s="83"/>
      <c r="DI62" s="83"/>
      <c r="DJ62" s="83"/>
      <c r="DK62" s="83"/>
      <c r="DL62" s="83"/>
      <c r="DM62" s="83"/>
      <c r="DN62" s="142"/>
      <c r="DO62" s="142"/>
      <c r="DP62" s="142"/>
      <c r="DQ62" s="142"/>
      <c r="DR62" s="142"/>
      <c r="DS62" s="142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</row>
    <row r="63" spans="2:184" s="75" customFormat="1" x14ac:dyDescent="0.2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>
        <v>4663</v>
      </c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2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>
        <v>2026</v>
      </c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2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2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2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>
        <v>2856</v>
      </c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2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2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>
        <v>5346</v>
      </c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2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2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2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>
        <f>22832+8314</f>
        <v>31146</v>
      </c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2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>
        <v>4770</v>
      </c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2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314">SUM(AN62:AN73)</f>
        <v>0</v>
      </c>
      <c r="AO74" s="83">
        <f t="shared" si="314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>
        <f t="shared" ref="CJ74:CN74" si="315">SUM(CJ62:CJ73)</f>
        <v>0</v>
      </c>
      <c r="CK74" s="142">
        <f t="shared" si="315"/>
        <v>0</v>
      </c>
      <c r="CL74" s="142">
        <f t="shared" si="315"/>
        <v>0</v>
      </c>
      <c r="CM74" s="142">
        <f t="shared" si="315"/>
        <v>0</v>
      </c>
      <c r="CN74" s="142">
        <f t="shared" si="315"/>
        <v>53579</v>
      </c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2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2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>
        <v>537</v>
      </c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2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>
        <v>3923</v>
      </c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2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2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2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>
        <v>4510</v>
      </c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2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2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>
        <f>1810+21540</f>
        <v>23350</v>
      </c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2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>
        <v>738</v>
      </c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2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>
        <f>907+1418</f>
        <v>2325</v>
      </c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2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316">SUM(AJ76:AJ84)</f>
        <v>0</v>
      </c>
      <c r="AK85" s="83">
        <f t="shared" si="316"/>
        <v>0</v>
      </c>
      <c r="AL85" s="83">
        <f t="shared" si="316"/>
        <v>0</v>
      </c>
      <c r="AM85" s="83">
        <f t="shared" si="316"/>
        <v>0</v>
      </c>
      <c r="AN85" s="83">
        <f t="shared" si="316"/>
        <v>0</v>
      </c>
      <c r="AO85" s="83">
        <f t="shared" si="316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2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2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2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2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17" customFormat="1" x14ac:dyDescent="0.2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317">SUM(AJ86:AJ89)</f>
        <v>0</v>
      </c>
      <c r="AK90" s="82">
        <f t="shared" si="317"/>
        <v>0</v>
      </c>
      <c r="AL90" s="82">
        <f t="shared" si="317"/>
        <v>0</v>
      </c>
      <c r="AM90" s="82">
        <f t="shared" si="317"/>
        <v>0</v>
      </c>
      <c r="AN90" s="82">
        <f t="shared" si="317"/>
        <v>0</v>
      </c>
      <c r="AO90" s="82">
        <f t="shared" si="317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>
        <v>18197</v>
      </c>
      <c r="CO90" s="140"/>
      <c r="CP90" s="140"/>
      <c r="CQ90" s="140"/>
      <c r="CR90" s="140"/>
      <c r="CS90" s="140"/>
      <c r="CT90" s="140"/>
      <c r="CU90" s="79"/>
      <c r="CV90" s="79"/>
      <c r="CW90" s="79"/>
      <c r="CX90" s="79"/>
      <c r="CY90" s="79"/>
      <c r="CZ90" s="79"/>
      <c r="DA90" s="79"/>
      <c r="DC90" s="82"/>
      <c r="DD90" s="82"/>
      <c r="DE90" s="82"/>
      <c r="DF90" s="104"/>
      <c r="DG90" s="104"/>
      <c r="DH90" s="82"/>
      <c r="DI90" s="82"/>
      <c r="DJ90" s="82"/>
      <c r="DK90" s="82"/>
      <c r="DL90" s="82"/>
      <c r="DM90" s="82"/>
      <c r="DN90" s="140"/>
      <c r="DO90" s="140"/>
      <c r="DP90" s="140"/>
      <c r="DQ90" s="140"/>
      <c r="DR90" s="140"/>
      <c r="DS90" s="140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</row>
    <row r="91" spans="2:136" s="17" customFormat="1" x14ac:dyDescent="0.2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318">AJ90+AJ85</f>
        <v>0</v>
      </c>
      <c r="AK91" s="82">
        <f t="shared" si="318"/>
        <v>0</v>
      </c>
      <c r="AL91" s="82">
        <f t="shared" si="318"/>
        <v>0</v>
      </c>
      <c r="AM91" s="82">
        <f t="shared" si="318"/>
        <v>0</v>
      </c>
      <c r="AN91" s="82">
        <f t="shared" si="318"/>
        <v>0</v>
      </c>
      <c r="AO91" s="82">
        <f t="shared" si="318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>
        <f>SUM(CN76:CN90)</f>
        <v>53580</v>
      </c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2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2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2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0.85121311969523961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x14ac:dyDescent="0.2">
      <c r="B100" s="92" t="s">
        <v>638</v>
      </c>
      <c r="AZ100" s="128">
        <f>(AZ49*4)/AZ74</f>
        <v>0.50534298287992085</v>
      </c>
    </row>
    <row r="101" spans="2:136" x14ac:dyDescent="0.2">
      <c r="B101" s="92" t="s">
        <v>639</v>
      </c>
      <c r="AZ101" s="128">
        <f>(AZ49*4)/(AZ74-AZ85)</f>
        <v>0.9577654518613391</v>
      </c>
    </row>
    <row r="102" spans="2:136" x14ac:dyDescent="0.2">
      <c r="B102" s="92" t="s">
        <v>640</v>
      </c>
      <c r="AZ102" s="128">
        <f>(AZ49*4)/(AZ74-AZ72-AZ85)</f>
        <v>4.1660269614039658</v>
      </c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644</v>
      </c>
    </row>
    <row r="3" spans="1:3" x14ac:dyDescent="0.2">
      <c r="B3" s="95" t="s">
        <v>53</v>
      </c>
      <c r="C3" s="95" t="s">
        <v>704</v>
      </c>
    </row>
    <row r="4" spans="1:3" x14ac:dyDescent="0.2">
      <c r="B4" t="s">
        <v>4</v>
      </c>
      <c r="C4" t="s">
        <v>718</v>
      </c>
    </row>
    <row r="5" spans="1:3" x14ac:dyDescent="0.2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677</v>
      </c>
    </row>
    <row r="3" spans="1:3" x14ac:dyDescent="0.2">
      <c r="B3" s="95" t="s">
        <v>53</v>
      </c>
      <c r="C3" s="95" t="s">
        <v>726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728</v>
      </c>
    </row>
    <row r="6" spans="1:3" x14ac:dyDescent="0.2">
      <c r="B6" s="95"/>
      <c r="C6" s="95" t="s">
        <v>729</v>
      </c>
    </row>
    <row r="7" spans="1:3" x14ac:dyDescent="0.2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678</v>
      </c>
    </row>
    <row r="3" spans="1:3" x14ac:dyDescent="0.2">
      <c r="B3" s="95" t="s">
        <v>53</v>
      </c>
      <c r="C3" s="95" t="s">
        <v>731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681</v>
      </c>
    </row>
    <row r="3" spans="1:3" x14ac:dyDescent="0.2">
      <c r="B3" s="95" t="s">
        <v>53</v>
      </c>
      <c r="C3" s="95" t="s">
        <v>743</v>
      </c>
    </row>
    <row r="4" spans="1:3" x14ac:dyDescent="0.2">
      <c r="B4" s="95" t="s">
        <v>1</v>
      </c>
      <c r="C4" s="95" t="s">
        <v>741</v>
      </c>
    </row>
    <row r="5" spans="1:3" x14ac:dyDescent="0.2">
      <c r="B5" s="95" t="s">
        <v>142</v>
      </c>
    </row>
    <row r="6" spans="1:3" x14ac:dyDescent="0.2">
      <c r="C6" s="121" t="s">
        <v>747</v>
      </c>
    </row>
    <row r="7" spans="1:3" x14ac:dyDescent="0.2">
      <c r="C7" s="95" t="s">
        <v>744</v>
      </c>
    </row>
    <row r="8" spans="1:3" x14ac:dyDescent="0.2">
      <c r="C8" s="95" t="s">
        <v>746</v>
      </c>
    </row>
    <row r="10" spans="1:3" x14ac:dyDescent="0.2">
      <c r="C10" s="121" t="s">
        <v>745</v>
      </c>
    </row>
    <row r="11" spans="1:3" x14ac:dyDescent="0.2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684</v>
      </c>
    </row>
    <row r="3" spans="1:3" x14ac:dyDescent="0.2">
      <c r="B3" s="95" t="s">
        <v>53</v>
      </c>
      <c r="C3" s="95" t="s">
        <v>757</v>
      </c>
    </row>
    <row r="4" spans="1:3" x14ac:dyDescent="0.2">
      <c r="B4" s="95" t="s">
        <v>1</v>
      </c>
      <c r="C4" s="95" t="s">
        <v>756</v>
      </c>
    </row>
    <row r="5" spans="1:3" x14ac:dyDescent="0.2">
      <c r="B5" s="95" t="s">
        <v>711</v>
      </c>
    </row>
    <row r="6" spans="1:3" x14ac:dyDescent="0.2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2024-10-28T16:26:19Z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