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8BE1028-B8AE-4D3E-A194-A8E9D8BEC13F}" xr6:coauthVersionLast="47" xr6:coauthVersionMax="47" xr10:uidLastSave="{00000000-0000-0000-0000-000000000000}"/>
  <bookViews>
    <workbookView xWindow="22200" yWindow="285" windowWidth="23970" windowHeight="21075" activeTab="2" xr2:uid="{00000000-000D-0000-FFFF-FFFF00000000}"/>
  </bookViews>
  <sheets>
    <sheet name="Master" sheetId="59" r:id="rId1"/>
    <sheet name="Main" sheetId="1" r:id="rId2"/>
    <sheet name="Model" sheetId="5" r:id="rId3"/>
    <sheet name="Shingrix" sheetId="62" r:id="rId4"/>
    <sheet name="dolutegravir" sheetId="60" r:id="rId5"/>
    <sheet name="Trelegy" sheetId="63" r:id="rId6"/>
    <sheet name="Advair" sheetId="6" r:id="rId7"/>
    <sheet name="Zejula" sheetId="61" r:id="rId8"/>
    <sheet name="Relovair" sheetId="22" r:id="rId9"/>
    <sheet name="Valtrex" sheetId="33" r:id="rId10"/>
    <sheet name="Serevent" sheetId="8" r:id="rId11"/>
    <sheet name="Avodart" sheetId="35" r:id="rId12"/>
    <sheet name="Flovent" sheetId="7" r:id="rId13"/>
    <sheet name="Consumer" sheetId="34" r:id="rId14"/>
    <sheet name="Tykerb" sheetId="3" r:id="rId15"/>
    <sheet name="Imitrex" sheetId="13" r:id="rId16"/>
    <sheet name="Lamictal" sheetId="17" r:id="rId17"/>
    <sheet name="Trexima" sheetId="12" r:id="rId18"/>
    <sheet name="Combivir" sheetId="18" r:id="rId19"/>
    <sheet name="Votrient" sheetId="25" r:id="rId20"/>
    <sheet name="Allermist" sheetId="10" r:id="rId21"/>
    <sheet name="Avandaryl" sheetId="26" r:id="rId22"/>
    <sheet name="Trizivir" sheetId="21" r:id="rId23"/>
    <sheet name="Lexiva" sheetId="28" r:id="rId24"/>
    <sheet name="Wellbutrin" sheetId="14" r:id="rId25"/>
    <sheet name="Paxil" sheetId="11" r:id="rId26"/>
    <sheet name="Requip" sheetId="19" r:id="rId27"/>
    <sheet name="Flonase" sheetId="9" r:id="rId28"/>
    <sheet name="Vestipitant" sheetId="15" r:id="rId29"/>
    <sheet name="MAGE" sheetId="23" r:id="rId30"/>
    <sheet name="Arzerra" sheetId="30" r:id="rId31"/>
    <sheet name="eltrombopag" sheetId="24" r:id="rId32"/>
    <sheet name="Cervarix" sheetId="27" r:id="rId33"/>
    <sheet name="Horizant" sheetId="31" r:id="rId34"/>
    <sheet name="716155" sheetId="29" r:id="rId35"/>
    <sheet name="699" sheetId="2" r:id="rId36"/>
    <sheet name="Potiga" sheetId="36" r:id="rId37"/>
    <sheet name="GSK786" sheetId="38" r:id="rId38"/>
    <sheet name="GSK436" sheetId="39" r:id="rId39"/>
    <sheet name="GSK212" sheetId="40" r:id="rId40"/>
    <sheet name="GSK968" sheetId="42" r:id="rId41"/>
    <sheet name="Relenza" sheetId="44" r:id="rId42"/>
    <sheet name="IPX066" sheetId="45" r:id="rId43"/>
    <sheet name="Benlysta" sheetId="46" r:id="rId44"/>
    <sheet name="Amigal" sheetId="47" r:id="rId45"/>
    <sheet name="Arixtra" sheetId="49" r:id="rId46"/>
    <sheet name="Pandemrix" sheetId="50" r:id="rId47"/>
    <sheet name="MenHibrix" sheetId="51" r:id="rId48"/>
    <sheet name="Rotarix" sheetId="52" r:id="rId49"/>
    <sheet name="Synflorix" sheetId="54" r:id="rId50"/>
    <sheet name="GSK572" sheetId="55" r:id="rId51"/>
    <sheet name="mepolizumab" sheetId="56" r:id="rId52"/>
    <sheet name="denosumab" sheetId="57" r:id="rId53"/>
    <sheet name="Syncria" sheetId="58" r:id="rId54"/>
    <sheet name="Avandia" sheetId="20" r:id="rId55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34" i="5" l="1"/>
  <c r="CB34" i="5"/>
  <c r="CD112" i="5"/>
  <c r="CD110" i="5"/>
  <c r="CD105" i="5"/>
  <c r="CC110" i="5"/>
  <c r="CC112" i="5"/>
  <c r="CC105" i="5"/>
  <c r="CC34" i="5"/>
  <c r="CD34" i="5"/>
  <c r="CE193" i="5"/>
  <c r="CE196" i="5" s="1"/>
  <c r="CE191" i="5"/>
  <c r="CE189" i="5"/>
  <c r="CE190" i="5"/>
  <c r="CE187" i="5"/>
  <c r="CE184" i="5"/>
  <c r="CE186" i="5" s="1"/>
  <c r="CE188" i="5" s="1"/>
  <c r="CF166" i="5"/>
  <c r="CF169" i="5"/>
  <c r="CF167" i="5"/>
  <c r="CF163" i="5"/>
  <c r="CF159" i="5"/>
  <c r="CF147" i="5" s="1"/>
  <c r="CE159" i="5"/>
  <c r="CF161" i="5"/>
  <c r="CF150" i="5"/>
  <c r="CF34" i="5"/>
  <c r="CF110" i="5"/>
  <c r="CE192" i="5" l="1"/>
  <c r="CE197" i="5"/>
  <c r="CF171" i="5"/>
  <c r="CF174" i="5" s="1"/>
  <c r="CE169" i="5"/>
  <c r="CE167" i="5"/>
  <c r="CE166" i="5"/>
  <c r="CE163" i="5"/>
  <c r="CE147" i="5" s="1"/>
  <c r="CE150" i="5"/>
  <c r="CE161" i="5" s="1"/>
  <c r="CE112" i="5"/>
  <c r="CE110" i="5"/>
  <c r="CE34" i="5"/>
  <c r="CE103" i="5" s="1"/>
  <c r="CF103" i="5"/>
  <c r="CG103" i="5"/>
  <c r="CH103" i="5"/>
  <c r="BY110" i="5"/>
  <c r="BZ112" i="5"/>
  <c r="BZ110" i="5"/>
  <c r="DJ108" i="5"/>
  <c r="DJ5" i="5"/>
  <c r="DI5" i="5"/>
  <c r="DH5" i="5"/>
  <c r="DI114" i="5"/>
  <c r="DH114" i="5"/>
  <c r="DH108" i="5"/>
  <c r="DI107" i="5"/>
  <c r="DH107" i="5"/>
  <c r="DI106" i="5"/>
  <c r="DH106" i="5"/>
  <c r="DI104" i="5"/>
  <c r="DH104" i="5"/>
  <c r="DH100" i="5"/>
  <c r="DH94" i="5"/>
  <c r="DH50" i="5"/>
  <c r="DH49" i="5"/>
  <c r="DH48" i="5"/>
  <c r="DH29" i="5"/>
  <c r="DH28" i="5"/>
  <c r="DH47" i="5"/>
  <c r="DH46" i="5"/>
  <c r="DH45" i="5"/>
  <c r="DH43" i="5"/>
  <c r="DH42" i="5"/>
  <c r="DH41" i="5"/>
  <c r="DH40" i="5"/>
  <c r="DH39" i="5"/>
  <c r="DH38" i="5"/>
  <c r="DH21" i="5"/>
  <c r="DH37" i="5"/>
  <c r="DH36" i="5"/>
  <c r="DH35" i="5"/>
  <c r="DH33" i="5"/>
  <c r="DH32" i="5"/>
  <c r="DH31" i="5"/>
  <c r="DH30" i="5"/>
  <c r="DH26" i="5"/>
  <c r="DH25" i="5"/>
  <c r="DH24" i="5"/>
  <c r="DH23" i="5"/>
  <c r="DH22" i="5"/>
  <c r="DH20" i="5"/>
  <c r="DH19" i="5"/>
  <c r="DH18" i="5"/>
  <c r="DH17" i="5"/>
  <c r="DH16" i="5"/>
  <c r="DH15" i="5"/>
  <c r="DH13" i="5"/>
  <c r="DH12" i="5"/>
  <c r="DH11" i="5"/>
  <c r="DH44" i="5"/>
  <c r="DH10" i="5"/>
  <c r="DH9" i="5"/>
  <c r="DH8" i="5"/>
  <c r="DH7" i="5"/>
  <c r="DH6" i="5"/>
  <c r="DH4" i="5"/>
  <c r="DH3" i="5"/>
  <c r="BO34" i="5"/>
  <c r="BO103" i="5" s="1"/>
  <c r="BO105" i="5" s="1"/>
  <c r="BP103" i="5"/>
  <c r="BP105" i="5" s="1"/>
  <c r="BP109" i="5" s="1"/>
  <c r="BQ112" i="5"/>
  <c r="BQ110" i="5"/>
  <c r="BQ103" i="5"/>
  <c r="BQ105" i="5" s="1"/>
  <c r="CB107" i="5"/>
  <c r="CA107" i="5"/>
  <c r="CB106" i="5"/>
  <c r="CA106" i="5"/>
  <c r="DJ106" i="5"/>
  <c r="DN2" i="5"/>
  <c r="DO2" i="5" s="1"/>
  <c r="DP2" i="5" s="1"/>
  <c r="DQ2" i="5" s="1"/>
  <c r="DR2" i="5" s="1"/>
  <c r="DS2" i="5" s="1"/>
  <c r="DT2" i="5" s="1"/>
  <c r="DU2" i="5" s="1"/>
  <c r="DV2" i="5" s="1"/>
  <c r="DW2" i="5" s="1"/>
  <c r="DK50" i="5"/>
  <c r="DJ50" i="5"/>
  <c r="DI50" i="5"/>
  <c r="DK49" i="5"/>
  <c r="DJ49" i="5"/>
  <c r="DI49" i="5"/>
  <c r="DK48" i="5"/>
  <c r="DJ48" i="5"/>
  <c r="DI48" i="5"/>
  <c r="DI29" i="5"/>
  <c r="DI28" i="5"/>
  <c r="DI47" i="5"/>
  <c r="DI46" i="5"/>
  <c r="DI45" i="5"/>
  <c r="DI43" i="5"/>
  <c r="DI42" i="5"/>
  <c r="DI41" i="5"/>
  <c r="DJ40" i="5"/>
  <c r="DI40" i="5"/>
  <c r="DI39" i="5"/>
  <c r="DI38" i="5"/>
  <c r="DI21" i="5"/>
  <c r="DI37" i="5"/>
  <c r="DJ36" i="5"/>
  <c r="DI36" i="5"/>
  <c r="DI35" i="5"/>
  <c r="DI33" i="5"/>
  <c r="DI32" i="5"/>
  <c r="DI31" i="5"/>
  <c r="DI30" i="5"/>
  <c r="DI26" i="5"/>
  <c r="DI25" i="5"/>
  <c r="DI24" i="5"/>
  <c r="DI23" i="5"/>
  <c r="DI22" i="5"/>
  <c r="DI20" i="5"/>
  <c r="DI19" i="5"/>
  <c r="DI18" i="5"/>
  <c r="DI17" i="5"/>
  <c r="DI16" i="5"/>
  <c r="DI15" i="5"/>
  <c r="DI13" i="5"/>
  <c r="DI12" i="5"/>
  <c r="DI11" i="5"/>
  <c r="DI44" i="5"/>
  <c r="DI10" i="5"/>
  <c r="DI9" i="5"/>
  <c r="DI8" i="5"/>
  <c r="DI7" i="5"/>
  <c r="DI6" i="5"/>
  <c r="DI4" i="5"/>
  <c r="DI3" i="5"/>
  <c r="BX163" i="5"/>
  <c r="BX159" i="5"/>
  <c r="BX147" i="5" s="1"/>
  <c r="BX153" i="5"/>
  <c r="BX150" i="5"/>
  <c r="BT112" i="5"/>
  <c r="BT110" i="5"/>
  <c r="BX112" i="5"/>
  <c r="BX110" i="5"/>
  <c r="BR112" i="5"/>
  <c r="BR110" i="5"/>
  <c r="BN112" i="5"/>
  <c r="BN110" i="5"/>
  <c r="BN105" i="5"/>
  <c r="BN109" i="5" s="1"/>
  <c r="BR103" i="5"/>
  <c r="BR117" i="5" s="1"/>
  <c r="BS103" i="5"/>
  <c r="BS105" i="5" s="1"/>
  <c r="BS109" i="5" s="1"/>
  <c r="BS112" i="5"/>
  <c r="BS110" i="5"/>
  <c r="BO112" i="5"/>
  <c r="BO110" i="5"/>
  <c r="BP112" i="5"/>
  <c r="BP110" i="5"/>
  <c r="BT103" i="5"/>
  <c r="BT105" i="5" s="1"/>
  <c r="BT125" i="5" s="1"/>
  <c r="BU112" i="5"/>
  <c r="BU108" i="5"/>
  <c r="DI108" i="5" s="1"/>
  <c r="BU110" i="5"/>
  <c r="BU103" i="5"/>
  <c r="BU105" i="5" s="1"/>
  <c r="BU125" i="5" s="1"/>
  <c r="BX9" i="5"/>
  <c r="BX46" i="5"/>
  <c r="BX34" i="5"/>
  <c r="BW112" i="5"/>
  <c r="BV112" i="5"/>
  <c r="BV110" i="5"/>
  <c r="BV34" i="5"/>
  <c r="BV103" i="5" s="1"/>
  <c r="BV105" i="5" s="1"/>
  <c r="BV109" i="5" s="1"/>
  <c r="BW34" i="5"/>
  <c r="CE171" i="5" l="1"/>
  <c r="CE174" i="5" s="1"/>
  <c r="CF105" i="5"/>
  <c r="CE105" i="5"/>
  <c r="DH112" i="5"/>
  <c r="DI110" i="5"/>
  <c r="DH110" i="5"/>
  <c r="DJ110" i="5"/>
  <c r="DH34" i="5"/>
  <c r="DH103" i="5" s="1"/>
  <c r="DH105" i="5" s="1"/>
  <c r="DI112" i="5"/>
  <c r="DK40" i="5"/>
  <c r="DL40" i="5" s="1"/>
  <c r="DM40" i="5" s="1"/>
  <c r="DN40" i="5" s="1"/>
  <c r="DO40" i="5" s="1"/>
  <c r="DP40" i="5" s="1"/>
  <c r="DQ40" i="5" s="1"/>
  <c r="DR40" i="5" s="1"/>
  <c r="DS40" i="5" s="1"/>
  <c r="DT40" i="5" s="1"/>
  <c r="DU40" i="5" s="1"/>
  <c r="DV40" i="5" s="1"/>
  <c r="DW40" i="5" s="1"/>
  <c r="BP111" i="5"/>
  <c r="BP113" i="5" s="1"/>
  <c r="BP115" i="5" s="1"/>
  <c r="DJ107" i="5"/>
  <c r="DK25" i="5"/>
  <c r="DL25" i="5" s="1"/>
  <c r="DM25" i="5" s="1"/>
  <c r="DN25" i="5" s="1"/>
  <c r="DO25" i="5" s="1"/>
  <c r="DP25" i="5" s="1"/>
  <c r="DQ25" i="5" s="1"/>
  <c r="DR25" i="5" s="1"/>
  <c r="DS25" i="5" s="1"/>
  <c r="DT25" i="5" s="1"/>
  <c r="DU25" i="5" s="1"/>
  <c r="DV25" i="5" s="1"/>
  <c r="DW25" i="5" s="1"/>
  <c r="DK36" i="5"/>
  <c r="DL36" i="5" s="1"/>
  <c r="DM36" i="5" s="1"/>
  <c r="DN36" i="5" s="1"/>
  <c r="DO36" i="5" s="1"/>
  <c r="DP36" i="5" s="1"/>
  <c r="DQ36" i="5" s="1"/>
  <c r="DR36" i="5" s="1"/>
  <c r="DS36" i="5" s="1"/>
  <c r="DT36" i="5" s="1"/>
  <c r="DU36" i="5" s="1"/>
  <c r="DV36" i="5" s="1"/>
  <c r="DW36" i="5" s="1"/>
  <c r="DK32" i="5"/>
  <c r="DL32" i="5" s="1"/>
  <c r="DM32" i="5" s="1"/>
  <c r="DN32" i="5" s="1"/>
  <c r="DO32" i="5" s="1"/>
  <c r="DP32" i="5" s="1"/>
  <c r="DQ32" i="5" s="1"/>
  <c r="DR32" i="5" s="1"/>
  <c r="DS32" i="5" s="1"/>
  <c r="DT32" i="5" s="1"/>
  <c r="DU32" i="5" s="1"/>
  <c r="DV32" i="5" s="1"/>
  <c r="DW32" i="5" s="1"/>
  <c r="DJ8" i="5"/>
  <c r="DJ41" i="5"/>
  <c r="DK11" i="5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DJ33" i="5"/>
  <c r="DK33" i="5"/>
  <c r="DL33" i="5" s="1"/>
  <c r="DM33" i="5" s="1"/>
  <c r="DN33" i="5" s="1"/>
  <c r="DO33" i="5" s="1"/>
  <c r="DP33" i="5" s="1"/>
  <c r="DQ33" i="5" s="1"/>
  <c r="DR33" i="5" s="1"/>
  <c r="DS33" i="5" s="1"/>
  <c r="DT33" i="5" s="1"/>
  <c r="DU33" i="5" s="1"/>
  <c r="DV33" i="5" s="1"/>
  <c r="DW33" i="5" s="1"/>
  <c r="DK24" i="5"/>
  <c r="DK17" i="5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BV111" i="5"/>
  <c r="BV129" i="5" s="1"/>
  <c r="DK39" i="5"/>
  <c r="DL39" i="5" s="1"/>
  <c r="DM39" i="5" s="1"/>
  <c r="DN39" i="5" s="1"/>
  <c r="DO39" i="5" s="1"/>
  <c r="DP39" i="5" s="1"/>
  <c r="DQ39" i="5" s="1"/>
  <c r="DR39" i="5" s="1"/>
  <c r="DS39" i="5" s="1"/>
  <c r="DT39" i="5" s="1"/>
  <c r="DU39" i="5" s="1"/>
  <c r="DV39" i="5" s="1"/>
  <c r="DW39" i="5" s="1"/>
  <c r="DJ23" i="5"/>
  <c r="DK35" i="5"/>
  <c r="DL35" i="5" s="1"/>
  <c r="DM35" i="5" s="1"/>
  <c r="DN35" i="5" s="1"/>
  <c r="DO35" i="5" s="1"/>
  <c r="DP35" i="5" s="1"/>
  <c r="DQ35" i="5" s="1"/>
  <c r="DR35" i="5" s="1"/>
  <c r="DS35" i="5" s="1"/>
  <c r="DT35" i="5" s="1"/>
  <c r="DU35" i="5" s="1"/>
  <c r="DV35" i="5" s="1"/>
  <c r="DW35" i="5" s="1"/>
  <c r="DK12" i="5"/>
  <c r="DL12" i="5" s="1"/>
  <c r="DM12" i="5" s="1"/>
  <c r="DN12" i="5" s="1"/>
  <c r="DO12" i="5" s="1"/>
  <c r="DP12" i="5" s="1"/>
  <c r="DQ12" i="5" s="1"/>
  <c r="DR12" i="5" s="1"/>
  <c r="DS12" i="5" s="1"/>
  <c r="DT12" i="5" s="1"/>
  <c r="DU12" i="5" s="1"/>
  <c r="DV12" i="5" s="1"/>
  <c r="DW12" i="5" s="1"/>
  <c r="DK18" i="5"/>
  <c r="DK19" i="5"/>
  <c r="DK26" i="5"/>
  <c r="DL26" i="5" s="1"/>
  <c r="DM26" i="5" s="1"/>
  <c r="DN26" i="5" s="1"/>
  <c r="DO26" i="5" s="1"/>
  <c r="DP26" i="5" s="1"/>
  <c r="DQ26" i="5" s="1"/>
  <c r="DR26" i="5" s="1"/>
  <c r="DS26" i="5" s="1"/>
  <c r="DT26" i="5" s="1"/>
  <c r="DU26" i="5" s="1"/>
  <c r="DV26" i="5" s="1"/>
  <c r="DW26" i="5" s="1"/>
  <c r="DJ6" i="5"/>
  <c r="BS111" i="5"/>
  <c r="BS113" i="5" s="1"/>
  <c r="BS115" i="5" s="1"/>
  <c r="DJ7" i="5"/>
  <c r="DJ25" i="5"/>
  <c r="DK37" i="5"/>
  <c r="DL37" i="5" s="1"/>
  <c r="DM37" i="5" s="1"/>
  <c r="DN37" i="5" s="1"/>
  <c r="DO37" i="5" s="1"/>
  <c r="DP37" i="5" s="1"/>
  <c r="DQ37" i="5" s="1"/>
  <c r="DR37" i="5" s="1"/>
  <c r="DS37" i="5" s="1"/>
  <c r="DT37" i="5" s="1"/>
  <c r="DU37" i="5" s="1"/>
  <c r="DV37" i="5" s="1"/>
  <c r="DW37" i="5" s="1"/>
  <c r="DK15" i="5"/>
  <c r="DK3" i="5"/>
  <c r="DK23" i="5"/>
  <c r="DK28" i="5"/>
  <c r="DL28" i="5" s="1"/>
  <c r="DM28" i="5" s="1"/>
  <c r="DN28" i="5" s="1"/>
  <c r="DO28" i="5" s="1"/>
  <c r="DP28" i="5" s="1"/>
  <c r="DQ28" i="5" s="1"/>
  <c r="DR28" i="5" s="1"/>
  <c r="DS28" i="5" s="1"/>
  <c r="DT28" i="5" s="1"/>
  <c r="DU28" i="5" s="1"/>
  <c r="DV28" i="5" s="1"/>
  <c r="DW28" i="5" s="1"/>
  <c r="DK13" i="5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K22" i="5"/>
  <c r="DJ12" i="5"/>
  <c r="DI34" i="5"/>
  <c r="DI103" i="5" s="1"/>
  <c r="DI105" i="5" s="1"/>
  <c r="DK16" i="5"/>
  <c r="DJ29" i="5"/>
  <c r="BX161" i="5"/>
  <c r="DJ35" i="5"/>
  <c r="DK29" i="5"/>
  <c r="DL29" i="5" s="1"/>
  <c r="DM29" i="5" s="1"/>
  <c r="DN29" i="5" s="1"/>
  <c r="DO29" i="5" s="1"/>
  <c r="DP29" i="5" s="1"/>
  <c r="DQ29" i="5" s="1"/>
  <c r="DR29" i="5" s="1"/>
  <c r="DS29" i="5" s="1"/>
  <c r="DT29" i="5" s="1"/>
  <c r="DU29" i="5" s="1"/>
  <c r="DV29" i="5" s="1"/>
  <c r="DW29" i="5" s="1"/>
  <c r="DK30" i="5"/>
  <c r="DL30" i="5" s="1"/>
  <c r="DM30" i="5" s="1"/>
  <c r="DN30" i="5" s="1"/>
  <c r="DO30" i="5" s="1"/>
  <c r="DP30" i="5" s="1"/>
  <c r="DQ30" i="5" s="1"/>
  <c r="DR30" i="5" s="1"/>
  <c r="DS30" i="5" s="1"/>
  <c r="DT30" i="5" s="1"/>
  <c r="DU30" i="5" s="1"/>
  <c r="DV30" i="5" s="1"/>
  <c r="DW30" i="5" s="1"/>
  <c r="DK20" i="5"/>
  <c r="DK31" i="5"/>
  <c r="DL31" i="5" s="1"/>
  <c r="DM31" i="5" s="1"/>
  <c r="DN31" i="5" s="1"/>
  <c r="DO31" i="5" s="1"/>
  <c r="DP31" i="5" s="1"/>
  <c r="DQ31" i="5" s="1"/>
  <c r="DR31" i="5" s="1"/>
  <c r="DS31" i="5" s="1"/>
  <c r="DT31" i="5" s="1"/>
  <c r="DU31" i="5" s="1"/>
  <c r="DV31" i="5" s="1"/>
  <c r="DW31" i="5" s="1"/>
  <c r="DJ13" i="5"/>
  <c r="DK43" i="5"/>
  <c r="BQ125" i="5"/>
  <c r="BQ109" i="5"/>
  <c r="BQ111" i="5" s="1"/>
  <c r="BQ113" i="5" s="1"/>
  <c r="BQ115" i="5" s="1"/>
  <c r="BW103" i="5"/>
  <c r="BW105" i="5" s="1"/>
  <c r="BW109" i="5" s="1"/>
  <c r="BW111" i="5" s="1"/>
  <c r="DJ22" i="5"/>
  <c r="DJ15" i="5"/>
  <c r="DJ24" i="5"/>
  <c r="DJ42" i="5"/>
  <c r="DK42" i="5"/>
  <c r="DL42" i="5" s="1"/>
  <c r="DM42" i="5" s="1"/>
  <c r="DN42" i="5" s="1"/>
  <c r="DO42" i="5" s="1"/>
  <c r="DP42" i="5" s="1"/>
  <c r="DQ42" i="5" s="1"/>
  <c r="DR42" i="5" s="1"/>
  <c r="DS42" i="5" s="1"/>
  <c r="DT42" i="5" s="1"/>
  <c r="DU42" i="5" s="1"/>
  <c r="DV42" i="5" s="1"/>
  <c r="DW42" i="5" s="1"/>
  <c r="DK41" i="5"/>
  <c r="DJ16" i="5"/>
  <c r="DJ43" i="5"/>
  <c r="DJ9" i="5"/>
  <c r="DJ17" i="5"/>
  <c r="DJ26" i="5"/>
  <c r="DJ37" i="5"/>
  <c r="DJ45" i="5"/>
  <c r="DK45" i="5"/>
  <c r="BN125" i="5"/>
  <c r="DJ10" i="5"/>
  <c r="DJ18" i="5"/>
  <c r="DJ30" i="5"/>
  <c r="DJ21" i="5"/>
  <c r="DJ3" i="5"/>
  <c r="DK21" i="5"/>
  <c r="DL21" i="5" s="1"/>
  <c r="DM21" i="5" s="1"/>
  <c r="DN21" i="5" s="1"/>
  <c r="DO21" i="5" s="1"/>
  <c r="DP21" i="5" s="1"/>
  <c r="DQ21" i="5" s="1"/>
  <c r="DR21" i="5" s="1"/>
  <c r="DS21" i="5" s="1"/>
  <c r="BS125" i="5"/>
  <c r="DJ44" i="5"/>
  <c r="DJ19" i="5"/>
  <c r="DJ31" i="5"/>
  <c r="DJ38" i="5"/>
  <c r="DJ47" i="5"/>
  <c r="DK44" i="5"/>
  <c r="DK38" i="5"/>
  <c r="DL38" i="5" s="1"/>
  <c r="DM38" i="5" s="1"/>
  <c r="DN38" i="5" s="1"/>
  <c r="DO38" i="5" s="1"/>
  <c r="DP38" i="5" s="1"/>
  <c r="DQ38" i="5" s="1"/>
  <c r="DR38" i="5" s="1"/>
  <c r="DS38" i="5" s="1"/>
  <c r="DT38" i="5" s="1"/>
  <c r="DU38" i="5" s="1"/>
  <c r="DV38" i="5" s="1"/>
  <c r="DW38" i="5" s="1"/>
  <c r="DK47" i="5"/>
  <c r="DL47" i="5" s="1"/>
  <c r="DM47" i="5" s="1"/>
  <c r="DN47" i="5" s="1"/>
  <c r="DO47" i="5" s="1"/>
  <c r="DP47" i="5" s="1"/>
  <c r="DQ47" i="5" s="1"/>
  <c r="DR47" i="5" s="1"/>
  <c r="DS47" i="5" s="1"/>
  <c r="DT47" i="5" s="1"/>
  <c r="DU47" i="5" s="1"/>
  <c r="DV47" i="5" s="1"/>
  <c r="DW47" i="5" s="1"/>
  <c r="DJ4" i="5"/>
  <c r="DJ11" i="5"/>
  <c r="DJ20" i="5"/>
  <c r="DJ32" i="5"/>
  <c r="DJ39" i="5"/>
  <c r="DJ28" i="5"/>
  <c r="BO109" i="5"/>
  <c r="BO111" i="5" s="1"/>
  <c r="BO113" i="5" s="1"/>
  <c r="BO115" i="5" s="1"/>
  <c r="BO125" i="5"/>
  <c r="BP125" i="5"/>
  <c r="BR105" i="5"/>
  <c r="DJ114" i="5"/>
  <c r="DK114" i="5" s="1"/>
  <c r="DL114" i="5" s="1"/>
  <c r="DM114" i="5" s="1"/>
  <c r="BX103" i="5"/>
  <c r="BX105" i="5" s="1"/>
  <c r="BX109" i="5" s="1"/>
  <c r="BX111" i="5" s="1"/>
  <c r="DK4" i="5"/>
  <c r="BV117" i="5"/>
  <c r="BU117" i="5"/>
  <c r="DK8" i="5"/>
  <c r="DL8" i="5" s="1"/>
  <c r="DM8" i="5" s="1"/>
  <c r="DN8" i="5" s="1"/>
  <c r="DO8" i="5" s="1"/>
  <c r="DP8" i="5" s="1"/>
  <c r="DQ8" i="5" s="1"/>
  <c r="DR8" i="5" s="1"/>
  <c r="DS8" i="5" s="1"/>
  <c r="DK10" i="5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BT117" i="5"/>
  <c r="BS117" i="5"/>
  <c r="BN111" i="5"/>
  <c r="BN113" i="5" s="1"/>
  <c r="BN115" i="5" s="1"/>
  <c r="BT109" i="5"/>
  <c r="BT111" i="5" s="1"/>
  <c r="BT113" i="5" s="1"/>
  <c r="BT115" i="5" s="1"/>
  <c r="BU109" i="5"/>
  <c r="BU111" i="5" s="1"/>
  <c r="BU113" i="5" s="1"/>
  <c r="BU115" i="5" s="1"/>
  <c r="BV125" i="5"/>
  <c r="AR110" i="5"/>
  <c r="AR108" i="5"/>
  <c r="AR9" i="5"/>
  <c r="AR103" i="5" s="1"/>
  <c r="AR105" i="5" s="1"/>
  <c r="AQ103" i="5"/>
  <c r="CF109" i="5" l="1"/>
  <c r="CF111" i="5" s="1"/>
  <c r="CF125" i="5"/>
  <c r="CE109" i="5"/>
  <c r="CE111" i="5" s="1"/>
  <c r="CE125" i="5"/>
  <c r="DL4" i="5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I109" i="5"/>
  <c r="DI111" i="5" s="1"/>
  <c r="DI113" i="5" s="1"/>
  <c r="DI125" i="5"/>
  <c r="DH109" i="5"/>
  <c r="DH111" i="5" s="1"/>
  <c r="DH113" i="5" s="1"/>
  <c r="DH125" i="5"/>
  <c r="BV113" i="5"/>
  <c r="BV115" i="5" s="1"/>
  <c r="DN114" i="5"/>
  <c r="BW117" i="5"/>
  <c r="BW125" i="5"/>
  <c r="BW129" i="5"/>
  <c r="BW113" i="5"/>
  <c r="BW115" i="5" s="1"/>
  <c r="BZ103" i="5"/>
  <c r="DJ34" i="5"/>
  <c r="BR109" i="5"/>
  <c r="BR111" i="5" s="1"/>
  <c r="BR113" i="5" s="1"/>
  <c r="BR115" i="5" s="1"/>
  <c r="BR125" i="5"/>
  <c r="DK34" i="5"/>
  <c r="DL34" i="5" s="1"/>
  <c r="DM34" i="5" s="1"/>
  <c r="DN34" i="5" s="1"/>
  <c r="DO34" i="5" s="1"/>
  <c r="DP34" i="5" s="1"/>
  <c r="DQ34" i="5" s="1"/>
  <c r="DR34" i="5" s="1"/>
  <c r="DS34" i="5" s="1"/>
  <c r="DT34" i="5" s="1"/>
  <c r="DU34" i="5" s="1"/>
  <c r="DV34" i="5" s="1"/>
  <c r="DW34" i="5" s="1"/>
  <c r="BX113" i="5"/>
  <c r="BX115" i="5" s="1"/>
  <c r="BX129" i="5"/>
  <c r="DJ46" i="5"/>
  <c r="CA103" i="5"/>
  <c r="BY103" i="5"/>
  <c r="BY105" i="5" s="1"/>
  <c r="CA114" i="5"/>
  <c r="BX117" i="5"/>
  <c r="BX125" i="5"/>
  <c r="DK9" i="5"/>
  <c r="AR109" i="5"/>
  <c r="AR111" i="5" s="1"/>
  <c r="AR113" i="5" s="1"/>
  <c r="AR115" i="5" s="1"/>
  <c r="AP103" i="5"/>
  <c r="CF113" i="5" l="1"/>
  <c r="CF115" i="5" s="1"/>
  <c r="CF129" i="5"/>
  <c r="CA105" i="5"/>
  <c r="CA125" i="5" s="1"/>
  <c r="CE117" i="5"/>
  <c r="CE113" i="5"/>
  <c r="CE115" i="5" s="1"/>
  <c r="CE129" i="5"/>
  <c r="BZ117" i="5"/>
  <c r="BZ105" i="5"/>
  <c r="DJ105" i="5" s="1"/>
  <c r="DK46" i="5"/>
  <c r="DL46" i="5" s="1"/>
  <c r="DM46" i="5" s="1"/>
  <c r="DN46" i="5" s="1"/>
  <c r="DO46" i="5" s="1"/>
  <c r="DP46" i="5" s="1"/>
  <c r="DQ46" i="5" s="1"/>
  <c r="DR46" i="5" s="1"/>
  <c r="DS46" i="5" s="1"/>
  <c r="DT46" i="5" s="1"/>
  <c r="DU46" i="5" s="1"/>
  <c r="DV46" i="5" s="1"/>
  <c r="DW46" i="5" s="1"/>
  <c r="DO114" i="5"/>
  <c r="DJ103" i="5"/>
  <c r="DK5" i="5"/>
  <c r="CC103" i="5"/>
  <c r="CC117" i="5" s="1"/>
  <c r="DK7" i="5"/>
  <c r="DL7" i="5" s="1"/>
  <c r="DM7" i="5" s="1"/>
  <c r="DN7" i="5" s="1"/>
  <c r="DO7" i="5" s="1"/>
  <c r="DP7" i="5" s="1"/>
  <c r="DQ7" i="5" s="1"/>
  <c r="DR7" i="5" s="1"/>
  <c r="DS7" i="5" s="1"/>
  <c r="DK6" i="5"/>
  <c r="DL6" i="5" s="1"/>
  <c r="DM6" i="5" s="1"/>
  <c r="DN6" i="5" s="1"/>
  <c r="DO6" i="5" s="1"/>
  <c r="DP6" i="5" s="1"/>
  <c r="DQ6" i="5" s="1"/>
  <c r="DR6" i="5" s="1"/>
  <c r="DS6" i="5" s="1"/>
  <c r="CB103" i="5"/>
  <c r="BY117" i="5"/>
  <c r="CA117" i="5"/>
  <c r="CB114" i="5"/>
  <c r="AF120" i="5"/>
  <c r="AF119" i="5"/>
  <c r="AF112" i="5"/>
  <c r="AF110" i="5"/>
  <c r="AF34" i="5"/>
  <c r="AF61" i="5"/>
  <c r="AF53" i="5"/>
  <c r="AF65" i="5"/>
  <c r="AF58" i="5"/>
  <c r="AF59" i="5"/>
  <c r="AF60" i="5"/>
  <c r="AF41" i="5"/>
  <c r="AG112" i="5"/>
  <c r="AG110" i="5"/>
  <c r="AG34" i="5"/>
  <c r="AG61" i="5"/>
  <c r="AG53" i="5"/>
  <c r="AG65" i="5"/>
  <c r="AG58" i="5"/>
  <c r="AG59" i="5"/>
  <c r="AG60" i="5"/>
  <c r="AG41" i="5"/>
  <c r="AH112" i="5"/>
  <c r="AH110" i="5"/>
  <c r="AH34" i="5"/>
  <c r="AH61" i="5"/>
  <c r="AH53" i="5"/>
  <c r="AH65" i="5"/>
  <c r="AH58" i="5"/>
  <c r="AH59" i="5"/>
  <c r="AH60" i="5"/>
  <c r="AH41" i="5"/>
  <c r="AI112" i="5"/>
  <c r="AI110" i="5"/>
  <c r="AI108" i="5"/>
  <c r="AI9" i="5"/>
  <c r="AI61" i="5"/>
  <c r="AI34" i="5"/>
  <c r="AI57" i="5"/>
  <c r="AI53" i="5"/>
  <c r="AI58" i="5"/>
  <c r="AI65" i="5"/>
  <c r="AI59" i="5"/>
  <c r="AI60" i="5"/>
  <c r="AI41" i="5"/>
  <c r="AJ9" i="5"/>
  <c r="AJ103" i="5" s="1"/>
  <c r="CA104" i="5" l="1"/>
  <c r="CA109" i="5"/>
  <c r="CA111" i="5" s="1"/>
  <c r="CA112" i="5" s="1"/>
  <c r="CA113" i="5" s="1"/>
  <c r="CA115" i="5" s="1"/>
  <c r="CB117" i="5"/>
  <c r="CF117" i="5"/>
  <c r="BZ125" i="5"/>
  <c r="BZ109" i="5"/>
  <c r="BZ111" i="5" s="1"/>
  <c r="BZ113" i="5" s="1"/>
  <c r="BZ115" i="5" s="1"/>
  <c r="CD103" i="5"/>
  <c r="CD117" i="5" s="1"/>
  <c r="BZ129" i="5"/>
  <c r="DL5" i="5"/>
  <c r="DM5" i="5" s="1"/>
  <c r="DN5" i="5" s="1"/>
  <c r="DO5" i="5" s="1"/>
  <c r="DP5" i="5" s="1"/>
  <c r="DQ5" i="5" s="1"/>
  <c r="DR5" i="5" s="1"/>
  <c r="DS5" i="5" s="1"/>
  <c r="DK103" i="5"/>
  <c r="DK105" i="5" s="1"/>
  <c r="DK125" i="5" s="1"/>
  <c r="CB105" i="5"/>
  <c r="CB125" i="5" s="1"/>
  <c r="DJ104" i="5"/>
  <c r="DJ125" i="5"/>
  <c r="DJ109" i="5"/>
  <c r="DJ111" i="5" s="1"/>
  <c r="DP114" i="5"/>
  <c r="BY109" i="5"/>
  <c r="BY111" i="5" s="1"/>
  <c r="BY129" i="5" s="1"/>
  <c r="BY125" i="5"/>
  <c r="AH103" i="5"/>
  <c r="AH105" i="5" s="1"/>
  <c r="AH125" i="5" s="1"/>
  <c r="AI103" i="5"/>
  <c r="AI105" i="5" s="1"/>
  <c r="AI109" i="5" s="1"/>
  <c r="AI111" i="5" s="1"/>
  <c r="AI113" i="5" s="1"/>
  <c r="CX107" i="5"/>
  <c r="CY81" i="5"/>
  <c r="CY64" i="5"/>
  <c r="CY84" i="5"/>
  <c r="CZ84" i="5" s="1"/>
  <c r="CX16" i="5"/>
  <c r="CX55" i="5"/>
  <c r="CY55" i="5" s="1"/>
  <c r="CZ55" i="5" s="1"/>
  <c r="DA55" i="5" s="1"/>
  <c r="DB55" i="5" s="1"/>
  <c r="CA129" i="5" l="1"/>
  <c r="CD125" i="5"/>
  <c r="CC125" i="5"/>
  <c r="CC109" i="5"/>
  <c r="CC111" i="5" s="1"/>
  <c r="CB109" i="5"/>
  <c r="CB111" i="5" s="1"/>
  <c r="CB112" i="5" s="1"/>
  <c r="CB104" i="5"/>
  <c r="DK106" i="5"/>
  <c r="BY113" i="5"/>
  <c r="DJ112" i="5"/>
  <c r="DJ113" i="5" s="1"/>
  <c r="DK104" i="5"/>
  <c r="DQ114" i="5"/>
  <c r="AH126" i="5"/>
  <c r="AH127" i="5"/>
  <c r="CY68" i="5"/>
  <c r="CY78" i="5"/>
  <c r="CY85" i="5"/>
  <c r="AE110" i="5"/>
  <c r="CX94" i="5"/>
  <c r="CX81" i="5"/>
  <c r="CX93" i="5"/>
  <c r="CX78" i="5"/>
  <c r="CX67" i="5"/>
  <c r="CX63" i="5"/>
  <c r="CX88" i="5"/>
  <c r="CY88" i="5" s="1"/>
  <c r="CX89" i="5"/>
  <c r="CX82" i="5"/>
  <c r="CX56" i="5"/>
  <c r="AE39" i="5"/>
  <c r="AE61" i="5"/>
  <c r="AE60" i="5"/>
  <c r="AE65" i="5"/>
  <c r="AE59" i="5"/>
  <c r="AE41" i="5"/>
  <c r="AE34" i="5"/>
  <c r="AE53" i="5"/>
  <c r="AE31" i="5"/>
  <c r="CD109" i="5" l="1"/>
  <c r="CD111" i="5" s="1"/>
  <c r="CD129" i="5" s="1"/>
  <c r="CB113" i="5"/>
  <c r="CB115" i="5" s="1"/>
  <c r="CB129" i="5"/>
  <c r="CC113" i="5"/>
  <c r="CC115" i="5" s="1"/>
  <c r="CC129" i="5"/>
  <c r="DJ132" i="5"/>
  <c r="DK110" i="5" s="1"/>
  <c r="BY115" i="5"/>
  <c r="DR114" i="5"/>
  <c r="AD106" i="5"/>
  <c r="AD110" i="5"/>
  <c r="AD39" i="5"/>
  <c r="AD31" i="5"/>
  <c r="AC31" i="5"/>
  <c r="AD61" i="5"/>
  <c r="AD60" i="5"/>
  <c r="AD65" i="5"/>
  <c r="AD59" i="5"/>
  <c r="AD41" i="5"/>
  <c r="AD34" i="5"/>
  <c r="AD53" i="5"/>
  <c r="CD113" i="5" l="1"/>
  <c r="CD115" i="5" s="1"/>
  <c r="DS114" i="5"/>
  <c r="CY94" i="5"/>
  <c r="CW16" i="5"/>
  <c r="AC104" i="5"/>
  <c r="CX104" i="5" s="1"/>
  <c r="W119" i="5"/>
  <c r="CW114" i="5"/>
  <c r="CW108" i="5"/>
  <c r="CW107" i="5"/>
  <c r="CW106" i="5"/>
  <c r="CW104" i="5"/>
  <c r="X222" i="5"/>
  <c r="X218" i="5"/>
  <c r="X216" i="5"/>
  <c r="X214" i="5"/>
  <c r="X212" i="5"/>
  <c r="T210" i="5"/>
  <c r="X195" i="5"/>
  <c r="Y195" i="5" s="1"/>
  <c r="Z195" i="5" s="1"/>
  <c r="X194" i="5"/>
  <c r="Y194" i="5" s="1"/>
  <c r="Z194" i="5" s="1"/>
  <c r="X189" i="5"/>
  <c r="Y189" i="5" s="1"/>
  <c r="X177" i="5"/>
  <c r="Y177" i="5" s="1"/>
  <c r="Z177" i="5" s="1"/>
  <c r="X176" i="5"/>
  <c r="X185" i="5"/>
  <c r="Y185" i="5" s="1"/>
  <c r="Z185" i="5" s="1"/>
  <c r="X183" i="5"/>
  <c r="Y183" i="5" s="1"/>
  <c r="Z183" i="5" s="1"/>
  <c r="X181" i="5"/>
  <c r="Y181" i="5" s="1"/>
  <c r="Z181" i="5" s="1"/>
  <c r="X180" i="5"/>
  <c r="Y180" i="5" s="1"/>
  <c r="Z180" i="5" s="1"/>
  <c r="X179" i="5"/>
  <c r="Y179" i="5" s="1"/>
  <c r="Z179" i="5" s="1"/>
  <c r="W222" i="5"/>
  <c r="W218" i="5"/>
  <c r="W216" i="5"/>
  <c r="W214" i="5"/>
  <c r="W212" i="5"/>
  <c r="S210" i="5"/>
  <c r="W193" i="5"/>
  <c r="W196" i="5" s="1"/>
  <c r="W191" i="5"/>
  <c r="X191" i="5" s="1"/>
  <c r="Y191" i="5" s="1"/>
  <c r="Z191" i="5" s="1"/>
  <c r="W190" i="5"/>
  <c r="X190" i="5" s="1"/>
  <c r="Y190" i="5" s="1"/>
  <c r="Z190" i="5" s="1"/>
  <c r="W187" i="5"/>
  <c r="X187" i="5" s="1"/>
  <c r="Y187" i="5" s="1"/>
  <c r="W178" i="5"/>
  <c r="X178" i="5" s="1"/>
  <c r="Y178" i="5" s="1"/>
  <c r="Z178" i="5" s="1"/>
  <c r="CX66" i="5"/>
  <c r="CW75" i="5"/>
  <c r="Y222" i="5"/>
  <c r="Y218" i="5"/>
  <c r="U210" i="5"/>
  <c r="Y216" i="5"/>
  <c r="Y214" i="5"/>
  <c r="Y212" i="5"/>
  <c r="AD120" i="5"/>
  <c r="AE114" i="5"/>
  <c r="DT114" i="5" l="1"/>
  <c r="CY16" i="5"/>
  <c r="CZ16" i="5" s="1"/>
  <c r="DA16" i="5" s="1"/>
  <c r="DB16" i="5" s="1"/>
  <c r="DC16" i="5" s="1"/>
  <c r="DD16" i="5" s="1"/>
  <c r="DE16" i="5" s="1"/>
  <c r="DL16" i="5" s="1"/>
  <c r="DM16" i="5" s="1"/>
  <c r="DN16" i="5" s="1"/>
  <c r="DO16" i="5" s="1"/>
  <c r="DP16" i="5" s="1"/>
  <c r="DQ16" i="5" s="1"/>
  <c r="DR16" i="5" s="1"/>
  <c r="DS16" i="5" s="1"/>
  <c r="DT16" i="5" s="1"/>
  <c r="DU16" i="5" s="1"/>
  <c r="DV16" i="5" s="1"/>
  <c r="DW16" i="5" s="1"/>
  <c r="CY56" i="5"/>
  <c r="X184" i="5"/>
  <c r="X186" i="5" s="1"/>
  <c r="X188" i="5" s="1"/>
  <c r="Y176" i="5"/>
  <c r="Z176" i="5" s="1"/>
  <c r="Z184" i="5" s="1"/>
  <c r="Z186" i="5" s="1"/>
  <c r="W192" i="5"/>
  <c r="W184" i="5"/>
  <c r="W186" i="5" s="1"/>
  <c r="W188" i="5" s="1"/>
  <c r="Z187" i="5"/>
  <c r="Y192" i="5"/>
  <c r="Z189" i="5"/>
  <c r="Z192" i="5" s="1"/>
  <c r="X193" i="5"/>
  <c r="X192" i="5"/>
  <c r="Z212" i="5"/>
  <c r="V210" i="5"/>
  <c r="Z222" i="5"/>
  <c r="Z218" i="5"/>
  <c r="Z216" i="5"/>
  <c r="Z214" i="5"/>
  <c r="Z210" i="5"/>
  <c r="AB222" i="5"/>
  <c r="AB220" i="5"/>
  <c r="AB218" i="5"/>
  <c r="AB216" i="5"/>
  <c r="AB214" i="5"/>
  <c r="AB212" i="5"/>
  <c r="AB210" i="5"/>
  <c r="X210" i="5"/>
  <c r="AB195" i="5"/>
  <c r="AB194" i="5"/>
  <c r="AB189" i="5"/>
  <c r="AB139" i="5"/>
  <c r="AB141" i="5"/>
  <c r="AB140" i="5"/>
  <c r="DU114" i="5" l="1"/>
  <c r="CY83" i="5"/>
  <c r="Y184" i="5"/>
  <c r="Y186" i="5" s="1"/>
  <c r="Y188" i="5" s="1"/>
  <c r="CY41" i="5"/>
  <c r="CY82" i="5"/>
  <c r="CY62" i="5"/>
  <c r="CY66" i="5"/>
  <c r="CY39" i="5"/>
  <c r="Y193" i="5"/>
  <c r="X196" i="5"/>
  <c r="Z188" i="5"/>
  <c r="AB142" i="5"/>
  <c r="AB144" i="5" s="1"/>
  <c r="DV114" i="5" l="1"/>
  <c r="Y196" i="5"/>
  <c r="Z193" i="5"/>
  <c r="Z196" i="5" s="1"/>
  <c r="AA3" i="5"/>
  <c r="AE119" i="5" s="1"/>
  <c r="AA193" i="5"/>
  <c r="AB193" i="5" s="1"/>
  <c r="AB196" i="5" s="1"/>
  <c r="AA191" i="5"/>
  <c r="AB191" i="5" s="1"/>
  <c r="AA190" i="5"/>
  <c r="AB190" i="5" s="1"/>
  <c r="AB185" i="5"/>
  <c r="AC185" i="5" s="1"/>
  <c r="AB183" i="5"/>
  <c r="AC183" i="5" s="1"/>
  <c r="AB181" i="5"/>
  <c r="AC181" i="5" s="1"/>
  <c r="AB180" i="5"/>
  <c r="AC180" i="5" s="1"/>
  <c r="AB179" i="5"/>
  <c r="AC179" i="5" s="1"/>
  <c r="AB178" i="5"/>
  <c r="AC178" i="5" s="1"/>
  <c r="AB177" i="5"/>
  <c r="AC177" i="5" s="1"/>
  <c r="AB170" i="5"/>
  <c r="AB166" i="5"/>
  <c r="AB167" i="5"/>
  <c r="AB163" i="5"/>
  <c r="AB159" i="5"/>
  <c r="AB150" i="5"/>
  <c r="AC165" i="5"/>
  <c r="AC163" i="5"/>
  <c r="AC167" i="5"/>
  <c r="AC166" i="5"/>
  <c r="AC159" i="5"/>
  <c r="AC150" i="5"/>
  <c r="CW54" i="5"/>
  <c r="AE120" i="5"/>
  <c r="AE133" i="5"/>
  <c r="AF133" i="5" s="1"/>
  <c r="AD136" i="5"/>
  <c r="AC136" i="5"/>
  <c r="AC54" i="5"/>
  <c r="AC120" i="5" s="1"/>
  <c r="AC22" i="5"/>
  <c r="AC3" i="5"/>
  <c r="AB136" i="5"/>
  <c r="AA136" i="5"/>
  <c r="AD135" i="5"/>
  <c r="AC135" i="5"/>
  <c r="AB135" i="5"/>
  <c r="AA135" i="5"/>
  <c r="Z135" i="5"/>
  <c r="Y135" i="5"/>
  <c r="X135" i="5"/>
  <c r="Z136" i="5"/>
  <c r="Y136" i="5"/>
  <c r="X136" i="5"/>
  <c r="W136" i="5"/>
  <c r="V136" i="5"/>
  <c r="CQ120" i="5"/>
  <c r="CR120" i="5"/>
  <c r="CS120" i="5"/>
  <c r="CV107" i="5"/>
  <c r="CU107" i="5"/>
  <c r="CY107" i="5"/>
  <c r="CZ107" i="5" s="1"/>
  <c r="CW32" i="5"/>
  <c r="AD119" i="5"/>
  <c r="CW3" i="5"/>
  <c r="AC112" i="5"/>
  <c r="AC110" i="5"/>
  <c r="AC39" i="5"/>
  <c r="AC61" i="5"/>
  <c r="AC60" i="5"/>
  <c r="AC65" i="5"/>
  <c r="AC59" i="5"/>
  <c r="AC58" i="5"/>
  <c r="AB31" i="5"/>
  <c r="AC34" i="5"/>
  <c r="AC53" i="5"/>
  <c r="CX110" i="5"/>
  <c r="AB120" i="5"/>
  <c r="AB119" i="5"/>
  <c r="AB106" i="5"/>
  <c r="CX106" i="5" s="1"/>
  <c r="AB112" i="5"/>
  <c r="AB110" i="5"/>
  <c r="AB61" i="5"/>
  <c r="AB60" i="5"/>
  <c r="AB59" i="5"/>
  <c r="AB58" i="5"/>
  <c r="AB41" i="5"/>
  <c r="AB65" i="5"/>
  <c r="AB39" i="5"/>
  <c r="AB34" i="5"/>
  <c r="AB53" i="5"/>
  <c r="CT112" i="5"/>
  <c r="CT110" i="5"/>
  <c r="CU114" i="5"/>
  <c r="CU106" i="5"/>
  <c r="O170" i="5"/>
  <c r="O168" i="5"/>
  <c r="O166" i="5"/>
  <c r="O163" i="5"/>
  <c r="O159" i="5"/>
  <c r="O150" i="5"/>
  <c r="F115" i="5"/>
  <c r="G115" i="5"/>
  <c r="H115" i="5"/>
  <c r="I115" i="5"/>
  <c r="J115" i="5"/>
  <c r="K112" i="5"/>
  <c r="O112" i="5"/>
  <c r="K110" i="5"/>
  <c r="O108" i="5"/>
  <c r="P170" i="5"/>
  <c r="P166" i="5"/>
  <c r="P163" i="5"/>
  <c r="P159" i="5"/>
  <c r="P150" i="5"/>
  <c r="L112" i="5"/>
  <c r="L110" i="5"/>
  <c r="P112" i="5"/>
  <c r="P108" i="5"/>
  <c r="Q170" i="5"/>
  <c r="Q166" i="5"/>
  <c r="Q163" i="5"/>
  <c r="Q159" i="5"/>
  <c r="Q150" i="5"/>
  <c r="Q112" i="5"/>
  <c r="R200" i="5"/>
  <c r="R170" i="5"/>
  <c r="R166" i="5"/>
  <c r="R163" i="5"/>
  <c r="R159" i="5"/>
  <c r="R150" i="5"/>
  <c r="S170" i="5"/>
  <c r="S166" i="5"/>
  <c r="S163" i="5"/>
  <c r="S159" i="5"/>
  <c r="S150" i="5"/>
  <c r="AA112" i="5"/>
  <c r="Z112" i="5"/>
  <c r="Y112" i="5"/>
  <c r="X112" i="5"/>
  <c r="W112" i="5"/>
  <c r="V112" i="5"/>
  <c r="U112" i="5"/>
  <c r="T112" i="5"/>
  <c r="S112" i="5"/>
  <c r="T170" i="5"/>
  <c r="T166" i="5"/>
  <c r="T163" i="5"/>
  <c r="T159" i="5"/>
  <c r="T150" i="5"/>
  <c r="U166" i="5"/>
  <c r="U170" i="5"/>
  <c r="U163" i="5"/>
  <c r="U159" i="5"/>
  <c r="U150" i="5"/>
  <c r="CV114" i="5"/>
  <c r="CV108" i="5"/>
  <c r="CV106" i="5"/>
  <c r="V135" i="5"/>
  <c r="V170" i="5"/>
  <c r="V166" i="5"/>
  <c r="V163" i="5"/>
  <c r="V159" i="5"/>
  <c r="V150" i="5"/>
  <c r="V110" i="5"/>
  <c r="W141" i="5"/>
  <c r="X141" i="5" s="1"/>
  <c r="W140" i="5"/>
  <c r="X140" i="5" s="1"/>
  <c r="W170" i="5"/>
  <c r="W167" i="5"/>
  <c r="W163" i="5"/>
  <c r="W159" i="5"/>
  <c r="W150" i="5"/>
  <c r="X139" i="5"/>
  <c r="X138" i="5"/>
  <c r="X200" i="5"/>
  <c r="Y200" i="5" s="1"/>
  <c r="Z200" i="5" s="1"/>
  <c r="X170" i="5"/>
  <c r="X166" i="5"/>
  <c r="X163" i="5"/>
  <c r="X159" i="5"/>
  <c r="X150" i="5"/>
  <c r="X61" i="5"/>
  <c r="Y210" i="5"/>
  <c r="Y110" i="5"/>
  <c r="Y170" i="5"/>
  <c r="Y166" i="5"/>
  <c r="Y163" i="5"/>
  <c r="Y159" i="5"/>
  <c r="Y150" i="5"/>
  <c r="Y141" i="5"/>
  <c r="Y140" i="5"/>
  <c r="Y120" i="5"/>
  <c r="Y119" i="5"/>
  <c r="Y61" i="5"/>
  <c r="Y34" i="5"/>
  <c r="Y60" i="5"/>
  <c r="Z140" i="5"/>
  <c r="Z141" i="5"/>
  <c r="Z139" i="5"/>
  <c r="AA210" i="5"/>
  <c r="Z170" i="5"/>
  <c r="Z166" i="5"/>
  <c r="Z163" i="5"/>
  <c r="Z159" i="5"/>
  <c r="Z150" i="5"/>
  <c r="Z120" i="5"/>
  <c r="Z119" i="5"/>
  <c r="AA120" i="5"/>
  <c r="AD97" i="5"/>
  <c r="AE97" i="5" s="1"/>
  <c r="AD92" i="5"/>
  <c r="W135" i="5"/>
  <c r="CW72" i="5"/>
  <c r="CW62" i="5"/>
  <c r="AA216" i="5"/>
  <c r="AA222" i="5"/>
  <c r="AA220" i="5"/>
  <c r="AA218" i="5"/>
  <c r="AA214" i="5"/>
  <c r="AA212" i="5"/>
  <c r="W210" i="5"/>
  <c r="CW88" i="5"/>
  <c r="CS61" i="5"/>
  <c r="CS103" i="5" s="1"/>
  <c r="CR61" i="5"/>
  <c r="CR103" i="5" s="1"/>
  <c r="CQ61" i="5"/>
  <c r="CQ103" i="5" s="1"/>
  <c r="CQ127" i="5" s="1"/>
  <c r="T61" i="5"/>
  <c r="S61" i="5"/>
  <c r="R61" i="5"/>
  <c r="Q61" i="5"/>
  <c r="P61" i="5"/>
  <c r="O61" i="5"/>
  <c r="N61" i="5"/>
  <c r="M61" i="5"/>
  <c r="L61" i="5"/>
  <c r="K61" i="5"/>
  <c r="J61" i="5"/>
  <c r="J103" i="5" s="1"/>
  <c r="J117" i="5" s="1"/>
  <c r="C61" i="5"/>
  <c r="C102" i="5" s="1"/>
  <c r="D61" i="5"/>
  <c r="E61" i="5"/>
  <c r="F61" i="5"/>
  <c r="G61" i="5"/>
  <c r="G103" i="5" s="1"/>
  <c r="H61" i="5"/>
  <c r="H103" i="5" s="1"/>
  <c r="I61" i="5"/>
  <c r="I103" i="5" s="1"/>
  <c r="I117" i="5" s="1"/>
  <c r="U61" i="5"/>
  <c r="V61" i="5"/>
  <c r="W61" i="5"/>
  <c r="Z61" i="5"/>
  <c r="AA187" i="5"/>
  <c r="AA176" i="5"/>
  <c r="AB176" i="5" s="1"/>
  <c r="AC176" i="5" s="1"/>
  <c r="AA165" i="5"/>
  <c r="AA167" i="5"/>
  <c r="AA163" i="5"/>
  <c r="AA159" i="5"/>
  <c r="AA154" i="5"/>
  <c r="AA150" i="5"/>
  <c r="AA149" i="5"/>
  <c r="AA141" i="5"/>
  <c r="AA140" i="5"/>
  <c r="CV49" i="5"/>
  <c r="CU49" i="5"/>
  <c r="CT49" i="5"/>
  <c r="AA49" i="5"/>
  <c r="AB114" i="5"/>
  <c r="CX114" i="5" s="1"/>
  <c r="CX62" i="5"/>
  <c r="CZ62" i="5" s="1"/>
  <c r="DA62" i="5" s="1"/>
  <c r="DB62" i="5" s="1"/>
  <c r="DC62" i="5" s="1"/>
  <c r="DD62" i="5" s="1"/>
  <c r="DE62" i="5" s="1"/>
  <c r="DF62" i="5" s="1"/>
  <c r="K27" i="34"/>
  <c r="K21" i="34"/>
  <c r="K16" i="34"/>
  <c r="K10" i="34"/>
  <c r="CX43" i="5"/>
  <c r="DC55" i="5"/>
  <c r="DD55" i="5" s="1"/>
  <c r="DE55" i="5" s="1"/>
  <c r="DF55" i="5" s="1"/>
  <c r="CX32" i="5"/>
  <c r="CY32" i="5" s="1"/>
  <c r="CX23" i="5"/>
  <c r="CX100" i="5"/>
  <c r="CX9" i="5"/>
  <c r="CY9" i="5" s="1"/>
  <c r="AH120" i="5"/>
  <c r="AA110" i="5"/>
  <c r="AA31" i="5"/>
  <c r="AA39" i="5"/>
  <c r="AA58" i="5"/>
  <c r="AA34" i="5"/>
  <c r="AA53" i="5"/>
  <c r="AA60" i="5"/>
  <c r="AA65" i="5"/>
  <c r="AA61" i="5"/>
  <c r="CX33" i="5"/>
  <c r="CW33" i="5"/>
  <c r="Z59" i="5"/>
  <c r="CW82" i="5"/>
  <c r="CW67" i="5"/>
  <c r="CW15" i="5"/>
  <c r="CW31" i="5"/>
  <c r="CW95" i="5"/>
  <c r="CW76" i="5"/>
  <c r="CW96" i="5"/>
  <c r="CX96" i="5" s="1"/>
  <c r="CW71" i="5"/>
  <c r="CW97" i="5"/>
  <c r="CX97" i="5" s="1"/>
  <c r="CZ97" i="5" s="1"/>
  <c r="DA97" i="5" s="1"/>
  <c r="DB97" i="5" s="1"/>
  <c r="DC97" i="5" s="1"/>
  <c r="DD97" i="5" s="1"/>
  <c r="DE97" i="5" s="1"/>
  <c r="DF97" i="5" s="1"/>
  <c r="DG97" i="5" s="1"/>
  <c r="CW64" i="5"/>
  <c r="CW18" i="5"/>
  <c r="CX18" i="5" s="1"/>
  <c r="CW30" i="5"/>
  <c r="CW92" i="5"/>
  <c r="CW93" i="5"/>
  <c r="CW89" i="5"/>
  <c r="Z110" i="5"/>
  <c r="Z58" i="5"/>
  <c r="Z60" i="5"/>
  <c r="Z41" i="5"/>
  <c r="Z65" i="5"/>
  <c r="Z53" i="5"/>
  <c r="Y65" i="5"/>
  <c r="Y59" i="5"/>
  <c r="Y41" i="5"/>
  <c r="Y58" i="5"/>
  <c r="Y53" i="5"/>
  <c r="X23" i="5"/>
  <c r="CW23" i="5" s="1"/>
  <c r="X53" i="5"/>
  <c r="CW100" i="5"/>
  <c r="W34" i="5"/>
  <c r="W41" i="5"/>
  <c r="Z20" i="5"/>
  <c r="CW20" i="5" s="1"/>
  <c r="X34" i="5"/>
  <c r="CW63" i="5"/>
  <c r="CW86" i="5"/>
  <c r="CX86" i="5" s="1"/>
  <c r="CW74" i="5"/>
  <c r="CX74" i="5" s="1"/>
  <c r="CW73" i="5"/>
  <c r="CW66" i="5"/>
  <c r="CW98" i="5"/>
  <c r="CV99" i="5"/>
  <c r="X49" i="5"/>
  <c r="CW49" i="5" s="1"/>
  <c r="CW133" i="5"/>
  <c r="CV133" i="5"/>
  <c r="X48" i="5"/>
  <c r="CW48" i="5" s="1"/>
  <c r="CX48" i="5" s="1"/>
  <c r="CY48" i="5" s="1"/>
  <c r="X77" i="5"/>
  <c r="X41" i="5" s="1"/>
  <c r="CX77" i="5"/>
  <c r="CW19" i="5"/>
  <c r="X119" i="5"/>
  <c r="CW22" i="5"/>
  <c r="O136" i="5"/>
  <c r="P136" i="5"/>
  <c r="L135" i="5"/>
  <c r="M135" i="5"/>
  <c r="Q136" i="5"/>
  <c r="N135" i="5"/>
  <c r="R136" i="5"/>
  <c r="O135" i="5"/>
  <c r="S136" i="5"/>
  <c r="P135" i="5"/>
  <c r="T136" i="5"/>
  <c r="Q135" i="5"/>
  <c r="U136" i="5"/>
  <c r="R135" i="5"/>
  <c r="S135" i="5"/>
  <c r="T135" i="5"/>
  <c r="U135" i="5"/>
  <c r="CW55" i="5"/>
  <c r="CW24" i="5"/>
  <c r="CW84" i="5"/>
  <c r="CW9" i="5"/>
  <c r="L34" i="5"/>
  <c r="N34" i="5"/>
  <c r="M34" i="5"/>
  <c r="O34" i="5"/>
  <c r="P34" i="5"/>
  <c r="Q34" i="5"/>
  <c r="R34" i="5"/>
  <c r="S34" i="5"/>
  <c r="U34" i="5"/>
  <c r="V34" i="5"/>
  <c r="K34" i="5"/>
  <c r="X120" i="5"/>
  <c r="X110" i="5"/>
  <c r="X60" i="5"/>
  <c r="X65" i="5"/>
  <c r="X58" i="5"/>
  <c r="CV55" i="5"/>
  <c r="W120" i="5"/>
  <c r="W110" i="5"/>
  <c r="W58" i="5"/>
  <c r="CV87" i="5"/>
  <c r="W60" i="5"/>
  <c r="W65" i="5"/>
  <c r="W59" i="5"/>
  <c r="W53" i="5"/>
  <c r="V60" i="5"/>
  <c r="V65" i="5"/>
  <c r="V59" i="5"/>
  <c r="V58" i="5"/>
  <c r="V41" i="5"/>
  <c r="V53" i="5"/>
  <c r="CV72" i="5"/>
  <c r="CV32" i="5"/>
  <c r="CV100" i="5"/>
  <c r="S41" i="5"/>
  <c r="T41" i="5"/>
  <c r="U41" i="5"/>
  <c r="CV24" i="5"/>
  <c r="CV23" i="5"/>
  <c r="CV16" i="5"/>
  <c r="CV22" i="5"/>
  <c r="CV19" i="5"/>
  <c r="CV80" i="5"/>
  <c r="CV84" i="5"/>
  <c r="CV9" i="5"/>
  <c r="CV50" i="5"/>
  <c r="CV54" i="5"/>
  <c r="CU54" i="5"/>
  <c r="CT54" i="5"/>
  <c r="CT120" i="5" s="1"/>
  <c r="CV3" i="5"/>
  <c r="CU3" i="5"/>
  <c r="S53" i="5"/>
  <c r="T53" i="5"/>
  <c r="U53" i="5"/>
  <c r="R53" i="5"/>
  <c r="T200" i="5"/>
  <c r="U200" i="5" s="1"/>
  <c r="V200" i="5" s="1"/>
  <c r="U58" i="5"/>
  <c r="U59" i="5"/>
  <c r="U65" i="5"/>
  <c r="U60" i="5"/>
  <c r="U110" i="5"/>
  <c r="Q9" i="5"/>
  <c r="Q53" i="5"/>
  <c r="Q41" i="5"/>
  <c r="Q58" i="5"/>
  <c r="Q59" i="5"/>
  <c r="Q65" i="5"/>
  <c r="Q60" i="5"/>
  <c r="Q39" i="5"/>
  <c r="CU64" i="5"/>
  <c r="CV64" i="5"/>
  <c r="T43" i="5"/>
  <c r="CV43" i="5" s="1"/>
  <c r="T58" i="5"/>
  <c r="T59" i="5"/>
  <c r="T65" i="5"/>
  <c r="T60" i="5"/>
  <c r="P53" i="5"/>
  <c r="P9" i="5"/>
  <c r="P41" i="5"/>
  <c r="P58" i="5"/>
  <c r="P59" i="5"/>
  <c r="P65" i="5"/>
  <c r="P60" i="5"/>
  <c r="P39" i="5"/>
  <c r="S58" i="5"/>
  <c r="S59" i="5"/>
  <c r="S65" i="5"/>
  <c r="S60" i="5"/>
  <c r="S39" i="5"/>
  <c r="CV39" i="5" s="1"/>
  <c r="CV77" i="5"/>
  <c r="CV98" i="5"/>
  <c r="CV95" i="5"/>
  <c r="CV96" i="5"/>
  <c r="CV97" i="5"/>
  <c r="CV66" i="5"/>
  <c r="CV88" i="5"/>
  <c r="CV48" i="5"/>
  <c r="CV75" i="5"/>
  <c r="CV73" i="5"/>
  <c r="CV74" i="5"/>
  <c r="CV62" i="5"/>
  <c r="CV71" i="5"/>
  <c r="CV93" i="5"/>
  <c r="CV92" i="5"/>
  <c r="CV86" i="5"/>
  <c r="CV76" i="5"/>
  <c r="CV42" i="5"/>
  <c r="CV18" i="5"/>
  <c r="CV81" i="5"/>
  <c r="R9" i="5"/>
  <c r="R41" i="5"/>
  <c r="R58" i="5"/>
  <c r="R59" i="5"/>
  <c r="R65" i="5"/>
  <c r="R60" i="5"/>
  <c r="R39" i="5"/>
  <c r="O53" i="5"/>
  <c r="O9" i="5"/>
  <c r="O41" i="5"/>
  <c r="O58" i="5"/>
  <c r="O59" i="5"/>
  <c r="O65" i="5"/>
  <c r="O60" i="5"/>
  <c r="O39" i="5"/>
  <c r="O110" i="5"/>
  <c r="S110" i="5"/>
  <c r="CZ30" i="5"/>
  <c r="DA30" i="5" s="1"/>
  <c r="DB30" i="5" s="1"/>
  <c r="DC30" i="5" s="1"/>
  <c r="DD30" i="5" s="1"/>
  <c r="DE30" i="5" s="1"/>
  <c r="CU50" i="5"/>
  <c r="CU24" i="5"/>
  <c r="CU84" i="5"/>
  <c r="CU48" i="5"/>
  <c r="CU80" i="5"/>
  <c r="CU19" i="5"/>
  <c r="CU22" i="5"/>
  <c r="CU16" i="5"/>
  <c r="CU23" i="5"/>
  <c r="CU73" i="5"/>
  <c r="CU99" i="5"/>
  <c r="CU100" i="5"/>
  <c r="CU75" i="5"/>
  <c r="CU32" i="5"/>
  <c r="CU43" i="5"/>
  <c r="CU72" i="5"/>
  <c r="CU77" i="5"/>
  <c r="CU98" i="5"/>
  <c r="CU66" i="5"/>
  <c r="CU62" i="5"/>
  <c r="CU74" i="5"/>
  <c r="CU86" i="5"/>
  <c r="CU95" i="5"/>
  <c r="CU76" i="5"/>
  <c r="CU96" i="5"/>
  <c r="CU71" i="5"/>
  <c r="CU97" i="5"/>
  <c r="CU18" i="5"/>
  <c r="CU92" i="5"/>
  <c r="CU93" i="5"/>
  <c r="CU42" i="5"/>
  <c r="CU88" i="5"/>
  <c r="CU81" i="5"/>
  <c r="CU101" i="5"/>
  <c r="CT3" i="5"/>
  <c r="CT119" i="5" s="1"/>
  <c r="CT50" i="5"/>
  <c r="CT24" i="5"/>
  <c r="K84" i="5"/>
  <c r="K65" i="5" s="1"/>
  <c r="L84" i="5"/>
  <c r="L65" i="5" s="1"/>
  <c r="K53" i="5"/>
  <c r="L53" i="5"/>
  <c r="M53" i="5"/>
  <c r="N53" i="5"/>
  <c r="K9" i="5"/>
  <c r="L9" i="5"/>
  <c r="M9" i="5"/>
  <c r="N9" i="5"/>
  <c r="CT48" i="5"/>
  <c r="CT19" i="5"/>
  <c r="CT22" i="5"/>
  <c r="CT16" i="5"/>
  <c r="CT23" i="5"/>
  <c r="K41" i="5"/>
  <c r="L41" i="5"/>
  <c r="M41" i="5"/>
  <c r="N41" i="5"/>
  <c r="CT73" i="5"/>
  <c r="CT99" i="5"/>
  <c r="CT100" i="5"/>
  <c r="CT75" i="5"/>
  <c r="CT32" i="5"/>
  <c r="K58" i="5"/>
  <c r="L58" i="5"/>
  <c r="M58" i="5"/>
  <c r="N58" i="5"/>
  <c r="CT43" i="5"/>
  <c r="CT72" i="5"/>
  <c r="CT77" i="5"/>
  <c r="CT98" i="5"/>
  <c r="CT66" i="5"/>
  <c r="CT62" i="5"/>
  <c r="CT74" i="5"/>
  <c r="CT86" i="5"/>
  <c r="K59" i="5"/>
  <c r="L59" i="5"/>
  <c r="M59" i="5"/>
  <c r="N59" i="5"/>
  <c r="CT95" i="5"/>
  <c r="M65" i="5"/>
  <c r="N65" i="5"/>
  <c r="CT76" i="5"/>
  <c r="K60" i="5"/>
  <c r="L60" i="5"/>
  <c r="M60" i="5"/>
  <c r="N60" i="5"/>
  <c r="CT96" i="5"/>
  <c r="CT71" i="5"/>
  <c r="CT97" i="5"/>
  <c r="CT18" i="5"/>
  <c r="CT92" i="5"/>
  <c r="CT93" i="5"/>
  <c r="CT88" i="5"/>
  <c r="K39" i="5"/>
  <c r="L39" i="5"/>
  <c r="M39" i="5"/>
  <c r="N39" i="5"/>
  <c r="CT81" i="5"/>
  <c r="CT101" i="5"/>
  <c r="CT122" i="5"/>
  <c r="CS122" i="5"/>
  <c r="CR122" i="5"/>
  <c r="T110" i="5"/>
  <c r="P110" i="5"/>
  <c r="M110" i="5"/>
  <c r="M108" i="5"/>
  <c r="Q110" i="5"/>
  <c r="Q108" i="5"/>
  <c r="R110" i="5"/>
  <c r="V120" i="5"/>
  <c r="U120" i="5"/>
  <c r="R120" i="5"/>
  <c r="Q120" i="5"/>
  <c r="P120" i="5"/>
  <c r="O120" i="5"/>
  <c r="N120" i="5"/>
  <c r="M120" i="5"/>
  <c r="L120" i="5"/>
  <c r="K120" i="5"/>
  <c r="J120" i="5"/>
  <c r="S120" i="5"/>
  <c r="T120" i="5"/>
  <c r="CV2" i="5"/>
  <c r="CW2" i="5" s="1"/>
  <c r="CX2" i="5" s="1"/>
  <c r="CY2" i="5" s="1"/>
  <c r="CZ2" i="5" s="1"/>
  <c r="DA2" i="5" s="1"/>
  <c r="DB2" i="5" s="1"/>
  <c r="N119" i="5"/>
  <c r="G119" i="5"/>
  <c r="H119" i="5"/>
  <c r="I119" i="5"/>
  <c r="J119" i="5"/>
  <c r="K119" i="5"/>
  <c r="L119" i="5"/>
  <c r="M119" i="5"/>
  <c r="O119" i="5"/>
  <c r="P119" i="5"/>
  <c r="Q119" i="5"/>
  <c r="R119" i="5"/>
  <c r="S119" i="5"/>
  <c r="T119" i="5"/>
  <c r="U119" i="5"/>
  <c r="V119" i="5"/>
  <c r="CR119" i="5"/>
  <c r="CS119" i="5"/>
  <c r="CQ119" i="5"/>
  <c r="D110" i="5"/>
  <c r="D108" i="5"/>
  <c r="C110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W99" i="5"/>
  <c r="CW43" i="5"/>
  <c r="CW80" i="5"/>
  <c r="CW50" i="5"/>
  <c r="Z42" i="5"/>
  <c r="CW42" i="5" s="1"/>
  <c r="Q7" i="8"/>
  <c r="R7" i="8"/>
  <c r="CX50" i="5"/>
  <c r="CX84" i="5"/>
  <c r="DA84" i="5"/>
  <c r="DB84" i="5" s="1"/>
  <c r="DC84" i="5" s="1"/>
  <c r="DD84" i="5" s="1"/>
  <c r="DE84" i="5" s="1"/>
  <c r="DF84" i="5" s="1"/>
  <c r="DG84" i="5" s="1"/>
  <c r="CX24" i="5"/>
  <c r="CX19" i="5"/>
  <c r="CX20" i="5"/>
  <c r="CX71" i="5"/>
  <c r="CX76" i="5"/>
  <c r="CX98" i="5"/>
  <c r="CZ66" i="5"/>
  <c r="DA66" i="5" s="1"/>
  <c r="DB66" i="5" s="1"/>
  <c r="DC66" i="5" s="1"/>
  <c r="DD66" i="5" s="1"/>
  <c r="DE66" i="5" s="1"/>
  <c r="DF66" i="5" s="1"/>
  <c r="CX72" i="5"/>
  <c r="CX30" i="5"/>
  <c r="CZ88" i="5"/>
  <c r="DA88" i="5" s="1"/>
  <c r="DB88" i="5" s="1"/>
  <c r="DC88" i="5" s="1"/>
  <c r="DD88" i="5" s="1"/>
  <c r="DE88" i="5" s="1"/>
  <c r="DF88" i="5" s="1"/>
  <c r="DG88" i="5" s="1"/>
  <c r="CX42" i="5"/>
  <c r="CX15" i="5"/>
  <c r="U7" i="8"/>
  <c r="DW114" i="5" l="1"/>
  <c r="T7" i="8"/>
  <c r="K22" i="34"/>
  <c r="V161" i="5"/>
  <c r="U132" i="5"/>
  <c r="CV58" i="5"/>
  <c r="CU34" i="5"/>
  <c r="CY77" i="5"/>
  <c r="CZ77" i="5" s="1"/>
  <c r="DA77" i="5" s="1"/>
  <c r="DB77" i="5" s="1"/>
  <c r="DC77" i="5" s="1"/>
  <c r="DD77" i="5" s="1"/>
  <c r="DE77" i="5" s="1"/>
  <c r="DF77" i="5" s="1"/>
  <c r="DG77" i="5" s="1"/>
  <c r="CY100" i="5"/>
  <c r="CZ100" i="5" s="1"/>
  <c r="DA100" i="5" s="1"/>
  <c r="DB100" i="5" s="1"/>
  <c r="DC100" i="5" s="1"/>
  <c r="DD100" i="5" s="1"/>
  <c r="DE100" i="5" s="1"/>
  <c r="DF100" i="5" s="1"/>
  <c r="DG100" i="5" s="1"/>
  <c r="CY98" i="5"/>
  <c r="CZ98" i="5" s="1"/>
  <c r="DA98" i="5" s="1"/>
  <c r="DB98" i="5" s="1"/>
  <c r="DC98" i="5" s="1"/>
  <c r="DD98" i="5" s="1"/>
  <c r="DE98" i="5" s="1"/>
  <c r="DF98" i="5" s="1"/>
  <c r="DG98" i="5" s="1"/>
  <c r="CY23" i="5"/>
  <c r="CZ23" i="5" s="1"/>
  <c r="DA23" i="5" s="1"/>
  <c r="DB23" i="5" s="1"/>
  <c r="DC23" i="5" s="1"/>
  <c r="DD23" i="5" s="1"/>
  <c r="DE23" i="5" s="1"/>
  <c r="DF23" i="5" s="1"/>
  <c r="DL23" i="5" s="1"/>
  <c r="DM23" i="5" s="1"/>
  <c r="DN23" i="5" s="1"/>
  <c r="DO23" i="5" s="1"/>
  <c r="DP23" i="5" s="1"/>
  <c r="DQ23" i="5" s="1"/>
  <c r="DR23" i="5" s="1"/>
  <c r="DS23" i="5" s="1"/>
  <c r="DT23" i="5" s="1"/>
  <c r="DU23" i="5" s="1"/>
  <c r="DV23" i="5" s="1"/>
  <c r="DW23" i="5" s="1"/>
  <c r="CY72" i="5"/>
  <c r="CZ72" i="5" s="1"/>
  <c r="DA72" i="5" s="1"/>
  <c r="DB72" i="5" s="1"/>
  <c r="DC72" i="5" s="1"/>
  <c r="DD72" i="5" s="1"/>
  <c r="DE72" i="5" s="1"/>
  <c r="DF72" i="5" s="1"/>
  <c r="DG72" i="5" s="1"/>
  <c r="CY71" i="5"/>
  <c r="CZ71" i="5" s="1"/>
  <c r="DA71" i="5" s="1"/>
  <c r="DB71" i="5" s="1"/>
  <c r="DC71" i="5" s="1"/>
  <c r="DD71" i="5" s="1"/>
  <c r="DE71" i="5" s="1"/>
  <c r="DF71" i="5" s="1"/>
  <c r="DG71" i="5" s="1"/>
  <c r="CY86" i="5"/>
  <c r="CZ86" i="5" s="1"/>
  <c r="DA86" i="5" s="1"/>
  <c r="DB86" i="5" s="1"/>
  <c r="DC86" i="5" s="1"/>
  <c r="DD86" i="5" s="1"/>
  <c r="DE86" i="5" s="1"/>
  <c r="DF86" i="5" s="1"/>
  <c r="DG86" i="5" s="1"/>
  <c r="CY18" i="5"/>
  <c r="CZ18" i="5" s="1"/>
  <c r="DA18" i="5" s="1"/>
  <c r="DB18" i="5" s="1"/>
  <c r="DC18" i="5" s="1"/>
  <c r="DD18" i="5" s="1"/>
  <c r="DE18" i="5" s="1"/>
  <c r="DF18" i="5" s="1"/>
  <c r="DL18" i="5" s="1"/>
  <c r="DM18" i="5" s="1"/>
  <c r="DN18" i="5" s="1"/>
  <c r="DO18" i="5" s="1"/>
  <c r="DP18" i="5" s="1"/>
  <c r="DQ18" i="5" s="1"/>
  <c r="DR18" i="5" s="1"/>
  <c r="DS18" i="5" s="1"/>
  <c r="DT18" i="5" s="1"/>
  <c r="DU18" i="5" s="1"/>
  <c r="DV18" i="5" s="1"/>
  <c r="DW18" i="5" s="1"/>
  <c r="CY96" i="5"/>
  <c r="CZ96" i="5" s="1"/>
  <c r="DA96" i="5" s="1"/>
  <c r="DB96" i="5" s="1"/>
  <c r="DC96" i="5" s="1"/>
  <c r="DD96" i="5" s="1"/>
  <c r="DE96" i="5" s="1"/>
  <c r="DF96" i="5" s="1"/>
  <c r="DG96" i="5" s="1"/>
  <c r="DL43" i="5"/>
  <c r="DM43" i="5" s="1"/>
  <c r="DN43" i="5" s="1"/>
  <c r="DO43" i="5" s="1"/>
  <c r="DP43" i="5" s="1"/>
  <c r="DQ43" i="5" s="1"/>
  <c r="DR43" i="5" s="1"/>
  <c r="DS43" i="5" s="1"/>
  <c r="DT43" i="5" s="1"/>
  <c r="DU43" i="5" s="1"/>
  <c r="DV43" i="5" s="1"/>
  <c r="DW43" i="5" s="1"/>
  <c r="CY19" i="5"/>
  <c r="CZ19" i="5" s="1"/>
  <c r="DA19" i="5" s="1"/>
  <c r="DB19" i="5" s="1"/>
  <c r="DC19" i="5" s="1"/>
  <c r="DD19" i="5" s="1"/>
  <c r="DE19" i="5" s="1"/>
  <c r="DF19" i="5" s="1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CY50" i="5"/>
  <c r="CZ50" i="5" s="1"/>
  <c r="DA50" i="5" s="1"/>
  <c r="DB50" i="5" s="1"/>
  <c r="DC50" i="5" s="1"/>
  <c r="DD50" i="5" s="1"/>
  <c r="CY3" i="5"/>
  <c r="CY15" i="5"/>
  <c r="CZ15" i="5" s="1"/>
  <c r="DA15" i="5" s="1"/>
  <c r="DB15" i="5" s="1"/>
  <c r="DC15" i="5" s="1"/>
  <c r="DD15" i="5" s="1"/>
  <c r="DE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CY76" i="5"/>
  <c r="CZ76" i="5" s="1"/>
  <c r="DA76" i="5" s="1"/>
  <c r="DB76" i="5" s="1"/>
  <c r="DC76" i="5" s="1"/>
  <c r="DD76" i="5" s="1"/>
  <c r="DE76" i="5" s="1"/>
  <c r="DF76" i="5" s="1"/>
  <c r="DG76" i="5" s="1"/>
  <c r="CY24" i="5"/>
  <c r="CZ24" i="5" s="1"/>
  <c r="DA24" i="5" s="1"/>
  <c r="DB24" i="5" s="1"/>
  <c r="DC24" i="5" s="1"/>
  <c r="DD24" i="5" s="1"/>
  <c r="DE24" i="5" s="1"/>
  <c r="DF24" i="5" s="1"/>
  <c r="DL24" i="5" s="1"/>
  <c r="DM24" i="5" s="1"/>
  <c r="DN24" i="5" s="1"/>
  <c r="DO24" i="5" s="1"/>
  <c r="DP24" i="5" s="1"/>
  <c r="DQ24" i="5" s="1"/>
  <c r="DR24" i="5" s="1"/>
  <c r="DS24" i="5" s="1"/>
  <c r="DT24" i="5" s="1"/>
  <c r="DU24" i="5" s="1"/>
  <c r="DV24" i="5" s="1"/>
  <c r="DW24" i="5" s="1"/>
  <c r="CY74" i="5"/>
  <c r="CZ74" i="5" s="1"/>
  <c r="DA74" i="5" s="1"/>
  <c r="DB74" i="5" s="1"/>
  <c r="DC74" i="5" s="1"/>
  <c r="DD74" i="5" s="1"/>
  <c r="DE74" i="5" s="1"/>
  <c r="DF74" i="5" s="1"/>
  <c r="DG74" i="5" s="1"/>
  <c r="CY20" i="5"/>
  <c r="CZ20" i="5" s="1"/>
  <c r="DA20" i="5" s="1"/>
  <c r="DB20" i="5" s="1"/>
  <c r="DC20" i="5" s="1"/>
  <c r="DD20" i="5" s="1"/>
  <c r="DE20" i="5" s="1"/>
  <c r="DF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W171" i="5"/>
  <c r="W174" i="5" s="1"/>
  <c r="CX39" i="5"/>
  <c r="CU59" i="5"/>
  <c r="AA119" i="5"/>
  <c r="W161" i="5"/>
  <c r="X142" i="5"/>
  <c r="X144" i="5" s="1"/>
  <c r="W132" i="5"/>
  <c r="AA41" i="5"/>
  <c r="X161" i="5"/>
  <c r="V132" i="5"/>
  <c r="U161" i="5"/>
  <c r="R161" i="5"/>
  <c r="CX65" i="5"/>
  <c r="Z142" i="5"/>
  <c r="Z144" i="5" s="1"/>
  <c r="Q161" i="5"/>
  <c r="CX61" i="5"/>
  <c r="Z132" i="5"/>
  <c r="CW112" i="5"/>
  <c r="CW110" i="5"/>
  <c r="T34" i="5"/>
  <c r="CV34" i="5" s="1"/>
  <c r="Z34" i="5"/>
  <c r="Z103" i="5" s="1"/>
  <c r="CW77" i="5"/>
  <c r="CW119" i="5"/>
  <c r="CW120" i="5"/>
  <c r="CX136" i="5"/>
  <c r="CW136" i="5"/>
  <c r="CU53" i="5"/>
  <c r="P103" i="5"/>
  <c r="P126" i="5" s="1"/>
  <c r="CQ125" i="5"/>
  <c r="AE92" i="5"/>
  <c r="AD58" i="5"/>
  <c r="CX58" i="5" s="1"/>
  <c r="CZ9" i="5"/>
  <c r="DA9" i="5" s="1"/>
  <c r="DB9" i="5" s="1"/>
  <c r="DC9" i="5" s="1"/>
  <c r="DD9" i="5" s="1"/>
  <c r="DE9" i="5" s="1"/>
  <c r="DL9" i="5" s="1"/>
  <c r="DM9" i="5" s="1"/>
  <c r="DN9" i="5" s="1"/>
  <c r="DO9" i="5" s="1"/>
  <c r="DP9" i="5" s="1"/>
  <c r="DQ9" i="5" s="1"/>
  <c r="DR9" i="5" s="1"/>
  <c r="DS9" i="5" s="1"/>
  <c r="DT9" i="5" s="1"/>
  <c r="DU9" i="5" s="1"/>
  <c r="DV9" i="5" s="1"/>
  <c r="DW9" i="5" s="1"/>
  <c r="CX95" i="5"/>
  <c r="CX80" i="5"/>
  <c r="CX75" i="5"/>
  <c r="CX73" i="5"/>
  <c r="CU119" i="5"/>
  <c r="CX31" i="5"/>
  <c r="X59" i="5"/>
  <c r="CW59" i="5" s="1"/>
  <c r="CT60" i="5"/>
  <c r="R103" i="5"/>
  <c r="R126" i="5" s="1"/>
  <c r="CV59" i="5"/>
  <c r="CX60" i="5"/>
  <c r="AC119" i="5"/>
  <c r="AA192" i="5"/>
  <c r="CU41" i="5"/>
  <c r="CU108" i="5"/>
  <c r="AA142" i="5"/>
  <c r="AA144" i="5" s="1"/>
  <c r="Y142" i="5"/>
  <c r="Y144" i="5" s="1"/>
  <c r="O161" i="5"/>
  <c r="V171" i="5"/>
  <c r="V174" i="5" s="1"/>
  <c r="CT59" i="5"/>
  <c r="CT41" i="5"/>
  <c r="CU39" i="5"/>
  <c r="CU58" i="5"/>
  <c r="AA171" i="5"/>
  <c r="AA174" i="5" s="1"/>
  <c r="X171" i="5"/>
  <c r="X174" i="5" s="1"/>
  <c r="T171" i="5"/>
  <c r="T174" i="5" s="1"/>
  <c r="CU112" i="5"/>
  <c r="AB103" i="5"/>
  <c r="AB127" i="5" s="1"/>
  <c r="AE135" i="5"/>
  <c r="AC161" i="5"/>
  <c r="AB192" i="5"/>
  <c r="AA196" i="5"/>
  <c r="L103" i="5"/>
  <c r="L127" i="5" s="1"/>
  <c r="AE136" i="5"/>
  <c r="X132" i="5"/>
  <c r="CV41" i="5"/>
  <c r="CX3" i="5"/>
  <c r="Z161" i="5"/>
  <c r="Y161" i="5"/>
  <c r="Q132" i="5"/>
  <c r="AH119" i="5"/>
  <c r="CW41" i="5"/>
  <c r="CR127" i="5"/>
  <c r="CR125" i="5"/>
  <c r="CR117" i="5"/>
  <c r="CZ64" i="5"/>
  <c r="DA64" i="5" s="1"/>
  <c r="DB64" i="5" s="1"/>
  <c r="DC64" i="5" s="1"/>
  <c r="CX64" i="5"/>
  <c r="CT65" i="5"/>
  <c r="S103" i="5"/>
  <c r="S126" i="5" s="1"/>
  <c r="CW60" i="5"/>
  <c r="CT34" i="5"/>
  <c r="Y103" i="5"/>
  <c r="Y126" i="5" s="1"/>
  <c r="AA132" i="5"/>
  <c r="CT61" i="5"/>
  <c r="Z171" i="5"/>
  <c r="Z174" i="5" s="1"/>
  <c r="U171" i="5"/>
  <c r="U174" i="5" s="1"/>
  <c r="S161" i="5"/>
  <c r="P161" i="5"/>
  <c r="O171" i="5"/>
  <c r="O174" i="5" s="1"/>
  <c r="AC41" i="5"/>
  <c r="AC132" i="5"/>
  <c r="CX132" i="5" s="1"/>
  <c r="CV61" i="5"/>
  <c r="AG120" i="5"/>
  <c r="AA184" i="5"/>
  <c r="AA186" i="5" s="1"/>
  <c r="AA188" i="5" s="1"/>
  <c r="CX53" i="5"/>
  <c r="W142" i="5"/>
  <c r="W144" i="5" s="1"/>
  <c r="CT84" i="5"/>
  <c r="U103" i="5"/>
  <c r="U105" i="5" s="1"/>
  <c r="V103" i="5"/>
  <c r="CW65" i="5"/>
  <c r="CW58" i="5"/>
  <c r="CX99" i="5"/>
  <c r="AB187" i="5"/>
  <c r="T161" i="5"/>
  <c r="S171" i="5"/>
  <c r="S174" i="5" s="1"/>
  <c r="Q171" i="5"/>
  <c r="Q174" i="5" s="1"/>
  <c r="CX34" i="5"/>
  <c r="AB161" i="5"/>
  <c r="AB132" i="5"/>
  <c r="CT53" i="5"/>
  <c r="N103" i="5"/>
  <c r="Q103" i="5"/>
  <c r="CW53" i="5"/>
  <c r="W103" i="5"/>
  <c r="D102" i="5"/>
  <c r="D103" i="5" s="1"/>
  <c r="CV112" i="5"/>
  <c r="R171" i="5"/>
  <c r="R174" i="5" s="1"/>
  <c r="R132" i="5"/>
  <c r="P171" i="5"/>
  <c r="P174" i="5" s="1"/>
  <c r="AC184" i="5"/>
  <c r="AC186" i="5" s="1"/>
  <c r="CU120" i="5"/>
  <c r="P132" i="5"/>
  <c r="CV53" i="5"/>
  <c r="CU110" i="5"/>
  <c r="CT39" i="5"/>
  <c r="CT58" i="5"/>
  <c r="K103" i="5"/>
  <c r="CT9" i="5"/>
  <c r="M103" i="5"/>
  <c r="CV60" i="5"/>
  <c r="AA161" i="5"/>
  <c r="AB184" i="5"/>
  <c r="C103" i="5"/>
  <c r="CU61" i="5"/>
  <c r="Y132" i="5"/>
  <c r="Y171" i="5"/>
  <c r="Y174" i="5" s="1"/>
  <c r="AF135" i="5"/>
  <c r="AF136" i="5"/>
  <c r="AG133" i="5"/>
  <c r="O132" i="5"/>
  <c r="T132" i="5"/>
  <c r="S132" i="5"/>
  <c r="CV110" i="5"/>
  <c r="CU65" i="5"/>
  <c r="O103" i="5"/>
  <c r="CU9" i="5"/>
  <c r="CV65" i="5"/>
  <c r="AA59" i="5"/>
  <c r="CX49" i="5"/>
  <c r="CS117" i="5"/>
  <c r="CS127" i="5"/>
  <c r="CS125" i="5"/>
  <c r="CU60" i="5"/>
  <c r="AC171" i="5"/>
  <c r="AC174" i="5" s="1"/>
  <c r="CW61" i="5"/>
  <c r="CV119" i="5"/>
  <c r="CV120" i="5"/>
  <c r="CX54" i="5"/>
  <c r="CX120" i="5" s="1"/>
  <c r="AB171" i="5"/>
  <c r="AB174" i="5" s="1"/>
  <c r="CX22" i="5"/>
  <c r="CZ48" i="5"/>
  <c r="R127" i="5" l="1"/>
  <c r="R105" i="5"/>
  <c r="R125" i="5" s="1"/>
  <c r="R117" i="5"/>
  <c r="AG119" i="5"/>
  <c r="U127" i="5"/>
  <c r="CY22" i="5"/>
  <c r="CZ22" i="5" s="1"/>
  <c r="DA22" i="5" s="1"/>
  <c r="DB22" i="5" s="1"/>
  <c r="DC22" i="5" s="1"/>
  <c r="DD22" i="5" s="1"/>
  <c r="DE22" i="5" s="1"/>
  <c r="DF22" i="5" s="1"/>
  <c r="DL22" i="5" s="1"/>
  <c r="DM22" i="5" s="1"/>
  <c r="DN22" i="5" s="1"/>
  <c r="DO22" i="5" s="1"/>
  <c r="DP22" i="5" s="1"/>
  <c r="DQ22" i="5" s="1"/>
  <c r="DR22" i="5" s="1"/>
  <c r="DS22" i="5" s="1"/>
  <c r="DT22" i="5" s="1"/>
  <c r="DU22" i="5" s="1"/>
  <c r="DV22" i="5" s="1"/>
  <c r="DW22" i="5" s="1"/>
  <c r="CY49" i="5"/>
  <c r="CZ49" i="5" s="1"/>
  <c r="CY65" i="5"/>
  <c r="CZ65" i="5" s="1"/>
  <c r="DA65" i="5" s="1"/>
  <c r="DB65" i="5" s="1"/>
  <c r="DC65" i="5" s="1"/>
  <c r="DD65" i="5" s="1"/>
  <c r="DE65" i="5" s="1"/>
  <c r="DF65" i="5" s="1"/>
  <c r="CW34" i="5"/>
  <c r="CW103" i="5" s="1"/>
  <c r="CW105" i="5" s="1"/>
  <c r="CY60" i="5"/>
  <c r="CZ60" i="5" s="1"/>
  <c r="DA60" i="5" s="1"/>
  <c r="DB60" i="5" s="1"/>
  <c r="DC60" i="5" s="1"/>
  <c r="DD60" i="5" s="1"/>
  <c r="DE60" i="5" s="1"/>
  <c r="DF60" i="5" s="1"/>
  <c r="CY58" i="5"/>
  <c r="CZ58" i="5" s="1"/>
  <c r="DA58" i="5" s="1"/>
  <c r="DB58" i="5" s="1"/>
  <c r="DC58" i="5" s="1"/>
  <c r="DD58" i="5" s="1"/>
  <c r="DE58" i="5" s="1"/>
  <c r="DF58" i="5" s="1"/>
  <c r="CY61" i="5"/>
  <c r="CZ61" i="5" s="1"/>
  <c r="DA61" i="5" s="1"/>
  <c r="DB61" i="5" s="1"/>
  <c r="DC61" i="5" s="1"/>
  <c r="DD61" i="5" s="1"/>
  <c r="DE61" i="5" s="1"/>
  <c r="DF61" i="5" s="1"/>
  <c r="CY54" i="5"/>
  <c r="CY31" i="5"/>
  <c r="CZ31" i="5" s="1"/>
  <c r="DA31" i="5" s="1"/>
  <c r="DB31" i="5" s="1"/>
  <c r="CY95" i="5"/>
  <c r="CZ95" i="5" s="1"/>
  <c r="DA95" i="5" s="1"/>
  <c r="DB95" i="5" s="1"/>
  <c r="DC95" i="5" s="1"/>
  <c r="DD95" i="5" s="1"/>
  <c r="DE95" i="5" s="1"/>
  <c r="DF95" i="5" s="1"/>
  <c r="DG95" i="5" s="1"/>
  <c r="S127" i="5"/>
  <c r="S105" i="5"/>
  <c r="S125" i="5" s="1"/>
  <c r="Y105" i="5"/>
  <c r="Y125" i="5" s="1"/>
  <c r="CY34" i="5"/>
  <c r="CZ34" i="5" s="1"/>
  <c r="DA34" i="5" s="1"/>
  <c r="DB34" i="5" s="1"/>
  <c r="DC34" i="5" s="1"/>
  <c r="DD34" i="5" s="1"/>
  <c r="DE34" i="5" s="1"/>
  <c r="DF34" i="5" s="1"/>
  <c r="CY53" i="5"/>
  <c r="CZ53" i="5" s="1"/>
  <c r="DA53" i="5" s="1"/>
  <c r="DB53" i="5" s="1"/>
  <c r="DC53" i="5" s="1"/>
  <c r="DD53" i="5" s="1"/>
  <c r="DE53" i="5" s="1"/>
  <c r="DF53" i="5" s="1"/>
  <c r="CY80" i="5"/>
  <c r="CZ80" i="5" s="1"/>
  <c r="DA80" i="5" s="1"/>
  <c r="DB80" i="5" s="1"/>
  <c r="DC80" i="5" s="1"/>
  <c r="DD80" i="5" s="1"/>
  <c r="DE80" i="5" s="1"/>
  <c r="CZ3" i="5"/>
  <c r="DA3" i="5" s="1"/>
  <c r="DB3" i="5" s="1"/>
  <c r="DC3" i="5" s="1"/>
  <c r="DD3" i="5" s="1"/>
  <c r="X103" i="5"/>
  <c r="X127" i="5" s="1"/>
  <c r="T103" i="5"/>
  <c r="T127" i="5" s="1"/>
  <c r="AD103" i="5"/>
  <c r="CY119" i="5"/>
  <c r="CX119" i="5"/>
  <c r="AF92" i="5"/>
  <c r="AE58" i="5"/>
  <c r="AE103" i="5" s="1"/>
  <c r="P105" i="5"/>
  <c r="P125" i="5" s="1"/>
  <c r="L105" i="5"/>
  <c r="L125" i="5" s="1"/>
  <c r="AB126" i="5"/>
  <c r="P117" i="5"/>
  <c r="P127" i="5"/>
  <c r="CX41" i="5"/>
  <c r="CZ41" i="5"/>
  <c r="DA41" i="5" s="1"/>
  <c r="DB41" i="5" s="1"/>
  <c r="DC41" i="5" s="1"/>
  <c r="DD41" i="5" s="1"/>
  <c r="DE41" i="5" s="1"/>
  <c r="DF41" i="5" s="1"/>
  <c r="DG41" i="5" s="1"/>
  <c r="DL41" i="5" s="1"/>
  <c r="DM41" i="5" s="1"/>
  <c r="DN41" i="5" s="1"/>
  <c r="DO41" i="5" s="1"/>
  <c r="DP41" i="5" s="1"/>
  <c r="DQ41" i="5" s="1"/>
  <c r="DR41" i="5" s="1"/>
  <c r="DS41" i="5" s="1"/>
  <c r="DT41" i="5" s="1"/>
  <c r="DU41" i="5" s="1"/>
  <c r="DV41" i="5" s="1"/>
  <c r="DW41" i="5" s="1"/>
  <c r="L117" i="5"/>
  <c r="L126" i="5"/>
  <c r="AB105" i="5"/>
  <c r="AB109" i="5" s="1"/>
  <c r="AB128" i="5" s="1"/>
  <c r="CU103" i="5"/>
  <c r="CU127" i="5" s="1"/>
  <c r="Y127" i="5"/>
  <c r="U109" i="5"/>
  <c r="U125" i="5"/>
  <c r="U117" i="5"/>
  <c r="U126" i="5"/>
  <c r="Y117" i="5"/>
  <c r="AC187" i="5"/>
  <c r="AC188" i="5" s="1"/>
  <c r="CV103" i="5"/>
  <c r="V105" i="5"/>
  <c r="V127" i="5"/>
  <c r="V126" i="5"/>
  <c r="V117" i="5"/>
  <c r="CT103" i="5"/>
  <c r="CT127" i="5" s="1"/>
  <c r="D105" i="5"/>
  <c r="D109" i="5" s="1"/>
  <c r="D111" i="5" s="1"/>
  <c r="D113" i="5" s="1"/>
  <c r="D115" i="5" s="1"/>
  <c r="H117" i="5"/>
  <c r="M127" i="5"/>
  <c r="M117" i="5"/>
  <c r="M105" i="5"/>
  <c r="M126" i="5"/>
  <c r="Q126" i="5"/>
  <c r="Q117" i="5"/>
  <c r="Q105" i="5"/>
  <c r="Q127" i="5"/>
  <c r="AA103" i="5"/>
  <c r="CX59" i="5"/>
  <c r="AH133" i="5"/>
  <c r="AG136" i="5"/>
  <c r="AG135" i="5"/>
  <c r="C105" i="5"/>
  <c r="C109" i="5" s="1"/>
  <c r="C111" i="5" s="1"/>
  <c r="C113" i="5" s="1"/>
  <c r="C115" i="5" s="1"/>
  <c r="G117" i="5"/>
  <c r="CZ32" i="5"/>
  <c r="W127" i="5"/>
  <c r="W117" i="5"/>
  <c r="W105" i="5"/>
  <c r="W126" i="5"/>
  <c r="N105" i="5"/>
  <c r="N127" i="5"/>
  <c r="N117" i="5"/>
  <c r="N126" i="5"/>
  <c r="O117" i="5"/>
  <c r="O126" i="5"/>
  <c r="O105" i="5"/>
  <c r="O127" i="5"/>
  <c r="K126" i="5"/>
  <c r="K105" i="5"/>
  <c r="K127" i="5"/>
  <c r="K117" i="5"/>
  <c r="AB186" i="5"/>
  <c r="AB188" i="5" s="1"/>
  <c r="Z117" i="5"/>
  <c r="Z105" i="5"/>
  <c r="Z127" i="5"/>
  <c r="Z126" i="5"/>
  <c r="S117" i="5"/>
  <c r="AG92" i="5" l="1"/>
  <c r="AF103" i="5"/>
  <c r="AE105" i="5"/>
  <c r="AE126" i="5"/>
  <c r="AE127" i="5"/>
  <c r="AI117" i="5"/>
  <c r="AD105" i="5"/>
  <c r="AD127" i="5"/>
  <c r="AD126" i="5"/>
  <c r="S109" i="5"/>
  <c r="S128" i="5" s="1"/>
  <c r="R109" i="5"/>
  <c r="R128" i="5" s="1"/>
  <c r="AD117" i="5"/>
  <c r="Y109" i="5"/>
  <c r="Y111" i="5" s="1"/>
  <c r="X126" i="5"/>
  <c r="AB117" i="5"/>
  <c r="X105" i="5"/>
  <c r="X109" i="5" s="1"/>
  <c r="T117" i="5"/>
  <c r="CY67" i="5"/>
  <c r="T126" i="5"/>
  <c r="CY63" i="5"/>
  <c r="CZ54" i="5"/>
  <c r="DA54" i="5" s="1"/>
  <c r="T105" i="5"/>
  <c r="T109" i="5" s="1"/>
  <c r="CY59" i="5"/>
  <c r="CZ59" i="5" s="1"/>
  <c r="DA59" i="5" s="1"/>
  <c r="DB59" i="5" s="1"/>
  <c r="DC59" i="5" s="1"/>
  <c r="DD59" i="5" s="1"/>
  <c r="DE59" i="5" s="1"/>
  <c r="DF59" i="5" s="1"/>
  <c r="X117" i="5"/>
  <c r="P109" i="5"/>
  <c r="P111" i="5" s="1"/>
  <c r="CX103" i="5"/>
  <c r="L109" i="5"/>
  <c r="L128" i="5" s="1"/>
  <c r="CW127" i="5"/>
  <c r="CY120" i="5"/>
  <c r="AB125" i="5"/>
  <c r="CW126" i="5"/>
  <c r="CW117" i="5"/>
  <c r="AE117" i="5"/>
  <c r="CW125" i="5"/>
  <c r="CW109" i="5"/>
  <c r="CW111" i="5" s="1"/>
  <c r="CV117" i="5"/>
  <c r="DC31" i="5"/>
  <c r="CV127" i="5"/>
  <c r="U128" i="5"/>
  <c r="U111" i="5"/>
  <c r="CT117" i="5"/>
  <c r="V109" i="5"/>
  <c r="V125" i="5"/>
  <c r="CT105" i="5"/>
  <c r="CU117" i="5"/>
  <c r="CU105" i="5"/>
  <c r="O125" i="5"/>
  <c r="O109" i="5"/>
  <c r="W109" i="5"/>
  <c r="W125" i="5"/>
  <c r="AA105" i="5"/>
  <c r="AA127" i="5"/>
  <c r="AA117" i="5"/>
  <c r="AA126" i="5"/>
  <c r="Q125" i="5"/>
  <c r="Q109" i="5"/>
  <c r="M125" i="5"/>
  <c r="M109" i="5"/>
  <c r="AB111" i="5"/>
  <c r="AB129" i="5" s="1"/>
  <c r="K125" i="5"/>
  <c r="K109" i="5"/>
  <c r="DA32" i="5"/>
  <c r="Z109" i="5"/>
  <c r="Z125" i="5"/>
  <c r="N125" i="5"/>
  <c r="N109" i="5"/>
  <c r="AH135" i="5"/>
  <c r="AH136" i="5"/>
  <c r="AD109" i="5" l="1"/>
  <c r="AD125" i="5"/>
  <c r="AE109" i="5"/>
  <c r="AE125" i="5"/>
  <c r="AF117" i="5"/>
  <c r="AF126" i="5"/>
  <c r="AF127" i="5"/>
  <c r="AF105" i="5"/>
  <c r="R111" i="5"/>
  <c r="R129" i="5" s="1"/>
  <c r="S111" i="5"/>
  <c r="S113" i="5" s="1"/>
  <c r="CY73" i="5"/>
  <c r="CZ73" i="5" s="1"/>
  <c r="DA73" i="5" s="1"/>
  <c r="DB73" i="5" s="1"/>
  <c r="DC73" i="5" s="1"/>
  <c r="DD73" i="5" s="1"/>
  <c r="DE73" i="5" s="1"/>
  <c r="DF73" i="5" s="1"/>
  <c r="DG73" i="5" s="1"/>
  <c r="CZ120" i="5"/>
  <c r="Y128" i="5"/>
  <c r="X125" i="5"/>
  <c r="L111" i="5"/>
  <c r="L113" i="5" s="1"/>
  <c r="L115" i="5" s="1"/>
  <c r="T125" i="5"/>
  <c r="P128" i="5"/>
  <c r="CV105" i="5"/>
  <c r="CV125" i="5" s="1"/>
  <c r="CX105" i="5"/>
  <c r="CX125" i="5" s="1"/>
  <c r="CX126" i="5"/>
  <c r="CY75" i="5"/>
  <c r="CZ75" i="5" s="1"/>
  <c r="DA75" i="5" s="1"/>
  <c r="DB75" i="5" s="1"/>
  <c r="DC75" i="5" s="1"/>
  <c r="DD75" i="5" s="1"/>
  <c r="DE75" i="5" s="1"/>
  <c r="DF75" i="5" s="1"/>
  <c r="DG75" i="5" s="1"/>
  <c r="CZ119" i="5"/>
  <c r="DB54" i="5"/>
  <c r="DA120" i="5"/>
  <c r="CW129" i="5"/>
  <c r="CW128" i="5"/>
  <c r="CW113" i="5"/>
  <c r="DD31" i="5"/>
  <c r="AH117" i="5"/>
  <c r="AG103" i="5"/>
  <c r="V128" i="5"/>
  <c r="V111" i="5"/>
  <c r="P113" i="5"/>
  <c r="P129" i="5"/>
  <c r="U113" i="5"/>
  <c r="U129" i="5"/>
  <c r="DB32" i="5"/>
  <c r="CT125" i="5"/>
  <c r="CT109" i="5"/>
  <c r="CT111" i="5" s="1"/>
  <c r="CT113" i="5" s="1"/>
  <c r="Z111" i="5"/>
  <c r="Z128" i="5"/>
  <c r="X128" i="5"/>
  <c r="X111" i="5"/>
  <c r="Q111" i="5"/>
  <c r="Q128" i="5"/>
  <c r="O128" i="5"/>
  <c r="O111" i="5"/>
  <c r="Y113" i="5"/>
  <c r="Y129" i="5"/>
  <c r="AB113" i="5"/>
  <c r="AB145" i="5" s="1"/>
  <c r="AA109" i="5"/>
  <c r="AA125" i="5"/>
  <c r="N128" i="5"/>
  <c r="N111" i="5"/>
  <c r="W111" i="5"/>
  <c r="W128" i="5"/>
  <c r="T111" i="5"/>
  <c r="T128" i="5"/>
  <c r="K128" i="5"/>
  <c r="K111" i="5"/>
  <c r="K113" i="5" s="1"/>
  <c r="K115" i="5" s="1"/>
  <c r="M128" i="5"/>
  <c r="M111" i="5"/>
  <c r="CU109" i="5"/>
  <c r="CU111" i="5" s="1"/>
  <c r="CU125" i="5"/>
  <c r="CU104" i="5"/>
  <c r="R113" i="5" l="1"/>
  <c r="R115" i="5" s="1"/>
  <c r="AF109" i="5"/>
  <c r="AF128" i="5" s="1"/>
  <c r="AF125" i="5"/>
  <c r="AE111" i="5"/>
  <c r="AE128" i="5"/>
  <c r="AG127" i="5"/>
  <c r="AG126" i="5"/>
  <c r="AG105" i="5"/>
  <c r="AG125" i="5" s="1"/>
  <c r="S129" i="5"/>
  <c r="AD111" i="5"/>
  <c r="AD128" i="5"/>
  <c r="AF111" i="5"/>
  <c r="AF129" i="5" s="1"/>
  <c r="AJ117" i="5"/>
  <c r="P121" i="5"/>
  <c r="CV104" i="5"/>
  <c r="CV109" i="5"/>
  <c r="CV111" i="5" s="1"/>
  <c r="CY99" i="5"/>
  <c r="CY103" i="5" s="1"/>
  <c r="CY106" i="5" s="1"/>
  <c r="DA119" i="5"/>
  <c r="DC54" i="5"/>
  <c r="DB120" i="5"/>
  <c r="CW115" i="5"/>
  <c r="CW130" i="5"/>
  <c r="AH109" i="5"/>
  <c r="AH128" i="5" s="1"/>
  <c r="DE31" i="5"/>
  <c r="P130" i="5"/>
  <c r="P199" i="5"/>
  <c r="P201" i="5" s="1"/>
  <c r="P115" i="5"/>
  <c r="P122" i="5" s="1"/>
  <c r="V113" i="5"/>
  <c r="V129" i="5"/>
  <c r="U130" i="5"/>
  <c r="U115" i="5"/>
  <c r="U199" i="5"/>
  <c r="U201" i="5" s="1"/>
  <c r="T113" i="5"/>
  <c r="T129" i="5"/>
  <c r="DC32" i="5"/>
  <c r="AA111" i="5"/>
  <c r="AA128" i="5"/>
  <c r="Y145" i="5"/>
  <c r="Y121" i="5"/>
  <c r="Y115" i="5"/>
  <c r="Y199" i="5"/>
  <c r="Y201" i="5" s="1"/>
  <c r="Y130" i="5"/>
  <c r="Q113" i="5"/>
  <c r="Q129" i="5"/>
  <c r="N113" i="5"/>
  <c r="N129" i="5"/>
  <c r="O113" i="5"/>
  <c r="S121" i="5" s="1"/>
  <c r="O129" i="5"/>
  <c r="CU113" i="5"/>
  <c r="CU128" i="5"/>
  <c r="W113" i="5"/>
  <c r="W129" i="5"/>
  <c r="AB130" i="5"/>
  <c r="AB115" i="5"/>
  <c r="AF122" i="5" s="1"/>
  <c r="AB199" i="5"/>
  <c r="AB200" i="5" s="1"/>
  <c r="AC200" i="5" s="1"/>
  <c r="S199" i="5"/>
  <c r="S201" i="5" s="1"/>
  <c r="S130" i="5"/>
  <c r="S115" i="5"/>
  <c r="Z113" i="5"/>
  <c r="Z129" i="5"/>
  <c r="M113" i="5"/>
  <c r="M129" i="5"/>
  <c r="X129" i="5"/>
  <c r="X113" i="5"/>
  <c r="CY110" i="5"/>
  <c r="R130" i="5" l="1"/>
  <c r="R199" i="5"/>
  <c r="R201" i="5" s="1"/>
  <c r="AG109" i="5"/>
  <c r="AG128" i="5" s="1"/>
  <c r="AD113" i="5"/>
  <c r="AD121" i="5" s="1"/>
  <c r="AD129" i="5"/>
  <c r="AE113" i="5"/>
  <c r="AE130" i="5" s="1"/>
  <c r="AE129" i="5"/>
  <c r="CV128" i="5"/>
  <c r="CV113" i="5"/>
  <c r="CV121" i="5" s="1"/>
  <c r="CZ99" i="5"/>
  <c r="DA99" i="5" s="1"/>
  <c r="DA103" i="5" s="1"/>
  <c r="DB119" i="5"/>
  <c r="AB121" i="5"/>
  <c r="X199" i="5"/>
  <c r="X201" i="5" s="1"/>
  <c r="W199" i="5"/>
  <c r="W201" i="5" s="1"/>
  <c r="DD54" i="5"/>
  <c r="DC120" i="5"/>
  <c r="AH111" i="5"/>
  <c r="AH129" i="5" s="1"/>
  <c r="DF31" i="5"/>
  <c r="V130" i="5"/>
  <c r="V199" i="5"/>
  <c r="V201" i="5" s="1"/>
  <c r="V121" i="5"/>
  <c r="V115" i="5"/>
  <c r="V122" i="5" s="1"/>
  <c r="CY127" i="5"/>
  <c r="AB201" i="5"/>
  <c r="W145" i="5"/>
  <c r="W115" i="5"/>
  <c r="W122" i="5" s="1"/>
  <c r="W121" i="5"/>
  <c r="W130" i="5"/>
  <c r="N121" i="5"/>
  <c r="N130" i="5"/>
  <c r="N115" i="5"/>
  <c r="R121" i="5"/>
  <c r="O121" i="5"/>
  <c r="O115" i="5"/>
  <c r="O122" i="5" s="1"/>
  <c r="O199" i="5"/>
  <c r="O201" i="5" s="1"/>
  <c r="O130" i="5"/>
  <c r="M130" i="5"/>
  <c r="M115" i="5"/>
  <c r="CU115" i="5"/>
  <c r="CU122" i="5" s="1"/>
  <c r="CU130" i="5"/>
  <c r="DD32" i="5"/>
  <c r="X115" i="5"/>
  <c r="AB122" i="5" s="1"/>
  <c r="X121" i="5"/>
  <c r="X145" i="5"/>
  <c r="X130" i="5"/>
  <c r="Z199" i="5"/>
  <c r="Z201" i="5" s="1"/>
  <c r="Z121" i="5"/>
  <c r="Z145" i="5"/>
  <c r="Z130" i="5"/>
  <c r="Z115" i="5"/>
  <c r="Q121" i="5"/>
  <c r="Q130" i="5"/>
  <c r="Q115" i="5"/>
  <c r="Q199" i="5"/>
  <c r="Q201" i="5" s="1"/>
  <c r="U121" i="5"/>
  <c r="Y122" i="5"/>
  <c r="AA113" i="5"/>
  <c r="AA199" i="5" s="1"/>
  <c r="AA129" i="5"/>
  <c r="T121" i="5"/>
  <c r="T115" i="5"/>
  <c r="T122" i="5" s="1"/>
  <c r="T130" i="5"/>
  <c r="T199" i="5"/>
  <c r="T201" i="5" s="1"/>
  <c r="AG111" i="5" l="1"/>
  <c r="AG129" i="5" s="1"/>
  <c r="AE115" i="5"/>
  <c r="CZ103" i="5"/>
  <c r="CZ117" i="5" s="1"/>
  <c r="AD115" i="5"/>
  <c r="AD122" i="5" s="1"/>
  <c r="AD130" i="5"/>
  <c r="CV115" i="5"/>
  <c r="CW122" i="5" s="1"/>
  <c r="CV130" i="5"/>
  <c r="CW121" i="5"/>
  <c r="DC119" i="5"/>
  <c r="AE121" i="5"/>
  <c r="DE54" i="5"/>
  <c r="DD120" i="5"/>
  <c r="AF113" i="5"/>
  <c r="Z122" i="5"/>
  <c r="DB99" i="5"/>
  <c r="DB103" i="5" s="1"/>
  <c r="DB117" i="5" s="1"/>
  <c r="DE32" i="5"/>
  <c r="N122" i="5"/>
  <c r="R122" i="5"/>
  <c r="Q122" i="5"/>
  <c r="U122" i="5"/>
  <c r="X122" i="5"/>
  <c r="AA121" i="5"/>
  <c r="AA115" i="5"/>
  <c r="AA122" i="5" s="1"/>
  <c r="AA201" i="5"/>
  <c r="AA145" i="5"/>
  <c r="AA130" i="5"/>
  <c r="S122" i="5"/>
  <c r="CZ127" i="5" l="1"/>
  <c r="CZ106" i="5"/>
  <c r="AF121" i="5"/>
  <c r="AF130" i="5"/>
  <c r="DA117" i="5"/>
  <c r="CV122" i="5"/>
  <c r="DE3" i="5"/>
  <c r="DD119" i="5"/>
  <c r="AE122" i="5"/>
  <c r="DE120" i="5"/>
  <c r="AG113" i="5"/>
  <c r="AG130" i="5" s="1"/>
  <c r="AH113" i="5"/>
  <c r="AH130" i="5" s="1"/>
  <c r="DF32" i="5"/>
  <c r="DA127" i="5"/>
  <c r="DA106" i="5"/>
  <c r="DC99" i="5"/>
  <c r="DC103" i="5" s="1"/>
  <c r="DC117" i="5" s="1"/>
  <c r="DE119" i="5" l="1"/>
  <c r="DF120" i="5"/>
  <c r="AH122" i="5"/>
  <c r="AH121" i="5"/>
  <c r="DB127" i="5"/>
  <c r="DB106" i="5"/>
  <c r="DD99" i="5"/>
  <c r="DD103" i="5" s="1"/>
  <c r="DD117" i="5" s="1"/>
  <c r="DF119" i="5" l="1"/>
  <c r="DG120" i="5"/>
  <c r="DC127" i="5"/>
  <c r="DC106" i="5"/>
  <c r="DE99" i="5"/>
  <c r="DE103" i="5" s="1"/>
  <c r="DE117" i="5" s="1"/>
  <c r="DG119" i="5" l="1"/>
  <c r="DH120" i="5"/>
  <c r="DF99" i="5"/>
  <c r="DF103" i="5" s="1"/>
  <c r="DF117" i="5" s="1"/>
  <c r="DD106" i="5"/>
  <c r="DE106" i="5" s="1"/>
  <c r="DD127" i="5"/>
  <c r="DH119" i="5" l="1"/>
  <c r="DI120" i="5"/>
  <c r="DF106" i="5"/>
  <c r="DE126" i="5"/>
  <c r="DE127" i="5"/>
  <c r="DG99" i="5"/>
  <c r="DG103" i="5" s="1"/>
  <c r="DG117" i="5" s="1"/>
  <c r="DI119" i="5" l="1"/>
  <c r="DJ120" i="5"/>
  <c r="DF126" i="5"/>
  <c r="DF127" i="5"/>
  <c r="DH117" i="5"/>
  <c r="DJ119" i="5" l="1"/>
  <c r="DK120" i="5"/>
  <c r="DG126" i="5"/>
  <c r="DG127" i="5"/>
  <c r="DK119" i="5" l="1"/>
  <c r="DL3" i="5"/>
  <c r="DL103" i="5" s="1"/>
  <c r="DM120" i="5"/>
  <c r="DL120" i="5"/>
  <c r="DI127" i="5"/>
  <c r="DI117" i="5"/>
  <c r="DH126" i="5"/>
  <c r="DH127" i="5"/>
  <c r="DL106" i="5" l="1"/>
  <c r="DL105" i="5"/>
  <c r="DL125" i="5" s="1"/>
  <c r="DL119" i="5"/>
  <c r="DM3" i="5"/>
  <c r="DJ117" i="5"/>
  <c r="DI126" i="5"/>
  <c r="DL104" i="5" l="1"/>
  <c r="DM119" i="5"/>
  <c r="DN3" i="5"/>
  <c r="DM103" i="5"/>
  <c r="DK117" i="5"/>
  <c r="DK127" i="5"/>
  <c r="DM106" i="5" l="1"/>
  <c r="DM105" i="5"/>
  <c r="DM125" i="5" s="1"/>
  <c r="DO3" i="5"/>
  <c r="DN103" i="5"/>
  <c r="DL127" i="5"/>
  <c r="DL117" i="5"/>
  <c r="DK126" i="5"/>
  <c r="DN105" i="5" l="1"/>
  <c r="DN104" i="5" s="1"/>
  <c r="DN127" i="5"/>
  <c r="DN106" i="5"/>
  <c r="DN126" i="5" s="1"/>
  <c r="DN117" i="5"/>
  <c r="DM104" i="5"/>
  <c r="DP3" i="5"/>
  <c r="DO103" i="5"/>
  <c r="DM127" i="5"/>
  <c r="DM117" i="5"/>
  <c r="DM126" i="5"/>
  <c r="DL126" i="5"/>
  <c r="DO106" i="5" l="1"/>
  <c r="DO126" i="5" s="1"/>
  <c r="DO117" i="5"/>
  <c r="DO105" i="5"/>
  <c r="DO127" i="5"/>
  <c r="DN109" i="5"/>
  <c r="DN125" i="5"/>
  <c r="DQ3" i="5"/>
  <c r="DP103" i="5"/>
  <c r="CX117" i="5"/>
  <c r="DP127" i="5" l="1"/>
  <c r="DP106" i="5"/>
  <c r="DP126" i="5" s="1"/>
  <c r="DP117" i="5"/>
  <c r="DP105" i="5"/>
  <c r="DO125" i="5"/>
  <c r="DO109" i="5"/>
  <c r="DO104" i="5"/>
  <c r="DR3" i="5"/>
  <c r="DQ103" i="5"/>
  <c r="CY125" i="5"/>
  <c r="CY105" i="5" s="1"/>
  <c r="CY104" i="5" s="1"/>
  <c r="CX127" i="5"/>
  <c r="CY117" i="5"/>
  <c r="DQ106" i="5" l="1"/>
  <c r="DQ126" i="5" s="1"/>
  <c r="DQ117" i="5"/>
  <c r="DQ105" i="5"/>
  <c r="DQ127" i="5"/>
  <c r="DP109" i="5"/>
  <c r="DP125" i="5"/>
  <c r="DP104" i="5"/>
  <c r="DS3" i="5"/>
  <c r="DR103" i="5"/>
  <c r="CX109" i="5"/>
  <c r="CX111" i="5" s="1"/>
  <c r="CX112" i="5" s="1"/>
  <c r="CX129" i="5" s="1"/>
  <c r="CZ125" i="5"/>
  <c r="DR106" i="5" l="1"/>
  <c r="DR126" i="5" s="1"/>
  <c r="DR127" i="5"/>
  <c r="DR117" i="5"/>
  <c r="DR105" i="5"/>
  <c r="DQ109" i="5"/>
  <c r="DQ125" i="5"/>
  <c r="DQ104" i="5"/>
  <c r="DT3" i="5"/>
  <c r="DS103" i="5"/>
  <c r="CX128" i="5"/>
  <c r="CX113" i="5"/>
  <c r="CX121" i="5" s="1"/>
  <c r="CZ105" i="5"/>
  <c r="DA125" i="5"/>
  <c r="CY109" i="5"/>
  <c r="CY111" i="5" s="1"/>
  <c r="CY128" i="5" s="1"/>
  <c r="DS106" i="5" l="1"/>
  <c r="DS117" i="5"/>
  <c r="DS105" i="5"/>
  <c r="DS125" i="5" s="1"/>
  <c r="DS127" i="5"/>
  <c r="DR125" i="5"/>
  <c r="DR109" i="5"/>
  <c r="DR104" i="5"/>
  <c r="DU3" i="5"/>
  <c r="DT103" i="5"/>
  <c r="CX115" i="5"/>
  <c r="CX122" i="5" s="1"/>
  <c r="CX130" i="5"/>
  <c r="CY112" i="5"/>
  <c r="CY129" i="5" s="1"/>
  <c r="DB125" i="5"/>
  <c r="DA105" i="5"/>
  <c r="CZ104" i="5"/>
  <c r="CZ109" i="5"/>
  <c r="DT106" i="5" l="1"/>
  <c r="DT126" i="5" s="1"/>
  <c r="DT127" i="5"/>
  <c r="DT117" i="5"/>
  <c r="DT105" i="5"/>
  <c r="DS104" i="5"/>
  <c r="DS109" i="5"/>
  <c r="DS126" i="5"/>
  <c r="DV3" i="5"/>
  <c r="DU103" i="5"/>
  <c r="CY113" i="5"/>
  <c r="DA109" i="5"/>
  <c r="DA104" i="5"/>
  <c r="DB105" i="5"/>
  <c r="DC125" i="5"/>
  <c r="DU106" i="5" l="1"/>
  <c r="DU126" i="5" s="1"/>
  <c r="DU117" i="5"/>
  <c r="DU105" i="5"/>
  <c r="DU127" i="5"/>
  <c r="DT109" i="5"/>
  <c r="DT125" i="5"/>
  <c r="DT104" i="5"/>
  <c r="DW3" i="5"/>
  <c r="DW103" i="5" s="1"/>
  <c r="DV103" i="5"/>
  <c r="CY121" i="5"/>
  <c r="CY130" i="5"/>
  <c r="CY115" i="5"/>
  <c r="CY122" i="5" s="1"/>
  <c r="CY132" i="5"/>
  <c r="CZ111" i="5" s="1"/>
  <c r="CZ112" i="5" s="1"/>
  <c r="CZ129" i="5" s="1"/>
  <c r="DD125" i="5"/>
  <c r="DC105" i="5"/>
  <c r="DB104" i="5"/>
  <c r="DB109" i="5"/>
  <c r="DV106" i="5" l="1"/>
  <c r="DV126" i="5" s="1"/>
  <c r="DV127" i="5"/>
  <c r="DV117" i="5"/>
  <c r="DV105" i="5"/>
  <c r="DV104" i="5" s="1"/>
  <c r="DW117" i="5"/>
  <c r="DW105" i="5"/>
  <c r="DW104" i="5" s="1"/>
  <c r="DW106" i="5"/>
  <c r="DW126" i="5" s="1"/>
  <c r="DW127" i="5"/>
  <c r="DU125" i="5"/>
  <c r="DU109" i="5"/>
  <c r="DU104" i="5"/>
  <c r="CZ128" i="5"/>
  <c r="DD105" i="5"/>
  <c r="DC104" i="5"/>
  <c r="DC109" i="5"/>
  <c r="CZ113" i="5"/>
  <c r="DW125" i="5" l="1"/>
  <c r="DW109" i="5"/>
  <c r="DV125" i="5"/>
  <c r="DV109" i="5"/>
  <c r="DE105" i="5"/>
  <c r="CZ115" i="5"/>
  <c r="CZ122" i="5" s="1"/>
  <c r="CZ121" i="5"/>
  <c r="CZ130" i="5"/>
  <c r="CZ132" i="5"/>
  <c r="DA111" i="5" s="1"/>
  <c r="DD104" i="5"/>
  <c r="DD109" i="5"/>
  <c r="DE104" i="5" l="1"/>
  <c r="DE109" i="5"/>
  <c r="DA112" i="5"/>
  <c r="DA129" i="5" s="1"/>
  <c r="DA128" i="5"/>
  <c r="DF105" i="5"/>
  <c r="DA113" i="5" l="1"/>
  <c r="DA115" i="5" s="1"/>
  <c r="DA122" i="5" s="1"/>
  <c r="DG105" i="5"/>
  <c r="DG104" i="5" s="1"/>
  <c r="DF109" i="5"/>
  <c r="DF104" i="5"/>
  <c r="DA121" i="5" l="1"/>
  <c r="DA130" i="5"/>
  <c r="DA132" i="5"/>
  <c r="DB111" i="5" s="1"/>
  <c r="DB112" i="5" s="1"/>
  <c r="DB129" i="5" s="1"/>
  <c r="DG109" i="5"/>
  <c r="DB128" i="5" l="1"/>
  <c r="DB113" i="5"/>
  <c r="DB130" i="5" s="1"/>
  <c r="DB115" i="5" l="1"/>
  <c r="DB122" i="5" s="1"/>
  <c r="DB121" i="5"/>
  <c r="DB132" i="5"/>
  <c r="DC111" i="5" s="1"/>
  <c r="DC128" i="5" s="1"/>
  <c r="DC112" i="5" l="1"/>
  <c r="DC129" i="5" s="1"/>
  <c r="DC113" i="5" l="1"/>
  <c r="DC130" i="5" s="1"/>
  <c r="DK109" i="5"/>
  <c r="DC115" i="5" l="1"/>
  <c r="DC122" i="5" s="1"/>
  <c r="DC121" i="5"/>
  <c r="DC132" i="5"/>
  <c r="DD111" i="5" s="1"/>
  <c r="DD112" i="5" s="1"/>
  <c r="DD129" i="5" s="1"/>
  <c r="DM109" i="5"/>
  <c r="DL109" i="5"/>
  <c r="DD128" i="5" l="1"/>
  <c r="DD113" i="5"/>
  <c r="DD121" i="5" s="1"/>
  <c r="DD132" i="5" l="1"/>
  <c r="DE111" i="5" s="1"/>
  <c r="DE112" i="5" s="1"/>
  <c r="DE129" i="5" s="1"/>
  <c r="DD130" i="5"/>
  <c r="DD115" i="5"/>
  <c r="DD122" i="5" s="1"/>
  <c r="DE128" i="5" l="1"/>
  <c r="DE113" i="5"/>
  <c r="DE121" i="5" l="1"/>
  <c r="DE115" i="5"/>
  <c r="DE122" i="5" s="1"/>
  <c r="DE130" i="5"/>
  <c r="DE132" i="5"/>
  <c r="DF111" i="5" s="1"/>
  <c r="DF112" i="5" l="1"/>
  <c r="DF129" i="5" s="1"/>
  <c r="DF128" i="5"/>
  <c r="DF113" i="5" l="1"/>
  <c r="DF115" i="5" l="1"/>
  <c r="DF122" i="5" s="1"/>
  <c r="DF121" i="5"/>
  <c r="DF130" i="5"/>
  <c r="DF132" i="5"/>
  <c r="DG111" i="5" s="1"/>
  <c r="DG112" i="5" l="1"/>
  <c r="DG129" i="5" s="1"/>
  <c r="DG128" i="5"/>
  <c r="DG113" i="5" l="1"/>
  <c r="DG121" i="5" l="1"/>
  <c r="DG130" i="5"/>
  <c r="DG115" i="5"/>
  <c r="DG122" i="5" s="1"/>
  <c r="DG132" i="5"/>
  <c r="DH128" i="5" l="1"/>
  <c r="DH129" i="5"/>
  <c r="DH115" i="5" l="1"/>
  <c r="DH122" i="5" s="1"/>
  <c r="DH130" i="5"/>
  <c r="DH121" i="5"/>
  <c r="DI128" i="5" l="1"/>
  <c r="DI129" i="5"/>
  <c r="DI121" i="5" l="1"/>
  <c r="DI115" i="5" l="1"/>
  <c r="DI122" i="5" s="1"/>
  <c r="DI130" i="5"/>
  <c r="AC103" i="5" l="1"/>
  <c r="AC117" i="5" l="1"/>
  <c r="AC126" i="5"/>
  <c r="AC127" i="5"/>
  <c r="AC105" i="5"/>
  <c r="AG117" i="5"/>
  <c r="AC125" i="5" l="1"/>
  <c r="AC109" i="5"/>
  <c r="AC128" i="5" s="1"/>
  <c r="AC111" i="5" l="1"/>
  <c r="AC129" i="5" s="1"/>
  <c r="AC113" i="5" l="1"/>
  <c r="AC130" i="5" s="1"/>
  <c r="AC121" i="5" l="1"/>
  <c r="AG121" i="5"/>
  <c r="AC199" i="5"/>
  <c r="AC201" i="5" s="1"/>
  <c r="AC115" i="5"/>
  <c r="AG122" i="5" l="1"/>
  <c r="AC122" i="5"/>
  <c r="DK111" i="5"/>
  <c r="DJ127" i="5"/>
  <c r="DJ126" i="5"/>
  <c r="DK128" i="5" l="1"/>
  <c r="DK112" i="5"/>
  <c r="DK129" i="5" s="1"/>
  <c r="DJ128" i="5"/>
  <c r="DJ129" i="5"/>
  <c r="DK113" i="5" l="1"/>
  <c r="DJ130" i="5"/>
  <c r="DJ121" i="5"/>
  <c r="DJ115" i="5"/>
  <c r="DK115" i="5" l="1"/>
  <c r="DK122" i="5" s="1"/>
  <c r="DK132" i="5"/>
  <c r="DK121" i="5"/>
  <c r="DK130" i="5"/>
  <c r="DJ122" i="5"/>
  <c r="DL110" i="5" l="1"/>
  <c r="DL111" i="5" s="1"/>
  <c r="DL112" i="5" l="1"/>
  <c r="DL129" i="5" s="1"/>
  <c r="DL128" i="5"/>
  <c r="DL113" i="5" l="1"/>
  <c r="DL130" i="5" s="1"/>
  <c r="DL132" i="5" l="1"/>
  <c r="DM110" i="5" s="1"/>
  <c r="DM111" i="5" s="1"/>
  <c r="DL121" i="5"/>
  <c r="DL115" i="5"/>
  <c r="DL122" i="5" s="1"/>
  <c r="DM112" i="5" l="1"/>
  <c r="DM129" i="5" s="1"/>
  <c r="DM128" i="5"/>
  <c r="DM113" i="5" l="1"/>
  <c r="DM130" i="5" s="1"/>
  <c r="DM132" i="5" l="1"/>
  <c r="DN110" i="5" s="1"/>
  <c r="DN111" i="5" s="1"/>
  <c r="DM121" i="5"/>
  <c r="DM115" i="5"/>
  <c r="DM122" i="5" s="1"/>
  <c r="DN128" i="5" l="1"/>
  <c r="DN112" i="5"/>
  <c r="DN129" i="5" s="1"/>
  <c r="DN113" i="5" l="1"/>
  <c r="DN130" i="5" l="1"/>
  <c r="DN115" i="5"/>
  <c r="DN132" i="5"/>
  <c r="DO110" i="5" l="1"/>
  <c r="DO111" i="5" s="1"/>
  <c r="DO128" i="5" l="1"/>
  <c r="DO112" i="5"/>
  <c r="DO129" i="5" s="1"/>
  <c r="DO113" i="5" l="1"/>
  <c r="DO130" i="5" s="1"/>
  <c r="DO132" i="5" l="1"/>
  <c r="DP110" i="5" s="1"/>
  <c r="DP111" i="5" s="1"/>
  <c r="DO115" i="5"/>
  <c r="DP128" i="5" l="1"/>
  <c r="DP112" i="5"/>
  <c r="DP129" i="5" s="1"/>
  <c r="DP113" i="5" l="1"/>
  <c r="DP130" i="5" s="1"/>
  <c r="DP132" i="5" l="1"/>
  <c r="DQ110" i="5" s="1"/>
  <c r="DQ111" i="5" s="1"/>
  <c r="DP115" i="5"/>
  <c r="DQ128" i="5" l="1"/>
  <c r="DQ112" i="5"/>
  <c r="DQ129" i="5" s="1"/>
  <c r="DQ113" i="5" l="1"/>
  <c r="DQ130" i="5" s="1"/>
  <c r="DQ132" i="5" l="1"/>
  <c r="DR110" i="5" s="1"/>
  <c r="DR111" i="5" s="1"/>
  <c r="DQ115" i="5"/>
  <c r="DR128" i="5" l="1"/>
  <c r="DR112" i="5"/>
  <c r="DR129" i="5" s="1"/>
  <c r="DR113" i="5" l="1"/>
  <c r="DR130" i="5" s="1"/>
  <c r="DR132" i="5" l="1"/>
  <c r="DS110" i="5" s="1"/>
  <c r="DS111" i="5" s="1"/>
  <c r="DR115" i="5"/>
  <c r="DS128" i="5" l="1"/>
  <c r="DS112" i="5"/>
  <c r="DS113" i="5" l="1"/>
  <c r="DS129" i="5"/>
  <c r="DS130" i="5" l="1"/>
  <c r="DS115" i="5"/>
  <c r="DS132" i="5"/>
  <c r="DT110" i="5" l="1"/>
  <c r="DT111" i="5" s="1"/>
  <c r="DT128" i="5" l="1"/>
  <c r="DT112" i="5"/>
  <c r="DT129" i="5" s="1"/>
  <c r="DT113" i="5" l="1"/>
  <c r="DT130" i="5" s="1"/>
  <c r="DT132" i="5" l="1"/>
  <c r="DU110" i="5" s="1"/>
  <c r="DU111" i="5" s="1"/>
  <c r="DT115" i="5"/>
  <c r="DU112" i="5" l="1"/>
  <c r="DU129" i="5" s="1"/>
  <c r="DU128" i="5"/>
  <c r="DU113" i="5" l="1"/>
  <c r="DU130" i="5" s="1"/>
  <c r="DU132" i="5" l="1"/>
  <c r="DV110" i="5" s="1"/>
  <c r="DV111" i="5" s="1"/>
  <c r="DU115" i="5"/>
  <c r="DV112" i="5" l="1"/>
  <c r="DV129" i="5" s="1"/>
  <c r="DV128" i="5"/>
  <c r="DV113" i="5" l="1"/>
  <c r="DV130" i="5" s="1"/>
  <c r="DV132" i="5" l="1"/>
  <c r="DW110" i="5" s="1"/>
  <c r="DW111" i="5" s="1"/>
  <c r="DV115" i="5"/>
  <c r="DW112" i="5" l="1"/>
  <c r="DW129" i="5" s="1"/>
  <c r="DW128" i="5"/>
  <c r="DW113" i="5" l="1"/>
  <c r="DW130" i="5" s="1"/>
  <c r="DW115" i="5" l="1"/>
  <c r="DW132" i="5"/>
  <c r="DX113" i="5"/>
  <c r="DY113" i="5" s="1"/>
  <c r="DZ113" i="5" s="1"/>
  <c r="EA113" i="5" s="1"/>
  <c r="EB113" i="5" s="1"/>
  <c r="EC113" i="5" s="1"/>
  <c r="ED113" i="5" s="1"/>
  <c r="EE113" i="5" s="1"/>
  <c r="EF113" i="5" s="1"/>
  <c r="EG113" i="5" s="1"/>
  <c r="EH113" i="5" s="1"/>
  <c r="EI113" i="5" s="1"/>
  <c r="EJ113" i="5" s="1"/>
  <c r="EK113" i="5" s="1"/>
  <c r="EL113" i="5" s="1"/>
  <c r="EM113" i="5" s="1"/>
  <c r="EN113" i="5" s="1"/>
  <c r="EO113" i="5" s="1"/>
  <c r="EP113" i="5" s="1"/>
  <c r="EQ113" i="5" s="1"/>
  <c r="ER113" i="5" s="1"/>
  <c r="ES113" i="5" s="1"/>
  <c r="ET113" i="5" s="1"/>
  <c r="EU113" i="5" s="1"/>
  <c r="EV113" i="5" s="1"/>
  <c r="EW113" i="5" s="1"/>
  <c r="EX113" i="5" s="1"/>
  <c r="EY113" i="5" s="1"/>
  <c r="EZ113" i="5" s="1"/>
  <c r="FA113" i="5" s="1"/>
  <c r="FB113" i="5" s="1"/>
  <c r="FC113" i="5" s="1"/>
  <c r="FD113" i="5" s="1"/>
  <c r="FE113" i="5" s="1"/>
  <c r="FF113" i="5" s="1"/>
  <c r="FG113" i="5" s="1"/>
  <c r="FH113" i="5" s="1"/>
  <c r="FI113" i="5" s="1"/>
  <c r="FJ113" i="5" s="1"/>
  <c r="FK113" i="5" s="1"/>
  <c r="FL113" i="5" s="1"/>
  <c r="FM113" i="5" s="1"/>
  <c r="FN113" i="5" s="1"/>
  <c r="FO113" i="5" s="1"/>
  <c r="FP113" i="5" s="1"/>
  <c r="FQ113" i="5" s="1"/>
  <c r="FR113" i="5" s="1"/>
  <c r="FS113" i="5" s="1"/>
  <c r="FT113" i="5" s="1"/>
  <c r="FU113" i="5" s="1"/>
  <c r="FV113" i="5" s="1"/>
  <c r="FW113" i="5" s="1"/>
  <c r="DZ121" i="5" s="1"/>
  <c r="DZ122" i="5" s="1"/>
  <c r="DZ123" i="5" s="1"/>
  <c r="FX113" i="5" l="1"/>
  <c r="FY113" i="5" s="1"/>
  <c r="FZ113" i="5" s="1"/>
  <c r="GA113" i="5" s="1"/>
  <c r="GB113" i="5" s="1"/>
  <c r="GC113" i="5" s="1"/>
  <c r="GD113" i="5" s="1"/>
  <c r="GE113" i="5" s="1"/>
  <c r="GF113" i="5" s="1"/>
  <c r="GG113" i="5" s="1"/>
  <c r="GH113" i="5" s="1"/>
  <c r="GI113" i="5" s="1"/>
  <c r="GJ113" i="5" s="1"/>
  <c r="GK113" i="5" s="1"/>
  <c r="GL113" i="5" s="1"/>
  <c r="GM113" i="5" s="1"/>
  <c r="GN113" i="5" s="1"/>
  <c r="GO1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tc={03AF95B9-068B-48CD-806A-94C6B7B864D9}</author>
  </authors>
  <commentList>
    <comment ref="F3" authorId="0" shapeId="0" xr:uid="{03AF95B9-068B-48CD-806A-94C6B7B864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Diskus approved 8/24/2000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tc={59B5BB42-C672-46DD-AFA0-9246AD414857}</author>
    <author>tc={DFAA27FD-EDD0-4577-BD62-4799DE66F44E}</author>
    <author>tc={8BD7E764-3C44-4855-8A2C-126CD6680518}</author>
    <author>tc={4AC894B8-18B3-4778-A6DA-97775BA5530D}</author>
    <author>tc={D5549FF8-C43E-4B47-B3EF-B7BADBC43614}</author>
    <author>tc={73281FE4-B227-4749-BB72-94DB80C56DF4}</author>
    <author>tc={1ADD1653-7317-4DB9-811A-2DEA31ADF4E8}</author>
    <author>Bloomberg</author>
    <author>tc={CF080184-7B2D-455D-9A74-4E5F85F95A59}</author>
    <author>tc={68667B6A-5C22-45CE-AA39-05A35252D800}</author>
    <author>tc={43B9D496-DDBA-4956-8BB5-AB43B41B3A10}</author>
    <author>tc={346FE1A0-CE4A-4919-88BA-BEDB66247B6B}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M3" authorId="5" shapeId="0" xr:uid="{59B5BB42-C672-46DD-AFA0-9246AD414857}">
      <text>
        <t>[Threaded comment]
Your version of Excel allows you to read this threaded comment; however, any edits to it will get removed if the file is opened in a newer version of Excel. Learn more: https://go.microsoft.com/fwlink/?linkid=870924
Comment:
    48m USD</t>
      </text>
    </comment>
    <comment ref="CN3" authorId="6" shapeId="0" xr:uid="{DFAA27FD-EDD0-4577-BD62-4799DE66F44E}">
      <text>
        <t>[Threaded comment]
Your version of Excel allows you to read this threaded comment; however, any edits to it will get removed if the file is opened in a newer version of Excel. Learn more: https://go.microsoft.com/fwlink/?linkid=870924
Comment:
    208m GBP</t>
      </text>
    </comment>
    <comment ref="CV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Y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DD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DO5" authorId="7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6" authorId="8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7" authorId="9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8" authorId="10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9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3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3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DD13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6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6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W16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19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19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0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DO21" authorId="11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X22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2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2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DD22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3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W23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4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4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V24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W24" authorId="12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31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31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32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DA32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DC32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DD33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CW48" authorId="12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9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50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W50" authorId="12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DD50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3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W5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5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5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5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5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5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5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5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5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5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5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5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5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C55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I56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61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61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61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61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61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61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61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61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61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61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61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61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61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61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61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61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61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61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61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61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61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61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61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61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P61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Q61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R61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S61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T61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U61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V61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W61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DD63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DD64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6" authorId="12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2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3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5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W75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6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6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W77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4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4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Z84" authorId="12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DD84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90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3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Y99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100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2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2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DD102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3" authorId="13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3" authorId="14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BY103" authorId="15" shapeId="0" xr:uid="{43B9D496-DDBA-4956-8BB5-AB43B41B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7829 reported revenue</t>
      </text>
    </comment>
    <comment ref="BZ103" authorId="16" shapeId="0" xr:uid="{346FE1A0-CE4A-4919-88BA-BEDB66247B6B}">
      <text>
        <t>[Threaded comment]
Your version of Excel allows you to read this threaded comment; however, any edits to it will get removed if the file is opened in a newer version of Excel. Learn more: https://go.microsoft.com/fwlink/?linkid=870924
Comment:
    7376 reported revenue</t>
      </text>
    </comment>
    <comment ref="CX103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4" authorId="17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6" authorId="18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6" authorId="19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7" authorId="20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7" authorId="21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8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4" authorId="22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5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5" authorId="23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V115" authorId="12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8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8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8" authorId="24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X118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9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9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9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9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9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9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9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20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20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2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3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X125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X126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X127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Y128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203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203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204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204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205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205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205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6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6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6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8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<sst xmlns="http://schemas.openxmlformats.org/spreadsheetml/2006/main" count="2305" uniqueCount="1501">
  <si>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</si>
  <si>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</si>
  <si>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</si>
  <si>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</si>
  <si>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</si>
  <si>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</si>
  <si>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</si>
  <si>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</si>
  <si>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</si>
  <si>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</si>
  <si>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</si>
  <si>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</si>
  <si>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</si>
  <si>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</si>
  <si>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</si>
  <si>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</si>
  <si>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</si>
  <si>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</si>
  <si>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</si>
  <si>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</si>
  <si>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</si>
  <si>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</si>
  <si>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</si>
  <si>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</si>
  <si>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</si>
  <si>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</si>
  <si>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</si>
  <si>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</si>
  <si>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</si>
  <si>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</si>
  <si>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</si>
  <si>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</si>
  <si>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</si>
  <si>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</si>
  <si>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</si>
  <si>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</si>
  <si>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</si>
  <si>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</si>
  <si>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</si>
  <si>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</si>
  <si>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</si>
  <si>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</si>
  <si>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</si>
  <si>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</si>
  <si>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</si>
  <si>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</si>
  <si>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</si>
  <si>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</si>
  <si>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</si>
  <si>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</si>
  <si>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</si>
  <si>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</si>
  <si>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</si>
  <si>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</si>
  <si>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</si>
  <si>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</si>
  <si>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</si>
  <si>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</si>
  <si>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</si>
  <si>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</si>
  <si>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</si>
  <si>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</si>
  <si>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</si>
  <si>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</si>
  <si>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</si>
  <si>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</si>
  <si>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</si>
  <si>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</si>
  <si>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</si>
  <si>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</si>
  <si>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</si>
  <si>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</si>
  <si>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</si>
  <si>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</si>
  <si>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</si>
  <si>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</si>
  <si>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</si>
  <si>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</si>
  <si>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</si>
  <si>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</si>
  <si>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</si>
  <si>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</si>
  <si>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</si>
  <si>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</si>
  <si>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</si>
  <si>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</si>
  <si>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</si>
  <si>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</si>
  <si>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</si>
  <si>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</si>
  <si>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</si>
  <si>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</si>
  <si>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</si>
  <si>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</si>
  <si>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</si>
  <si>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</si>
  <si>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</si>
  <si>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</si>
  <si>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</si>
  <si>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</si>
  <si>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</si>
  <si>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</si>
  <si>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</si>
  <si>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</si>
  <si>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</si>
  <si>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</si>
  <si>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</si>
  <si>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</si>
  <si>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</si>
  <si>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</si>
  <si>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</si>
  <si>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</si>
  <si>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</si>
  <si>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</si>
  <si>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</si>
  <si>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</si>
  <si>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</si>
  <si>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</si>
  <si>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</si>
  <si>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</si>
  <si>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</si>
  <si>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</si>
  <si>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</si>
  <si>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</si>
  <si>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</si>
  <si>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</si>
  <si>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</si>
  <si>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</si>
  <si>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</si>
  <si>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</si>
  <si>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</si>
  <si>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</si>
  <si>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</si>
  <si>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</si>
  <si>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</si>
  <si>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</si>
  <si>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</si>
  <si>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</si>
  <si>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</si>
  <si>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</si>
  <si>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</si>
  <si>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</si>
  <si>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</si>
  <si>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</si>
  <si>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</si>
  <si>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</si>
  <si>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</si>
  <si>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</si>
  <si>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</si>
  <si>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</si>
  <si>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</si>
  <si>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</si>
  <si>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</si>
  <si>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</si>
  <si>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</si>
  <si>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</si>
  <si>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</si>
  <si>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</si>
  <si>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</si>
  <si>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</si>
  <si>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</si>
  <si>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</si>
  <si>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</si>
  <si>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</si>
  <si>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</si>
  <si>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</si>
  <si>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</si>
  <si>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</si>
  <si>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</si>
  <si>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</si>
  <si>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</si>
  <si>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</si>
  <si>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</si>
  <si>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</si>
  <si>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</si>
  <si>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</si>
  <si>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</si>
  <si>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</si>
  <si>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</si>
  <si>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</si>
  <si>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</si>
  <si>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</si>
  <si>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</si>
  <si>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</si>
  <si>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</si>
  <si>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</si>
  <si>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</si>
  <si>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</si>
  <si>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</si>
  <si>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</si>
  <si>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</si>
  <si>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</si>
  <si>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</si>
  <si>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</si>
  <si>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</si>
  <si>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</si>
  <si>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</si>
  <si>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</si>
  <si>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</si>
  <si>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</si>
  <si>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</si>
  <si>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</si>
  <si>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</si>
  <si>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</si>
  <si>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</si>
  <si>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</si>
  <si>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</si>
  <si>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</si>
  <si>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</si>
  <si>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</si>
  <si>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</si>
  <si>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</si>
  <si>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</si>
  <si>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</si>
  <si>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</si>
  <si>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</si>
  <si>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</si>
  <si>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</si>
  <si>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</si>
  <si>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</si>
  <si>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</si>
  <si>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</si>
  <si>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</si>
  <si>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</si>
  <si>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</si>
  <si>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</si>
  <si>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</si>
  <si>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</si>
  <si>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</si>
  <si>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</si>
  <si>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</si>
  <si>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</si>
  <si>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</si>
  <si>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</si>
  <si>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</si>
  <si>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</si>
  <si>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</si>
  <si>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</si>
  <si>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</si>
  <si>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</si>
  <si>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</si>
  <si>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</si>
  <si>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</si>
  <si>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</si>
  <si>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</si>
  <si>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</si>
  <si>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</si>
  <si>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</si>
  <si>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</si>
  <si>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</si>
  <si>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</si>
  <si>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</si>
  <si>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</si>
  <si>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</si>
  <si>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</si>
  <si>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</si>
  <si>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</si>
  <si>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</si>
  <si>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</si>
  <si>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</si>
  <si>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</si>
  <si>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</si>
  <si>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</si>
  <si>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</si>
  <si>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</si>
  <si>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</si>
  <si>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</si>
  <si>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</si>
  <si>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</si>
  <si>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</si>
  <si>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</si>
  <si>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</si>
  <si>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</si>
  <si>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</si>
  <si>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</si>
  <si>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</si>
  <si>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</si>
  <si>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</si>
  <si>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</si>
  <si>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</si>
  <si>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</si>
  <si>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</si>
  <si>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</si>
  <si>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</si>
  <si>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</si>
  <si>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</si>
  <si>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</si>
  <si>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</si>
  <si>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</si>
  <si>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</si>
  <si>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</si>
  <si>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</si>
  <si>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</si>
  <si>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</si>
  <si>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</si>
  <si>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</si>
  <si>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</si>
  <si>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</si>
  <si>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</si>
  <si>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</si>
  <si>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</si>
  <si>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</si>
  <si>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</si>
  <si>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</si>
  <si>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</si>
  <si>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</si>
  <si>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</si>
  <si>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</si>
  <si>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</si>
  <si>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</si>
  <si>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</si>
  <si>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</si>
  <si>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</si>
  <si>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</si>
  <si>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</si>
  <si>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</si>
  <si>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</si>
  <si>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</si>
  <si>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</si>
  <si>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</si>
  <si>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</si>
  <si>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</si>
  <si>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</si>
  <si>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</si>
  <si>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</si>
  <si>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</si>
  <si>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</si>
  <si>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</si>
  <si>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</si>
  <si>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</si>
  <si>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</si>
  <si>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</si>
  <si>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</si>
  <si>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</si>
  <si>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</si>
  <si>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</si>
  <si>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</si>
  <si>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</si>
  <si>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</si>
  <si>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</si>
  <si>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</si>
  <si>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</si>
  <si>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</si>
  <si>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</si>
  <si>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</si>
  <si>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</si>
  <si>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</si>
  <si>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</si>
  <si>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</si>
  <si>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</si>
  <si>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</si>
  <si>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</si>
  <si>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</si>
  <si>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</si>
  <si>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</si>
  <si>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</si>
  <si>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</si>
  <si>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</si>
  <si>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</si>
  <si>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</si>
  <si>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</si>
  <si>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</si>
  <si>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</si>
  <si>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</si>
  <si>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</si>
  <si>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</si>
  <si>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</si>
  <si>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</si>
  <si>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</si>
  <si>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</si>
  <si>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</si>
  <si>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</si>
  <si>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</si>
  <si>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</si>
  <si>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</si>
  <si>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</si>
  <si>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</si>
  <si>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</si>
  <si>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</si>
  <si>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</si>
  <si>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</si>
  <si>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</si>
  <si>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</si>
  <si>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</si>
  <si>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</si>
  <si>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</si>
  <si>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</si>
  <si>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</si>
  <si>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</si>
  <si>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</si>
  <si>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</si>
  <si>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</si>
  <si>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</si>
  <si>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</si>
  <si>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</si>
  <si>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</si>
  <si>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</si>
  <si>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</si>
  <si>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</si>
  <si>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</si>
  <si>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</si>
  <si>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</si>
  <si>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</si>
  <si>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</si>
  <si>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</si>
  <si>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</si>
  <si>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</si>
  <si>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</si>
  <si>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</si>
  <si>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</si>
  <si>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</si>
  <si>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</si>
  <si>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</si>
  <si>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</si>
  <si>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</si>
  <si>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</si>
  <si>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</si>
  <si>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</si>
  <si>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</si>
  <si>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</si>
  <si>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</si>
  <si>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</si>
  <si>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</si>
  <si>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</si>
  <si>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</si>
  <si>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</si>
  <si>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</si>
  <si>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</si>
  <si>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</si>
  <si>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</si>
  <si>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</si>
  <si>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</si>
  <si>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</si>
  <si>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</si>
  <si>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</si>
  <si>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</si>
  <si>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</si>
  <si>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</si>
  <si>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</si>
  <si>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</si>
  <si>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</si>
  <si>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</si>
  <si>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</si>
  <si>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</si>
  <si>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</si>
  <si>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</si>
  <si>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</si>
  <si>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</si>
  <si>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</si>
  <si>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</si>
  <si>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</si>
  <si>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</si>
  <si>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</si>
  <si>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</si>
  <si>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</si>
  <si>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</si>
  <si>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</si>
  <si>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</si>
  <si>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</si>
  <si>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</si>
  <si>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</si>
  <si>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</si>
  <si>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</si>
  <si>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</si>
  <si>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</si>
  <si>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</si>
  <si>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</si>
  <si>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</si>
  <si>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</si>
  <si>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</si>
  <si>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</si>
  <si>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</si>
  <si>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</si>
  <si>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</si>
  <si>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</si>
  <si>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</si>
  <si>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</si>
  <si>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</si>
  <si>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</si>
  <si>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</si>
  <si>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</si>
  <si>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</si>
  <si>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</si>
  <si>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</si>
  <si>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</si>
  <si>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</si>
  <si>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</si>
  <si>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</si>
  <si>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</si>
  <si>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</si>
  <si>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</si>
  <si>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</si>
  <si>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</si>
  <si>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</si>
  <si>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</si>
  <si>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</si>
  <si>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</si>
  <si>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</si>
  <si>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</si>
  <si>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</si>
  <si>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</si>
  <si>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</si>
  <si>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</si>
  <si>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</si>
  <si>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</si>
  <si>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</si>
  <si>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</si>
  <si>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</si>
  <si>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</si>
  <si>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</si>
  <si>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</si>
  <si>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</si>
  <si>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</si>
  <si>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</si>
  <si>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</si>
  <si>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</si>
  <si>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</si>
  <si>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</si>
  <si>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</si>
  <si>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</si>
  <si>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</si>
  <si>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</si>
  <si>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</si>
  <si>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</si>
  <si>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</si>
  <si>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</si>
  <si>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</si>
  <si>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</si>
  <si>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</si>
  <si>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</si>
  <si>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</si>
  <si>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</si>
  <si>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</si>
  <si>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</si>
  <si>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</si>
  <si>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</si>
  <si>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</si>
  <si>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</si>
  <si>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</si>
  <si>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</si>
  <si>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</si>
  <si>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</si>
  <si>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</si>
  <si>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</si>
  <si>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</si>
  <si>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</si>
  <si>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</si>
  <si>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</si>
  <si>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</si>
  <si>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</si>
  <si>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</si>
  <si>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</si>
  <si>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</si>
  <si>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</si>
  <si>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</si>
  <si>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</si>
  <si>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</si>
  <si>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</si>
  <si>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</si>
  <si>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</si>
  <si>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</si>
  <si>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</si>
  <si>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</si>
  <si>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</si>
  <si>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</si>
  <si>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</si>
  <si>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</si>
  <si>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</si>
  <si>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</si>
  <si>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</si>
  <si>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</si>
  <si>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</si>
  <si>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</si>
  <si>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</si>
  <si>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</si>
  <si>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</si>
  <si>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</si>
  <si>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</si>
  <si>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</si>
  <si>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</si>
  <si>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</si>
  <si>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</si>
  <si>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</si>
  <si>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</si>
  <si>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</si>
  <si>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</si>
  <si>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</si>
  <si>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</si>
  <si>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</si>
  <si>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</si>
  <si>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</si>
  <si>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</si>
  <si>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</si>
  <si>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</si>
  <si>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</si>
  <si>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</si>
  <si>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</si>
  <si>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</si>
  <si>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</si>
  <si>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</si>
  <si>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</si>
  <si>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</si>
  <si>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</si>
  <si>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</si>
  <si>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</si>
  <si>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</si>
  <si>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</si>
  <si>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</si>
  <si>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</si>
  <si>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</si>
  <si>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</si>
  <si>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</si>
  <si>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</si>
  <si>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</si>
  <si>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</si>
  <si>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</si>
  <si>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</si>
  <si>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</si>
  <si>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</si>
  <si>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</si>
  <si>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</si>
  <si>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</si>
  <si>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</si>
  <si>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</si>
  <si>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</si>
  <si>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</si>
  <si>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</si>
  <si>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</si>
  <si>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</si>
  <si>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</si>
  <si>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</si>
  <si>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</si>
  <si>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</si>
  <si>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</si>
  <si>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</si>
  <si>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</si>
  <si>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</si>
  <si>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</si>
  <si>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</si>
  <si>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</si>
  <si>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</si>
  <si>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</si>
  <si>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</si>
  <si>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</si>
  <si>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</si>
  <si>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</si>
  <si>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</si>
  <si>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</si>
  <si>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</si>
  <si>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</si>
  <si>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</si>
  <si>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</si>
  <si>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</si>
  <si>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</si>
  <si>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</si>
  <si>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</si>
  <si>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</si>
  <si>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</si>
  <si>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</si>
  <si>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</si>
  <si>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</si>
  <si>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</si>
  <si>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</si>
  <si>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</si>
  <si>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</si>
  <si>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</si>
  <si>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</si>
  <si>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</si>
  <si>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</si>
  <si>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</si>
  <si>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</si>
  <si>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</si>
  <si>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</si>
  <si>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</si>
  <si>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</si>
  <si>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</si>
  <si>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</si>
  <si>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</si>
  <si>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</si>
  <si>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</si>
  <si>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</si>
  <si>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</si>
  <si>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</si>
  <si>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</si>
  <si>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</si>
  <si>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</si>
  <si>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</si>
  <si>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</si>
  <si>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</si>
  <si>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</si>
  <si>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</si>
  <si>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</si>
  <si>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</si>
  <si>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</si>
  <si>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</si>
  <si>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</si>
  <si>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</si>
  <si>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</si>
  <si>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</si>
  <si>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</si>
  <si>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</si>
  <si>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</si>
  <si>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</si>
  <si>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</si>
  <si>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</si>
  <si>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</si>
  <si>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</si>
  <si>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</si>
  <si>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</si>
  <si>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</si>
  <si>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</si>
  <si>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</si>
  <si>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</si>
  <si>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</si>
  <si>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</si>
  <si>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</si>
  <si>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</si>
  <si>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</si>
  <si>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</si>
  <si>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</si>
  <si>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</si>
  <si>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</si>
  <si>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</si>
  <si>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</si>
  <si>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</si>
  <si>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</si>
  <si>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</si>
  <si>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</si>
  <si>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</si>
  <si>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</si>
  <si>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</si>
  <si>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</si>
  <si>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</si>
  <si>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</si>
  <si>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</si>
  <si>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</si>
  <si>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</si>
  <si>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</si>
  <si>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</si>
  <si>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</si>
  <si>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</si>
  <si>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</si>
  <si>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</si>
  <si>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</si>
  <si>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</si>
  <si>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</si>
  <si>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</si>
  <si>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</si>
  <si>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</si>
  <si>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</si>
  <si>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</si>
  <si>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</si>
  <si>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</si>
  <si>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</si>
  <si>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</si>
  <si>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</si>
  <si>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</si>
  <si>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</si>
  <si>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</si>
  <si>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</si>
  <si>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</si>
  <si>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</si>
  <si>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</si>
  <si>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</si>
  <si>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</si>
  <si>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</si>
  <si>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</si>
  <si>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</si>
  <si>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</si>
  <si>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</si>
  <si>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</si>
  <si>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</si>
  <si>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</si>
  <si>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</si>
  <si>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</si>
  <si>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</si>
  <si>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</si>
  <si>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</si>
  <si>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</si>
  <si>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</si>
  <si>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</si>
  <si>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</si>
  <si>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</si>
  <si>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</si>
  <si>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</si>
  <si>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</si>
  <si>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</si>
  <si>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</si>
  <si>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</si>
  <si>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</si>
  <si>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</si>
  <si>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</si>
  <si>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</si>
  <si>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</si>
  <si>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</si>
  <si>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</si>
  <si>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</si>
  <si>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</si>
  <si>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</si>
  <si>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</si>
  <si>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</si>
  <si>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</si>
  <si>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</si>
  <si>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</si>
  <si>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</si>
  <si>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</si>
  <si>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</si>
  <si>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</si>
  <si>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</si>
  <si>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</si>
  <si>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</si>
  <si>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</si>
  <si>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</si>
  <si>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</si>
  <si>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</si>
  <si>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</si>
  <si>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</si>
  <si>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</si>
  <si>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</si>
  <si>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</si>
  <si>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</si>
  <si>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</si>
  <si>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</si>
  <si>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</si>
  <si>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</si>
  <si>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</si>
  <si>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</si>
  <si>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</si>
  <si>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</si>
  <si>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</si>
  <si>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</si>
  <si>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</si>
  <si>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</si>
  <si>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</si>
  <si>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</si>
  <si>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</si>
  <si>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</si>
  <si>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</si>
  <si>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</si>
  <si>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</si>
  <si>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</si>
  <si>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</si>
  <si>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</si>
  <si>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</si>
  <si>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</si>
  <si>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</si>
  <si>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</si>
  <si>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</si>
  <si>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</si>
  <si>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</si>
  <si>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</si>
  <si>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</si>
  <si>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</si>
  <si>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</si>
  <si>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</si>
  <si>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</si>
  <si>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</si>
  <si>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</si>
  <si>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</si>
  <si>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</si>
  <si>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</si>
  <si>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</si>
  <si>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</si>
  <si>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</si>
  <si>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</si>
  <si>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</si>
  <si>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</si>
  <si>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</si>
  <si>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</si>
  <si>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</si>
  <si>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</si>
  <si>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</si>
  <si>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</si>
  <si>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</si>
  <si>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</si>
  <si>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</si>
  <si>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</si>
  <si>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</si>
  <si>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</si>
  <si>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</si>
  <si>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</si>
  <si>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</si>
  <si>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</si>
  <si>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</si>
  <si>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</si>
  <si>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</si>
  <si>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</si>
  <si>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</si>
  <si>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</si>
  <si>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</si>
  <si>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</si>
  <si>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</si>
  <si>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</si>
  <si>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</si>
  <si>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</si>
  <si>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</si>
  <si>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</si>
  <si>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</si>
  <si>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</si>
  <si>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</si>
  <si>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</si>
  <si>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</si>
  <si>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</si>
  <si>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</si>
  <si>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</si>
  <si>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</si>
  <si>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</si>
  <si>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</si>
  <si>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</si>
  <si>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</si>
  <si>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</si>
  <si>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</si>
  <si>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</si>
  <si>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</si>
  <si>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</si>
  <si>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</si>
  <si>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</si>
  <si>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</si>
  <si>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</si>
  <si>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</si>
  <si>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</si>
  <si>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</si>
  <si>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</si>
  <si>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</si>
  <si>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</si>
  <si>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</si>
  <si>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</si>
  <si>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</si>
  <si>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</si>
  <si>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</si>
  <si>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</si>
  <si>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</si>
  <si>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</si>
  <si>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</si>
  <si>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</si>
  <si>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</si>
  <si>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</si>
  <si>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</si>
  <si>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</si>
  <si>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</si>
  <si>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</si>
  <si>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</si>
  <si>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</si>
  <si>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</si>
  <si>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</si>
  <si>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</si>
  <si>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</si>
  <si>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</si>
  <si>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</si>
  <si>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</si>
  <si>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</si>
  <si>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</si>
  <si>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</si>
  <si>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</si>
  <si>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</si>
  <si>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</si>
  <si>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</si>
  <si>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</si>
  <si>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</si>
  <si>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</si>
  <si>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</si>
  <si>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</si>
  <si>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</si>
  <si>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</si>
  <si>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</si>
  <si>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</si>
  <si>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</si>
  <si>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</si>
  <si>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</si>
  <si>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</si>
  <si>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</si>
  <si>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</si>
  <si>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</si>
  <si>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</si>
  <si>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</si>
  <si>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</si>
  <si>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</si>
  <si>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</si>
  <si>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</si>
  <si>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</si>
  <si>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</si>
  <si>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</si>
  <si>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</si>
  <si>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</si>
  <si>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</si>
  <si>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</si>
  <si>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</si>
  <si>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</si>
  <si>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</si>
  <si>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</si>
  <si>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</si>
  <si>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</si>
  <si>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</si>
  <si>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</si>
  <si>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</si>
  <si>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</si>
  <si>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</si>
  <si>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</si>
  <si>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</si>
  <si>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</si>
  <si>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</si>
  <si>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</si>
  <si>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</si>
  <si>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</si>
  <si>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</si>
  <si>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</si>
  <si>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</si>
  <si>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</si>
  <si>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</si>
  <si>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</si>
  <si>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</si>
  <si>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</si>
  <si>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</si>
  <si>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</si>
  <si>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</si>
  <si>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</si>
  <si>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</si>
  <si>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</si>
  <si>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</si>
  <si>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</si>
  <si>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</si>
  <si>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</si>
  <si>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</si>
  <si>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</si>
  <si>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</si>
  <si>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</si>
  <si>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</si>
  <si>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</si>
  <si>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</si>
  <si>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</si>
  <si>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</si>
  <si>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</si>
  <si>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</si>
  <si>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</si>
  <si>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</si>
  <si>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</si>
  <si>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</si>
  <si>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</si>
  <si>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</si>
  <si>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</si>
  <si>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</si>
  <si>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</si>
  <si>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</si>
  <si>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</si>
  <si>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</si>
  <si>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</si>
  <si>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</si>
  <si>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</si>
  <si>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</si>
  <si>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</si>
  <si>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</si>
  <si>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</si>
  <si>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</si>
  <si>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</si>
  <si>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</si>
  <si>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</si>
  <si>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</si>
  <si>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</si>
  <si>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</si>
  <si>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</si>
  <si>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</si>
  <si>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</si>
  <si>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</si>
  <si>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</si>
  <si>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</si>
  <si>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</si>
  <si>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</si>
  <si>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</si>
  <si>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</si>
  <si>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</si>
  <si>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</si>
  <si>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</si>
  <si>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</si>
  <si>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</si>
  <si>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</si>
  <si>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</si>
  <si>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</si>
  <si>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</si>
  <si>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</si>
  <si>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</si>
  <si>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</si>
  <si>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</si>
  <si>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</si>
  <si>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</si>
  <si>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</si>
  <si>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</si>
  <si>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</si>
  <si>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</si>
  <si>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</si>
  <si>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</si>
  <si>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</si>
  <si>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</si>
  <si>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</si>
  <si>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</si>
  <si>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</si>
  <si>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</si>
  <si>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</si>
  <si>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</si>
  <si>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</si>
  <si>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</si>
  <si>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</si>
  <si>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</si>
  <si>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</si>
  <si>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</si>
  <si>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</si>
  <si>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</si>
  <si>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</si>
  <si>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</si>
  <si>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</si>
  <si>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</si>
  <si>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</si>
  <si>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</si>
  <si>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</si>
  <si>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</si>
  <si>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</si>
  <si>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</si>
  <si>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</si>
  <si>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</si>
  <si>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</si>
  <si>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</si>
  <si>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</si>
  <si>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</si>
  <si>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</si>
  <si>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</si>
  <si>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</si>
  <si>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</si>
  <si>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</si>
  <si>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</si>
  <si>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</si>
  <si>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</si>
  <si>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</si>
  <si>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</si>
  <si>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</si>
  <si>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</si>
  <si>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</si>
  <si>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</si>
  <si>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</si>
  <si>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</si>
  <si>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</si>
  <si>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</si>
  <si>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</si>
  <si>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</si>
  <si>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</si>
  <si>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</si>
  <si>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</si>
  <si>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</si>
  <si>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</si>
  <si>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</si>
  <si>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</si>
  <si>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</si>
  <si>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</si>
  <si>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</si>
  <si>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</si>
  <si>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</si>
  <si>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</si>
  <si>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</si>
  <si>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</si>
  <si>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</si>
  <si>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</si>
  <si>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</si>
  <si>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</si>
  <si>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</si>
  <si>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</si>
  <si>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</si>
  <si>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</si>
  <si>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</si>
  <si>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</si>
  <si>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</si>
  <si>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</si>
  <si>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</si>
  <si>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</si>
  <si>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</si>
  <si>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</si>
  <si>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</si>
  <si>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</si>
  <si>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</si>
  <si>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</si>
  <si>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</si>
  <si>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</si>
  <si>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</si>
  <si>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</si>
  <si>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</si>
  <si>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</si>
  <si>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</si>
  <si>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</si>
  <si>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</si>
  <si>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</si>
  <si>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</si>
  <si>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</si>
  <si>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</si>
  <si>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</si>
  <si>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</si>
  <si>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</si>
  <si>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</si>
  <si>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</si>
  <si>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</si>
  <si>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</si>
  <si>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</si>
  <si>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</si>
  <si>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</si>
  <si>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</si>
  <si>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</si>
  <si>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</si>
  <si>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</si>
  <si>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</si>
  <si>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</si>
  <si>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</si>
  <si>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</si>
  <si>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</si>
  <si>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</si>
  <si>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</si>
  <si>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</si>
  <si>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</si>
  <si>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</si>
  <si>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</si>
  <si>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</si>
  <si>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</si>
  <si>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</si>
  <si>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</si>
  <si>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</si>
  <si>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</si>
  <si>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</si>
  <si>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</si>
  <si>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</si>
  <si>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</si>
  <si>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</si>
  <si>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</si>
  <si>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</si>
  <si>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</si>
  <si>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</si>
  <si>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</si>
  <si>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</si>
  <si>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</si>
  <si>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</si>
  <si>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</si>
  <si>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</si>
  <si>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</si>
  <si>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</si>
  <si>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</si>
  <si>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</si>
  <si>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</si>
  <si>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</si>
  <si>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</si>
  <si>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</si>
  <si>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</si>
  <si>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</si>
  <si>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</si>
  <si>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</si>
  <si>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</si>
  <si>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</si>
  <si>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</si>
  <si>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</si>
  <si>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</si>
  <si>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</si>
  <si>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</si>
  <si>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</si>
  <si>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</si>
  <si>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</si>
  <si>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</si>
  <si>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</si>
  <si>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</si>
  <si>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</si>
  <si>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</si>
  <si>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</si>
  <si>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</si>
  <si>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</si>
  <si>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</si>
  <si>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</si>
  <si>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</si>
  <si>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</si>
  <si>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</si>
  <si>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</si>
  <si>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</si>
  <si>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</si>
  <si>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</si>
  <si>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</si>
  <si>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</si>
  <si>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</si>
  <si>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</si>
  <si>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</si>
  <si>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</si>
  <si>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</si>
  <si>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</si>
  <si>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</si>
  <si>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</si>
  <si>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</si>
  <si>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</si>
  <si>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</si>
  <si>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</si>
  <si>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</si>
  <si>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</si>
  <si>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</si>
  <si>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</si>
  <si>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</si>
  <si>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</si>
  <si>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</si>
  <si>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</si>
  <si>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</si>
  <si>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</si>
  <si>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</si>
  <si>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</si>
  <si>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</si>
  <si>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</si>
  <si>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</si>
  <si>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</si>
  <si>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</si>
  <si>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</si>
  <si>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</si>
  <si>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</si>
  <si>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</si>
  <si>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</si>
  <si>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</si>
  <si>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</si>
  <si>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</si>
  <si>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</si>
  <si>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</si>
  <si>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</si>
  <si>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</si>
  <si>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</si>
  <si>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</si>
  <si>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</si>
  <si>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</si>
  <si>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</si>
  <si>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</si>
  <si>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</si>
  <si>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</si>
  <si>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</si>
  <si>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</si>
  <si>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</si>
  <si>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</si>
  <si>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</si>
  <si>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</si>
  <si>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</si>
  <si>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</si>
  <si>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</si>
  <si>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</si>
  <si>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</si>
  <si>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</si>
  <si>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</si>
  <si>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</si>
  <si>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</si>
  <si>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</si>
  <si>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</si>
  <si>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</si>
  <si>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</si>
  <si>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</si>
  <si>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</si>
  <si>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</si>
  <si>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</si>
  <si>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</si>
  <si>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</si>
  <si>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</si>
  <si>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</si>
  <si>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</si>
  <si>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</si>
  <si>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</si>
  <si>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</si>
  <si>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</si>
  <si>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</si>
  <si>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</si>
  <si>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</si>
  <si>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</si>
  <si>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</si>
  <si>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</si>
  <si>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</si>
  <si>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</si>
  <si>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</si>
  <si>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</si>
  <si>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</si>
  <si>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</si>
  <si>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</si>
  <si>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</si>
  <si>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</si>
  <si>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</si>
  <si>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</si>
  <si>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</si>
  <si>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</si>
  <si>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</si>
  <si>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</si>
  <si>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</si>
  <si>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</si>
  <si>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</si>
  <si>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</si>
  <si>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</si>
  <si>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</si>
  <si>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</si>
  <si>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</si>
  <si>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</si>
  <si>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</si>
  <si>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</si>
  <si>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</si>
  <si>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</si>
  <si>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</si>
  <si>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</si>
  <si>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</si>
  <si>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</si>
  <si>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</si>
  <si>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</si>
  <si>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</si>
  <si>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</si>
  <si>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</si>
  <si>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</si>
  <si>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</si>
  <si>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</si>
  <si>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</si>
  <si>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</si>
  <si>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</si>
  <si>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</si>
  <si>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</si>
  <si>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</si>
  <si>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</si>
  <si>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</si>
  <si>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</si>
  <si>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</si>
  <si>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</si>
  <si>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</si>
  <si>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</si>
  <si>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</si>
  <si>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</si>
  <si>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</si>
  <si>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</si>
  <si>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</si>
  <si>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</si>
  <si>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</si>
  <si>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</si>
  <si>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</si>
  <si>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</si>
  <si>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</si>
  <si>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</si>
  <si>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</si>
  <si>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</si>
  <si>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</si>
  <si>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</si>
  <si>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</si>
  <si>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</si>
  <si>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</si>
  <si>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</si>
  <si>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</si>
  <si>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</si>
  <si>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</si>
  <si>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</si>
  <si>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</si>
  <si>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</si>
  <si>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</si>
  <si>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</si>
  <si>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</si>
  <si>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</si>
  <si>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</si>
  <si>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</si>
  <si>
    <t>dolutegravir</t>
  </si>
  <si>
    <t>dolutegravir/lamivudine</t>
  </si>
  <si>
    <t>dolutegravir/lamivudine/abacavir</t>
  </si>
  <si>
    <t>Advair/Seretide (fluticasone/salmeterol)</t>
  </si>
  <si>
    <t>3-way market in US: TEVA/VTRS</t>
  </si>
  <si>
    <t>Shingles Prevention</t>
  </si>
  <si>
    <t>2 IM</t>
  </si>
  <si>
    <t>Prevention of Herpez Zoster reactivation in ages 50+</t>
  </si>
  <si>
    <t>Recombinant Adjuvanted vaccine, AS01B adjuvant, surface glycoprotein E antigen</t>
  </si>
  <si>
    <t>97% reduction in shingles</t>
  </si>
  <si>
    <t>Phase III n=14000 - NCT01165177</t>
  </si>
  <si>
    <t>Phase III n=13000 ages 70+</t>
  </si>
  <si>
    <t>90% reduction in shingles</t>
  </si>
  <si>
    <t>$220 AWP 1/1/23, $206 1/1/22, $194 1/1/21, $182 1/1/20</t>
  </si>
  <si>
    <t>Manufacturing</t>
  </si>
  <si>
    <t>CHO-K1</t>
  </si>
  <si>
    <t>Triumeq (abacavir/dolutegravir/lamivudine)</t>
  </si>
  <si>
    <t>NRTI/NRTI/Integrase</t>
  </si>
  <si>
    <t>Tivicay (dolutegravir)</t>
  </si>
  <si>
    <t>Dovato (dolutegravir/lamivudine)</t>
  </si>
  <si>
    <t>Juluca (dolutegravir/rilpivirine)</t>
  </si>
  <si>
    <t>NRTI/Integrase</t>
  </si>
  <si>
    <t>NNRTI/Integrase</t>
  </si>
  <si>
    <t>JNJ</t>
  </si>
  <si>
    <t>9242986 - expires 12/2029, synthesis patent claiming crystal isomorphs</t>
  </si>
  <si>
    <t>dolutegravir/rilpivirine</t>
  </si>
  <si>
    <t>8129385 - COM expires 10/2027. Does this include Hatch-Waxman Extension?</t>
  </si>
  <si>
    <t>Trelegy</t>
  </si>
  <si>
    <t>fluticasone, umeclidinium, vilanterol</t>
  </si>
  <si>
    <t>Inhalation</t>
  </si>
  <si>
    <t>Asthma/COPD</t>
  </si>
  <si>
    <t>Trelegy (fluticasone, umeclidinium, vilanterol)</t>
  </si>
  <si>
    <t>Steroid/LABA/Muscarinic</t>
  </si>
  <si>
    <t>2030 latest patent</t>
  </si>
  <si>
    <t>???</t>
  </si>
  <si>
    <t>Q124</t>
  </si>
  <si>
    <t>Q224</t>
  </si>
  <si>
    <t>Q324</t>
  </si>
  <si>
    <t>Q424</t>
  </si>
  <si>
    <t>Arexvy</t>
  </si>
  <si>
    <t>Ojjaara</t>
  </si>
  <si>
    <t>gepotidacin</t>
  </si>
  <si>
    <t>AIO-001</t>
  </si>
  <si>
    <t>TSLP mab</t>
  </si>
  <si>
    <t>CEO: Emma Walmsley</t>
  </si>
  <si>
    <t>depemokimab</t>
  </si>
  <si>
    <t>linerixibat</t>
  </si>
  <si>
    <t>PBC</t>
  </si>
  <si>
    <t>gonorrhoea, cUTI</t>
  </si>
  <si>
    <t>tebipenem pivoxil</t>
  </si>
  <si>
    <t>CoCo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</si>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</sst>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0.000"/>
    <numFmt numFmtId="169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14" fontId="0" fillId="3" borderId="5" xfId="0" applyNumberFormat="1" applyFill="1" applyBorder="1" applyAlignment="1">
      <alignment horizontal="center"/>
    </xf>
    <xf numFmtId="0" fontId="7" fillId="4" borderId="0" xfId="0" applyFont="1" applyFill="1"/>
    <xf numFmtId="0" fontId="3" fillId="3" borderId="0" xfId="2" applyFill="1" applyBorder="1" applyAlignment="1" applyProtection="1"/>
    <xf numFmtId="14" fontId="2" fillId="3" borderId="5" xfId="0" applyNumberFormat="1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left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3" fillId="0" borderId="0" xfId="2" applyAlignment="1" applyProtection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19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Invisible" pivot="0" table="0" count="0" xr9:uid="{CDB9BF9E-5907-4FE6-BDD7-E0DB4C0BDF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305</xdr:row>
      <xdr:rowOff>0</xdr:rowOff>
    </xdr:from>
    <xdr:to>
      <xdr:col>8</xdr:col>
      <xdr:colOff>9525</xdr:colOff>
      <xdr:row>305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52442</xdr:colOff>
      <xdr:row>0</xdr:row>
      <xdr:rowOff>0</xdr:rowOff>
    </xdr:from>
    <xdr:to>
      <xdr:col>84</xdr:col>
      <xdr:colOff>52442</xdr:colOff>
      <xdr:row>250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37671179" y="0"/>
          <a:ext cx="0" cy="39643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113</xdr:col>
      <xdr:colOff>2721</xdr:colOff>
      <xdr:row>0</xdr:row>
      <xdr:rowOff>0</xdr:rowOff>
    </xdr:from>
    <xdr:to>
      <xdr:col>113</xdr:col>
      <xdr:colOff>2721</xdr:colOff>
      <xdr:row>228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3-02T15:54:40.81" personId="{CA1FA5D9-3072-49DF-842E-402F789C761A}" id="{03AF95B9-068B-48CD-806A-94C6B7B864D9}">
    <text>Diskus approved 8/24/2000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M3" dT="2023-03-02T15:59:13.94" personId="{CA1FA5D9-3072-49DF-842E-402F789C761A}" id="{59B5BB42-C672-46DD-AFA0-9246AD414857}">
    <text>48m USD</text>
  </threadedComment>
  <threadedComment ref="CN3" dT="2023-03-02T15:59:24.26" personId="{CA1FA5D9-3072-49DF-842E-402F789C761A}" id="{DFAA27FD-EDD0-4577-BD62-4799DE66F44E}">
    <text>208m GBP</text>
  </threadedComment>
  <threadedComment ref="DO5" dT="2022-09-17T16:14:04.30" personId="{CA1FA5D9-3072-49DF-842E-402F789C761A}" id="{8BD7E764-3C44-4855-8A2C-126CD6680518}">
    <text>10/2027 dolutegravir expiry</text>
  </threadedComment>
  <threadedComment ref="DO6" dT="2022-09-17T16:14:04.30" personId="{CA1FA5D9-3072-49DF-842E-402F789C761A}" id="{4AC894B8-18B3-4778-A6DA-97775BA5530D}">
    <text>10/2027 dolutegravir expiry</text>
  </threadedComment>
  <threadedComment ref="DO7" dT="2022-09-17T16:14:04.30" personId="{CA1FA5D9-3072-49DF-842E-402F789C761A}" id="{D5549FF8-C43E-4B47-B3EF-B7BADBC43614}">
    <text>10/2027 dolutegravir expiry</text>
  </threadedComment>
  <threadedComment ref="DO8" dT="2022-09-17T16:14:04.30" personId="{CA1FA5D9-3072-49DF-842E-402F789C761A}" id="{73281FE4-B227-4749-BB72-94DB80C56DF4}">
    <text>10/2027 dolutegravir expiry</text>
  </threadedComment>
  <threadedComment ref="DO21" dT="2022-09-17T16:14:04.30" personId="{CA1FA5D9-3072-49DF-842E-402F789C761A}" id="{1ADD1653-7317-4DB9-811A-2DEA31ADF4E8}">
    <text>10/2027 dolutegravir expiry</text>
  </threadedComment>
  <threadedComment ref="BV103" dT="2022-07-14T12:13:51.97" personId="{CA1FA5D9-3072-49DF-842E-402F789C761A}" id="{CF080184-7B2D-455D-9A74-4E5F85F95A59}">
    <text>9527 reported
7076 continuing</text>
  </threadedComment>
  <threadedComment ref="BW103" dT="2022-07-14T12:04:44.10" personId="{CA1FA5D9-3072-49DF-842E-402F789C761A}" id="{68667B6A-5C22-45CE-AA39-05A35252D800}">
    <text>9780 actual
7190 continuing operations</text>
  </threadedComment>
  <threadedComment ref="BY103" dT="2023-03-02T15:45:18.80" personId="{CA1FA5D9-3072-49DF-842E-402F789C761A}" id="{43B9D496-DDBA-4956-8BB5-AB43B41B3A10}">
    <text>7829 reported revenue</text>
  </threadedComment>
  <threadedComment ref="BZ103" dT="2023-03-02T15:41:31.68" personId="{CA1FA5D9-3072-49DF-842E-402F789C761A}" id="{346FE1A0-CE4A-4919-88BA-BEDB66247B6B}">
    <text>7376 reported revenue</text>
  </threadedComment>
  <threadedComment ref="BT104" dT="2022-09-16T11:36:06.34" personId="{CA1FA5D9-3072-49DF-842E-402F789C761A}" id="{6DEAFE5F-48C2-49A3-BEF5-057ACFA8BBB3}">
    <text>2,554 with consumer</text>
  </threadedComment>
  <threadedComment ref="BT106" dT="2022-09-16T11:36:18.88" personId="{CA1FA5D9-3072-49DF-842E-402F789C761A}" id="{99B8FDF8-7CD1-405C-8684-6DBEB48C3BE9}">
    <text>1,689 with consumer</text>
  </threadedComment>
  <threadedComment ref="BW106" dT="2022-09-16T17:12:22.63" personId="{CA1FA5D9-3072-49DF-842E-402F789C761A}" id="{86362392-D8AB-44B9-A948-02F3B31E9306}">
    <text>2681 discontinued</text>
  </threadedComment>
  <threadedComment ref="BT107" dT="2022-09-16T11:36:31.80" personId="{CA1FA5D9-3072-49DF-842E-402F789C761A}" id="{C3DE93A2-2E99-4015-A687-91DC43E9E8B0}">
    <text>1,222 with consumer</text>
  </threadedComment>
  <threadedComment ref="BW107" dT="2022-09-16T17:13:18.35" personId="{CA1FA5D9-3072-49DF-842E-402F789C761A}" id="{405F6D6F-B0A4-4E22-B7E6-22834B0A5FAE}">
    <text>1154 continuing operations
1103 discontinued operations</text>
  </threadedComment>
  <threadedComment ref="BT114" dT="2022-09-16T11:38:36.84" personId="{CA1FA5D9-3072-49DF-842E-402F789C761A}" id="{3DECF7D8-CDD1-4C00-BC18-5D5572EF88BD}">
    <text>5060 previously</text>
  </threadedComment>
  <threadedComment ref="BX115" dT="2022-09-16T11:30:46.58" personId="{CA1FA5D9-3072-49DF-842E-402F789C761A}" id="{EC400C88-1EDF-4C9C-8565-82AD3964E084}">
    <text>Adj EPS 34.7p, +6% CER</text>
  </threadedComment>
  <threadedComment ref="BX118" dT="2022-09-16T11:32:20.87" personId="{CA1FA5D9-3072-49DF-842E-402F789C761A}" id="{C5D923C6-3DD0-4635-9133-7A2CFE94F440}">
    <text>+10% without COVID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393"/>
  <sheetViews>
    <sheetView workbookViewId="0"/>
  </sheetViews>
  <sheetFormatPr defaultColWidth="8.85546875" defaultRowHeight="12.75" x14ac:dyDescent="0.2"/>
  <cols>
    <col min="1" max="1" width="4" customWidth="1"/>
    <col min="3" max="3" width="27.7109375" bestFit="1" customWidth="1"/>
    <col min="4" max="4" width="17.85546875" bestFit="1" customWidth="1"/>
    <col min="5" max="5" width="17.42578125" customWidth="1"/>
    <col min="6" max="6" width="11.28515625" bestFit="1" customWidth="1"/>
    <col min="7" max="7" width="10.140625" bestFit="1" customWidth="1"/>
  </cols>
  <sheetData>
    <row r="2" spans="2:12" x14ac:dyDescent="0.2">
      <c r="B2" s="112" t="s">
        <v>1399</v>
      </c>
      <c r="C2" s="112" t="s">
        <v>580</v>
      </c>
      <c r="D2" s="112" t="s">
        <v>0</v>
      </c>
      <c r="E2" s="143" t="s">
        <v>1401</v>
      </c>
      <c r="F2" s="112" t="s">
        <v>223</v>
      </c>
      <c r="G2" s="112" t="s">
        <v>213</v>
      </c>
      <c r="H2" s="112" t="s">
        <v>3</v>
      </c>
    </row>
    <row r="3" spans="2:12" x14ac:dyDescent="0.2">
      <c r="B3" s="130" t="s">
        <v>68</v>
      </c>
      <c r="C3" s="112" t="s">
        <v>1400</v>
      </c>
      <c r="D3" s="131" t="s">
        <v>66</v>
      </c>
      <c r="E3" s="132" t="s">
        <v>1402</v>
      </c>
      <c r="F3" s="133">
        <v>1</v>
      </c>
      <c r="G3" s="131">
        <v>2000</v>
      </c>
      <c r="H3" s="134" t="s">
        <v>595</v>
      </c>
    </row>
    <row r="4" spans="2:12" x14ac:dyDescent="0.2">
      <c r="B4" s="130" t="s">
        <v>221</v>
      </c>
      <c r="C4" s="112" t="s">
        <v>1403</v>
      </c>
      <c r="D4" s="131" t="s">
        <v>66</v>
      </c>
      <c r="E4" s="133" t="s">
        <v>227</v>
      </c>
      <c r="F4" s="135" t="s">
        <v>588</v>
      </c>
      <c r="G4" s="131">
        <v>2003</v>
      </c>
      <c r="H4" s="65" t="s">
        <v>596</v>
      </c>
    </row>
    <row r="5" spans="2:12" x14ac:dyDescent="0.2">
      <c r="B5" t="s">
        <v>76</v>
      </c>
      <c r="D5" s="131" t="s">
        <v>336</v>
      </c>
      <c r="E5" s="133" t="s">
        <v>337</v>
      </c>
      <c r="F5" s="133" t="s">
        <v>400</v>
      </c>
      <c r="G5" s="131">
        <v>2005</v>
      </c>
      <c r="H5" s="131">
        <v>2012</v>
      </c>
    </row>
    <row r="6" spans="2:12" x14ac:dyDescent="0.2">
      <c r="B6" s="112" t="s">
        <v>1404</v>
      </c>
      <c r="C6" t="s">
        <v>1405</v>
      </c>
      <c r="D6" s="131" t="s">
        <v>15</v>
      </c>
      <c r="E6" s="133" t="s">
        <v>187</v>
      </c>
      <c r="F6" s="133">
        <v>1</v>
      </c>
      <c r="G6" s="131">
        <v>2005</v>
      </c>
      <c r="H6" s="131" t="s">
        <v>188</v>
      </c>
      <c r="L6" s="93" t="s">
        <v>700</v>
      </c>
    </row>
    <row r="7" spans="2:12" x14ac:dyDescent="0.2">
      <c r="B7" s="130" t="s">
        <v>14</v>
      </c>
      <c r="C7" t="s">
        <v>1406</v>
      </c>
      <c r="D7" s="131" t="s">
        <v>15</v>
      </c>
      <c r="E7" s="133" t="s">
        <v>322</v>
      </c>
      <c r="F7" s="133">
        <v>1</v>
      </c>
      <c r="G7" s="131">
        <v>1999</v>
      </c>
      <c r="H7" s="131" t="s">
        <v>319</v>
      </c>
      <c r="L7" s="76" t="s">
        <v>701</v>
      </c>
    </row>
    <row r="8" spans="2:12" x14ac:dyDescent="0.2">
      <c r="B8" t="s">
        <v>20</v>
      </c>
      <c r="D8" s="131" t="s">
        <v>21</v>
      </c>
      <c r="E8" s="131"/>
      <c r="F8" s="131" t="s">
        <v>22</v>
      </c>
      <c r="G8" s="131">
        <v>2008</v>
      </c>
      <c r="H8" s="141" t="s">
        <v>654</v>
      </c>
      <c r="L8" s="110" t="s">
        <v>1322</v>
      </c>
    </row>
    <row r="9" spans="2:12" x14ac:dyDescent="0.2">
      <c r="B9" s="112" t="s">
        <v>1407</v>
      </c>
      <c r="C9" t="s">
        <v>1408</v>
      </c>
      <c r="D9" s="131" t="s">
        <v>204</v>
      </c>
      <c r="E9" s="133" t="s">
        <v>397</v>
      </c>
      <c r="F9" s="133" t="s">
        <v>203</v>
      </c>
      <c r="G9" s="131">
        <v>2007</v>
      </c>
      <c r="H9" s="141" t="s">
        <v>653</v>
      </c>
      <c r="L9" s="110" t="s">
        <v>1262</v>
      </c>
    </row>
    <row r="10" spans="2:12" x14ac:dyDescent="0.2">
      <c r="B10" s="130" t="s">
        <v>82</v>
      </c>
      <c r="C10" s="112" t="s">
        <v>1152</v>
      </c>
      <c r="D10" s="131" t="s">
        <v>327</v>
      </c>
      <c r="E10" s="133" t="s">
        <v>698</v>
      </c>
      <c r="F10" s="133">
        <v>1</v>
      </c>
      <c r="G10" s="131">
        <v>2001</v>
      </c>
      <c r="H10" s="131" t="s">
        <v>699</v>
      </c>
      <c r="L10" s="77" t="s">
        <v>726</v>
      </c>
    </row>
    <row r="11" spans="2:12" x14ac:dyDescent="0.2">
      <c r="B11" s="112" t="s">
        <v>1411</v>
      </c>
      <c r="C11" s="112" t="s">
        <v>1412</v>
      </c>
      <c r="D11" s="131" t="s">
        <v>19</v>
      </c>
      <c r="E11" s="133" t="s">
        <v>325</v>
      </c>
      <c r="F11" s="133" t="s">
        <v>559</v>
      </c>
      <c r="G11" s="131">
        <v>2003</v>
      </c>
      <c r="H11" s="140"/>
      <c r="I11" s="131"/>
      <c r="L11" s="77" t="s">
        <v>760</v>
      </c>
    </row>
    <row r="12" spans="2:12" x14ac:dyDescent="0.2">
      <c r="B12" s="130" t="s">
        <v>1413</v>
      </c>
      <c r="C12" s="112" t="s">
        <v>237</v>
      </c>
      <c r="D12" s="141" t="s">
        <v>810</v>
      </c>
      <c r="E12" s="141" t="s">
        <v>650</v>
      </c>
      <c r="F12" s="132" t="s">
        <v>1414</v>
      </c>
      <c r="G12" s="142">
        <v>40105</v>
      </c>
      <c r="H12" s="141" t="s">
        <v>811</v>
      </c>
      <c r="L12" s="77" t="s">
        <v>761</v>
      </c>
    </row>
    <row r="13" spans="2:12" x14ac:dyDescent="0.2">
      <c r="B13" s="112" t="s">
        <v>1415</v>
      </c>
      <c r="C13" s="112" t="s">
        <v>1416</v>
      </c>
      <c r="D13" s="131" t="s">
        <v>198</v>
      </c>
      <c r="E13" s="131"/>
      <c r="F13" s="132" t="s">
        <v>1414</v>
      </c>
      <c r="G13" s="131">
        <v>2005</v>
      </c>
      <c r="H13" s="141" t="s">
        <v>653</v>
      </c>
      <c r="L13" s="77" t="s">
        <v>762</v>
      </c>
    </row>
    <row r="14" spans="2:12" x14ac:dyDescent="0.2">
      <c r="B14" s="84" t="s">
        <v>155</v>
      </c>
      <c r="C14" s="112" t="s">
        <v>1417</v>
      </c>
      <c r="D14" s="79" t="s">
        <v>137</v>
      </c>
      <c r="E14" s="85" t="s">
        <v>410</v>
      </c>
      <c r="F14" s="85">
        <v>1</v>
      </c>
      <c r="G14" s="95">
        <v>39142</v>
      </c>
      <c r="H14" s="89">
        <v>2020</v>
      </c>
      <c r="L14" s="110" t="s">
        <v>1109</v>
      </c>
    </row>
    <row r="15" spans="2:12" x14ac:dyDescent="0.2">
      <c r="B15" s="84" t="s">
        <v>603</v>
      </c>
      <c r="C15" s="112" t="s">
        <v>427</v>
      </c>
      <c r="D15" s="115" t="s">
        <v>1163</v>
      </c>
      <c r="E15" s="79" t="s">
        <v>404</v>
      </c>
      <c r="F15" s="85" t="s">
        <v>239</v>
      </c>
      <c r="G15" s="79">
        <v>2009</v>
      </c>
      <c r="H15" s="86" t="s">
        <v>602</v>
      </c>
      <c r="L15" s="76" t="s">
        <v>832</v>
      </c>
    </row>
    <row r="16" spans="2:12" x14ac:dyDescent="0.2">
      <c r="B16" s="84" t="s">
        <v>1418</v>
      </c>
      <c r="C16" s="112" t="s">
        <v>199</v>
      </c>
      <c r="D16" s="79" t="s">
        <v>144</v>
      </c>
      <c r="E16" s="79" t="s">
        <v>403</v>
      </c>
      <c r="F16" s="85" t="s">
        <v>313</v>
      </c>
      <c r="G16" s="95">
        <v>39753</v>
      </c>
      <c r="H16" s="86" t="s">
        <v>651</v>
      </c>
      <c r="L16" s="110" t="s">
        <v>1151</v>
      </c>
    </row>
    <row r="17" spans="2:12" x14ac:dyDescent="0.2">
      <c r="B17" s="84" t="s">
        <v>64</v>
      </c>
      <c r="C17" s="112" t="s">
        <v>1419</v>
      </c>
      <c r="D17" s="79" t="s">
        <v>328</v>
      </c>
      <c r="E17" s="85" t="s">
        <v>766</v>
      </c>
      <c r="F17" s="85">
        <v>1</v>
      </c>
      <c r="G17" s="79">
        <v>1997</v>
      </c>
      <c r="H17" s="89" t="s">
        <v>344</v>
      </c>
      <c r="L17" s="110" t="s">
        <v>1191</v>
      </c>
    </row>
    <row r="18" spans="2:12" x14ac:dyDescent="0.2">
      <c r="B18" s="94" t="s">
        <v>355</v>
      </c>
      <c r="D18" s="79" t="s">
        <v>357</v>
      </c>
      <c r="E18" s="85" t="s">
        <v>767</v>
      </c>
      <c r="F18" s="85">
        <v>1</v>
      </c>
      <c r="G18" s="79">
        <v>2004</v>
      </c>
      <c r="H18" s="86" t="s">
        <v>655</v>
      </c>
      <c r="L18" s="110" t="s">
        <v>1236</v>
      </c>
    </row>
    <row r="19" spans="2:12" x14ac:dyDescent="0.2">
      <c r="B19" s="84" t="s">
        <v>67</v>
      </c>
      <c r="C19" s="112" t="s">
        <v>1420</v>
      </c>
      <c r="D19" s="79" t="s">
        <v>66</v>
      </c>
      <c r="E19" s="85" t="s">
        <v>217</v>
      </c>
      <c r="F19" s="85">
        <v>1</v>
      </c>
      <c r="G19" s="79">
        <v>1997</v>
      </c>
      <c r="H19" s="86" t="s">
        <v>589</v>
      </c>
    </row>
    <row r="20" spans="2:12" x14ac:dyDescent="0.2">
      <c r="B20" s="114" t="s">
        <v>1421</v>
      </c>
      <c r="C20" s="112" t="s">
        <v>1422</v>
      </c>
      <c r="D20" s="79" t="s">
        <v>19</v>
      </c>
      <c r="E20" s="85" t="s">
        <v>325</v>
      </c>
      <c r="F20" s="85">
        <v>1</v>
      </c>
      <c r="G20" s="79" t="s">
        <v>764</v>
      </c>
      <c r="H20" s="89" t="s">
        <v>765</v>
      </c>
    </row>
    <row r="21" spans="2:12" x14ac:dyDescent="0.2">
      <c r="B21" s="94" t="s">
        <v>438</v>
      </c>
      <c r="C21" s="79" t="s">
        <v>328</v>
      </c>
      <c r="D21" s="79" t="s">
        <v>766</v>
      </c>
      <c r="E21" s="85">
        <v>1</v>
      </c>
      <c r="F21" s="95">
        <v>39630</v>
      </c>
      <c r="G21" s="127"/>
      <c r="H21" s="89" t="s">
        <v>439</v>
      </c>
      <c r="L21" s="92" t="s">
        <v>369</v>
      </c>
    </row>
    <row r="22" spans="2:12" x14ac:dyDescent="0.2">
      <c r="B22" s="84" t="s">
        <v>62</v>
      </c>
      <c r="C22" s="79" t="s">
        <v>94</v>
      </c>
      <c r="D22" s="79" t="s">
        <v>433</v>
      </c>
      <c r="E22" s="79" t="s">
        <v>95</v>
      </c>
      <c r="F22" s="79">
        <v>2008</v>
      </c>
      <c r="G22" s="127" t="s">
        <v>434</v>
      </c>
      <c r="H22" s="86" t="s">
        <v>652</v>
      </c>
      <c r="L22" s="76" t="s">
        <v>649</v>
      </c>
    </row>
    <row r="23" spans="2:12" x14ac:dyDescent="0.2">
      <c r="B23" s="84" t="s">
        <v>1225</v>
      </c>
      <c r="C23" s="79" t="s">
        <v>328</v>
      </c>
      <c r="D23" s="79" t="s">
        <v>342</v>
      </c>
      <c r="E23" s="79" t="s">
        <v>341</v>
      </c>
      <c r="F23" s="97">
        <v>40639</v>
      </c>
      <c r="G23" s="125" t="s">
        <v>771</v>
      </c>
      <c r="H23" s="86" t="s">
        <v>772</v>
      </c>
      <c r="L23" s="76"/>
    </row>
    <row r="24" spans="2:12" x14ac:dyDescent="0.2">
      <c r="B24" s="114" t="s">
        <v>1142</v>
      </c>
      <c r="C24" s="115" t="s">
        <v>92</v>
      </c>
      <c r="D24" s="88"/>
      <c r="E24" s="116" t="s">
        <v>1143</v>
      </c>
      <c r="F24" s="88"/>
      <c r="G24" s="125"/>
      <c r="H24" s="86"/>
      <c r="L24" s="76"/>
    </row>
    <row r="25" spans="2:12" x14ac:dyDescent="0.2">
      <c r="B25" s="84" t="s">
        <v>1122</v>
      </c>
      <c r="C25" s="115" t="s">
        <v>1123</v>
      </c>
      <c r="D25" s="85"/>
      <c r="E25" s="116" t="s">
        <v>1124</v>
      </c>
      <c r="F25" s="79">
        <v>1999</v>
      </c>
      <c r="G25" s="127"/>
      <c r="H25" s="86"/>
      <c r="L25" s="76"/>
    </row>
    <row r="26" spans="2:12" x14ac:dyDescent="0.2">
      <c r="B26" s="94" t="s">
        <v>381</v>
      </c>
      <c r="C26" s="79" t="s">
        <v>382</v>
      </c>
      <c r="D26" s="85" t="s">
        <v>380</v>
      </c>
      <c r="E26" s="85">
        <v>1</v>
      </c>
      <c r="F26" s="79"/>
      <c r="G26" s="127"/>
      <c r="H26" s="86" t="s">
        <v>380</v>
      </c>
      <c r="L26" s="111" t="s">
        <v>1110</v>
      </c>
    </row>
    <row r="27" spans="2:12" x14ac:dyDescent="0.2">
      <c r="B27" s="114" t="s">
        <v>503</v>
      </c>
      <c r="C27" s="79" t="s">
        <v>509</v>
      </c>
      <c r="D27" s="85" t="s">
        <v>380</v>
      </c>
      <c r="E27" s="85">
        <v>1</v>
      </c>
      <c r="F27" s="79"/>
      <c r="G27" s="86" t="s">
        <v>380</v>
      </c>
      <c r="H27" s="88"/>
      <c r="L27" s="110" t="s">
        <v>1118</v>
      </c>
    </row>
    <row r="28" spans="2:12" x14ac:dyDescent="0.2">
      <c r="B28" s="84" t="s">
        <v>1237</v>
      </c>
      <c r="C28" s="115" t="s">
        <v>1156</v>
      </c>
      <c r="D28" s="116" t="s">
        <v>380</v>
      </c>
      <c r="E28" s="85">
        <v>1</v>
      </c>
      <c r="F28" s="79">
        <v>2010</v>
      </c>
      <c r="G28" s="86"/>
      <c r="H28" s="88"/>
      <c r="L28" s="110" t="s">
        <v>1111</v>
      </c>
    </row>
    <row r="29" spans="2:12" x14ac:dyDescent="0.2">
      <c r="B29" s="94" t="s">
        <v>383</v>
      </c>
      <c r="C29" s="79" t="s">
        <v>384</v>
      </c>
      <c r="D29" s="85" t="s">
        <v>380</v>
      </c>
      <c r="E29" s="85">
        <v>1</v>
      </c>
      <c r="F29" s="79"/>
      <c r="G29" s="86" t="s">
        <v>380</v>
      </c>
      <c r="H29" s="88"/>
      <c r="L29" s="110" t="s">
        <v>1181</v>
      </c>
    </row>
    <row r="30" spans="2:12" x14ac:dyDescent="0.2">
      <c r="B30" s="84" t="s">
        <v>324</v>
      </c>
      <c r="C30" s="79" t="s">
        <v>326</v>
      </c>
      <c r="D30" s="85" t="s">
        <v>103</v>
      </c>
      <c r="E30" s="85">
        <v>1</v>
      </c>
      <c r="F30" s="79">
        <v>1994</v>
      </c>
      <c r="G30" s="86" t="s">
        <v>587</v>
      </c>
      <c r="H30" s="88"/>
      <c r="L30" s="110" t="s">
        <v>1309</v>
      </c>
    </row>
    <row r="31" spans="2:12" x14ac:dyDescent="0.2">
      <c r="B31" s="91" t="s">
        <v>578</v>
      </c>
      <c r="C31" s="79" t="s">
        <v>94</v>
      </c>
      <c r="D31" s="85" t="s">
        <v>195</v>
      </c>
      <c r="E31" s="85">
        <v>1</v>
      </c>
      <c r="F31" s="79">
        <v>1995</v>
      </c>
      <c r="G31" s="86" t="s">
        <v>580</v>
      </c>
      <c r="H31" s="88"/>
    </row>
    <row r="32" spans="2:12" x14ac:dyDescent="0.2">
      <c r="B32" s="84" t="s">
        <v>72</v>
      </c>
      <c r="C32" s="79" t="s">
        <v>71</v>
      </c>
      <c r="D32" s="90" t="s">
        <v>574</v>
      </c>
      <c r="E32" s="85">
        <v>1</v>
      </c>
      <c r="F32" s="79">
        <v>1995</v>
      </c>
      <c r="G32" s="89" t="s">
        <v>254</v>
      </c>
      <c r="H32" s="88"/>
      <c r="L32" s="112" t="s">
        <v>1311</v>
      </c>
    </row>
    <row r="33" spans="2:12" x14ac:dyDescent="0.2">
      <c r="B33" s="84" t="s">
        <v>576</v>
      </c>
      <c r="C33" s="79" t="s">
        <v>374</v>
      </c>
      <c r="D33" s="85" t="s">
        <v>375</v>
      </c>
      <c r="E33" s="85">
        <v>1</v>
      </c>
      <c r="F33" s="79">
        <v>1994</v>
      </c>
      <c r="G33" s="89" t="s">
        <v>580</v>
      </c>
      <c r="H33" s="88"/>
      <c r="L33" s="112"/>
    </row>
    <row r="34" spans="2:12" x14ac:dyDescent="0.2">
      <c r="B34" s="84" t="s">
        <v>320</v>
      </c>
      <c r="C34" s="79" t="s">
        <v>321</v>
      </c>
      <c r="D34" s="79" t="s">
        <v>375</v>
      </c>
      <c r="E34" s="85">
        <v>1</v>
      </c>
      <c r="F34" s="183">
        <v>39962</v>
      </c>
      <c r="G34" s="89" t="s">
        <v>561</v>
      </c>
      <c r="H34" s="88"/>
      <c r="L34" s="112"/>
    </row>
    <row r="35" spans="2:12" x14ac:dyDescent="0.2">
      <c r="B35" s="84" t="s">
        <v>398</v>
      </c>
      <c r="C35" s="79" t="s">
        <v>335</v>
      </c>
      <c r="D35" s="85" t="s">
        <v>399</v>
      </c>
      <c r="E35" s="85">
        <v>1</v>
      </c>
      <c r="F35" s="79">
        <v>2001</v>
      </c>
      <c r="G35" s="86" t="s">
        <v>824</v>
      </c>
      <c r="H35" s="88"/>
      <c r="L35" s="112"/>
    </row>
    <row r="36" spans="2:12" x14ac:dyDescent="0.2">
      <c r="B36" s="84" t="s">
        <v>1203</v>
      </c>
      <c r="C36" s="88" t="s">
        <v>335</v>
      </c>
      <c r="D36" s="90" t="s">
        <v>217</v>
      </c>
      <c r="E36" s="85">
        <v>1</v>
      </c>
      <c r="F36" s="79">
        <v>2010</v>
      </c>
      <c r="G36" s="86" t="s">
        <v>824</v>
      </c>
      <c r="H36" s="88"/>
      <c r="L36" s="112"/>
    </row>
    <row r="37" spans="2:12" x14ac:dyDescent="0.2">
      <c r="B37" s="84" t="s">
        <v>314</v>
      </c>
      <c r="C37" s="79" t="s">
        <v>92</v>
      </c>
      <c r="D37" s="85" t="s">
        <v>105</v>
      </c>
      <c r="E37" s="85">
        <v>1</v>
      </c>
      <c r="F37" s="95">
        <v>39203</v>
      </c>
      <c r="G37" s="89">
        <v>2021</v>
      </c>
      <c r="H37" s="88"/>
      <c r="L37" s="112"/>
    </row>
    <row r="38" spans="2:12" x14ac:dyDescent="0.2">
      <c r="B38" s="190"/>
      <c r="C38" s="79"/>
      <c r="D38" s="90"/>
      <c r="E38" s="85"/>
      <c r="F38" s="79"/>
      <c r="G38" s="79"/>
      <c r="H38" s="88"/>
      <c r="L38" s="112"/>
    </row>
    <row r="39" spans="2:12" x14ac:dyDescent="0.2">
      <c r="B39" s="190"/>
      <c r="C39" s="79"/>
      <c r="D39" s="90"/>
      <c r="E39" s="85"/>
      <c r="F39" s="79"/>
      <c r="G39" s="79"/>
      <c r="H39" s="88"/>
      <c r="L39" s="112"/>
    </row>
    <row r="40" spans="2:12" x14ac:dyDescent="0.2">
      <c r="B40" s="190"/>
      <c r="C40" s="79"/>
      <c r="D40" s="90"/>
      <c r="E40" s="85"/>
      <c r="F40" s="79"/>
      <c r="G40" s="79"/>
      <c r="H40" s="88"/>
      <c r="L40" s="112"/>
    </row>
    <row r="41" spans="2:12" x14ac:dyDescent="0.2">
      <c r="B41" t="s">
        <v>402</v>
      </c>
      <c r="D41" s="131" t="s">
        <v>256</v>
      </c>
      <c r="E41" s="131" t="s">
        <v>401</v>
      </c>
      <c r="F41" s="133" t="s">
        <v>244</v>
      </c>
      <c r="G41" s="141" t="s">
        <v>330</v>
      </c>
      <c r="L41" s="65" t="s">
        <v>782</v>
      </c>
    </row>
    <row r="42" spans="2:12" x14ac:dyDescent="0.2">
      <c r="B42" s="84" t="s">
        <v>1314</v>
      </c>
      <c r="C42" s="79" t="s">
        <v>206</v>
      </c>
      <c r="D42" s="115" t="s">
        <v>1302</v>
      </c>
      <c r="E42" s="85" t="s">
        <v>244</v>
      </c>
      <c r="F42" s="88" t="s">
        <v>330</v>
      </c>
      <c r="G42" s="126" t="s">
        <v>1303</v>
      </c>
      <c r="H42" s="89"/>
      <c r="L42" s="112" t="s">
        <v>1182</v>
      </c>
    </row>
    <row r="43" spans="2:12" x14ac:dyDescent="0.2">
      <c r="B43" s="84" t="s">
        <v>1315</v>
      </c>
      <c r="C43" s="88" t="s">
        <v>739</v>
      </c>
      <c r="D43" s="88" t="s">
        <v>829</v>
      </c>
      <c r="E43" s="90">
        <v>1</v>
      </c>
      <c r="F43" s="115" t="s">
        <v>1333</v>
      </c>
      <c r="G43" s="125" t="s">
        <v>400</v>
      </c>
      <c r="H43" s="86"/>
      <c r="L43" s="112" t="s">
        <v>1198</v>
      </c>
    </row>
    <row r="44" spans="2:12" x14ac:dyDescent="0.2">
      <c r="B44" s="114" t="s">
        <v>1305</v>
      </c>
      <c r="C44" s="115" t="s">
        <v>66</v>
      </c>
      <c r="D44" s="115" t="s">
        <v>1306</v>
      </c>
      <c r="E44" s="116" t="s">
        <v>1307</v>
      </c>
      <c r="F44" s="115" t="s">
        <v>170</v>
      </c>
      <c r="G44" s="127"/>
      <c r="H44" s="89"/>
      <c r="L44" s="112" t="s">
        <v>1168</v>
      </c>
    </row>
    <row r="45" spans="2:12" x14ac:dyDescent="0.2">
      <c r="B45" s="114" t="s">
        <v>338</v>
      </c>
      <c r="C45" s="88" t="s">
        <v>6</v>
      </c>
      <c r="D45" s="88" t="s">
        <v>347</v>
      </c>
      <c r="E45" s="90" t="s">
        <v>339</v>
      </c>
      <c r="F45" s="88" t="s">
        <v>170</v>
      </c>
      <c r="G45" s="125" t="s">
        <v>430</v>
      </c>
      <c r="H45" s="101"/>
      <c r="L45" s="112" t="s">
        <v>1214</v>
      </c>
    </row>
    <row r="46" spans="2:12" x14ac:dyDescent="0.2">
      <c r="B46" s="94" t="s">
        <v>750</v>
      </c>
      <c r="C46" s="79" t="s">
        <v>751</v>
      </c>
      <c r="D46" s="79" t="s">
        <v>405</v>
      </c>
      <c r="E46" s="85">
        <v>1</v>
      </c>
      <c r="F46" s="79" t="s">
        <v>170</v>
      </c>
      <c r="G46" s="127"/>
      <c r="H46" s="89"/>
      <c r="L46" s="112" t="s">
        <v>1312</v>
      </c>
    </row>
    <row r="47" spans="2:12" x14ac:dyDescent="0.2">
      <c r="B47" s="102" t="s">
        <v>122</v>
      </c>
      <c r="C47" s="79" t="s">
        <v>19</v>
      </c>
      <c r="D47" s="79"/>
      <c r="E47" s="85">
        <v>1</v>
      </c>
      <c r="F47" s="79" t="s">
        <v>170</v>
      </c>
      <c r="G47" s="127"/>
      <c r="H47" s="89"/>
    </row>
    <row r="48" spans="2:12" x14ac:dyDescent="0.2">
      <c r="B48" s="119" t="s">
        <v>1264</v>
      </c>
      <c r="C48" s="88" t="s">
        <v>66</v>
      </c>
      <c r="D48" s="88" t="s">
        <v>592</v>
      </c>
      <c r="E48" s="90" t="s">
        <v>593</v>
      </c>
      <c r="F48" s="115" t="s">
        <v>330</v>
      </c>
      <c r="G48" s="125" t="s">
        <v>594</v>
      </c>
      <c r="H48" s="89"/>
    </row>
    <row r="49" spans="2:8" x14ac:dyDescent="0.2">
      <c r="B49" s="114" t="s">
        <v>1169</v>
      </c>
      <c r="C49" s="115" t="s">
        <v>1170</v>
      </c>
      <c r="D49" s="115" t="s">
        <v>380</v>
      </c>
      <c r="E49" s="90">
        <v>1</v>
      </c>
      <c r="F49" s="115" t="s">
        <v>330</v>
      </c>
      <c r="G49" s="125"/>
      <c r="H49" s="86"/>
    </row>
    <row r="50" spans="2:8" x14ac:dyDescent="0.2">
      <c r="B50" s="114" t="s">
        <v>1241</v>
      </c>
      <c r="C50" s="115" t="s">
        <v>1242</v>
      </c>
      <c r="D50" s="115" t="s">
        <v>380</v>
      </c>
      <c r="E50" s="116" t="s">
        <v>1243</v>
      </c>
      <c r="F50" s="115" t="s">
        <v>330</v>
      </c>
      <c r="G50" s="125"/>
      <c r="H50" s="86"/>
    </row>
    <row r="51" spans="2:8" x14ac:dyDescent="0.2">
      <c r="B51" s="99" t="s">
        <v>746</v>
      </c>
      <c r="C51" s="88" t="s">
        <v>256</v>
      </c>
      <c r="D51" s="88" t="s">
        <v>401</v>
      </c>
      <c r="E51" s="90" t="s">
        <v>244</v>
      </c>
      <c r="F51" s="88" t="s">
        <v>170</v>
      </c>
    </row>
    <row r="52" spans="2:8" x14ac:dyDescent="0.2">
      <c r="B52" s="103" t="s">
        <v>768</v>
      </c>
      <c r="C52" s="88" t="s">
        <v>769</v>
      </c>
      <c r="D52" s="88" t="s">
        <v>770</v>
      </c>
      <c r="E52" s="90" t="s">
        <v>734</v>
      </c>
      <c r="F52" s="88" t="s">
        <v>170</v>
      </c>
      <c r="G52" s="89"/>
    </row>
    <row r="53" spans="2:8" x14ac:dyDescent="0.2">
      <c r="B53" s="91" t="s">
        <v>565</v>
      </c>
      <c r="C53" s="88" t="s">
        <v>563</v>
      </c>
      <c r="D53" s="88" t="s">
        <v>564</v>
      </c>
      <c r="E53" s="90" t="s">
        <v>548</v>
      </c>
      <c r="F53" s="88" t="s">
        <v>170</v>
      </c>
      <c r="G53" s="89"/>
    </row>
    <row r="54" spans="2:8" x14ac:dyDescent="0.2">
      <c r="B54" s="84" t="s">
        <v>836</v>
      </c>
      <c r="C54" s="88" t="s">
        <v>818</v>
      </c>
      <c r="D54" s="88" t="s">
        <v>837</v>
      </c>
      <c r="E54" s="90" t="s">
        <v>819</v>
      </c>
      <c r="F54" s="88" t="s">
        <v>330</v>
      </c>
      <c r="G54" s="86"/>
    </row>
    <row r="55" spans="2:8" x14ac:dyDescent="0.2">
      <c r="B55" s="103" t="s">
        <v>755</v>
      </c>
      <c r="C55" s="88" t="s">
        <v>206</v>
      </c>
      <c r="D55" s="88" t="s">
        <v>756</v>
      </c>
      <c r="E55" s="90">
        <v>1</v>
      </c>
      <c r="F55" s="88" t="s">
        <v>170</v>
      </c>
      <c r="G55" s="89"/>
    </row>
    <row r="56" spans="2:8" x14ac:dyDescent="0.2">
      <c r="B56" s="103">
        <v>1292263</v>
      </c>
      <c r="C56" s="88" t="s">
        <v>206</v>
      </c>
      <c r="D56" s="88" t="s">
        <v>757</v>
      </c>
      <c r="E56" s="90">
        <v>1</v>
      </c>
      <c r="F56" s="88" t="s">
        <v>170</v>
      </c>
      <c r="G56" s="89"/>
    </row>
    <row r="57" spans="2:8" x14ac:dyDescent="0.2">
      <c r="B57" s="103" t="s">
        <v>758</v>
      </c>
      <c r="C57" s="88" t="s">
        <v>759</v>
      </c>
      <c r="D57" s="88" t="s">
        <v>749</v>
      </c>
      <c r="E57" s="90">
        <v>1</v>
      </c>
      <c r="F57" s="88" t="s">
        <v>170</v>
      </c>
      <c r="G57" s="89"/>
    </row>
    <row r="58" spans="2:8" x14ac:dyDescent="0.2">
      <c r="B58" s="99" t="s">
        <v>747</v>
      </c>
      <c r="C58" s="88" t="s">
        <v>748</v>
      </c>
      <c r="D58" s="88" t="s">
        <v>749</v>
      </c>
      <c r="E58" s="90">
        <v>1</v>
      </c>
      <c r="F58" s="88" t="s">
        <v>170</v>
      </c>
      <c r="G58" s="89"/>
    </row>
    <row r="62" spans="2:8" x14ac:dyDescent="0.2">
      <c r="C62" s="110" t="s">
        <v>1138</v>
      </c>
    </row>
    <row r="63" spans="2:8" x14ac:dyDescent="0.2">
      <c r="C63" s="110" t="s">
        <v>1318</v>
      </c>
    </row>
    <row r="64" spans="2:8" x14ac:dyDescent="0.2">
      <c r="C64" s="110" t="s">
        <v>1324</v>
      </c>
    </row>
    <row r="66" spans="3:3" x14ac:dyDescent="0.2">
      <c r="C66" s="109" t="s">
        <v>214</v>
      </c>
    </row>
    <row r="67" spans="3:3" x14ac:dyDescent="0.2">
      <c r="C67" s="109" t="s">
        <v>312</v>
      </c>
    </row>
    <row r="68" spans="3:3" x14ac:dyDescent="0.2">
      <c r="C68" s="109" t="s">
        <v>437</v>
      </c>
    </row>
    <row r="69" spans="3:3" x14ac:dyDescent="0.2">
      <c r="C69" s="109" t="s">
        <v>512</v>
      </c>
    </row>
    <row r="70" spans="3:3" x14ac:dyDescent="0.2">
      <c r="C70" s="109" t="s">
        <v>452</v>
      </c>
    </row>
    <row r="71" spans="3:3" x14ac:dyDescent="0.2">
      <c r="C71" s="109" t="s">
        <v>613</v>
      </c>
    </row>
    <row r="72" spans="3:3" x14ac:dyDescent="0.2">
      <c r="C72" s="109" t="s">
        <v>1310</v>
      </c>
    </row>
    <row r="73" spans="3:3" x14ac:dyDescent="0.2">
      <c r="C73" s="109" t="s">
        <v>586</v>
      </c>
    </row>
    <row r="74" spans="3:3" x14ac:dyDescent="0.2">
      <c r="C74" s="109" t="s">
        <v>1291</v>
      </c>
    </row>
    <row r="75" spans="3:3" x14ac:dyDescent="0.2">
      <c r="C75" s="109" t="s">
        <v>1290</v>
      </c>
    </row>
    <row r="76" spans="3:3" x14ac:dyDescent="0.2">
      <c r="C76" s="109" t="s">
        <v>1288</v>
      </c>
    </row>
    <row r="77" spans="3:3" x14ac:dyDescent="0.2">
      <c r="C77" s="109" t="s">
        <v>1279</v>
      </c>
    </row>
    <row r="78" spans="3:3" x14ac:dyDescent="0.2">
      <c r="C78" s="109" t="s">
        <v>1257</v>
      </c>
    </row>
    <row r="79" spans="3:3" x14ac:dyDescent="0.2">
      <c r="C79" s="109" t="s">
        <v>1239</v>
      </c>
    </row>
    <row r="80" spans="3:3" x14ac:dyDescent="0.2">
      <c r="C80" s="109" t="s">
        <v>610</v>
      </c>
    </row>
    <row r="81" spans="3:3" x14ac:dyDescent="0.2">
      <c r="C81" s="109" t="s">
        <v>611</v>
      </c>
    </row>
    <row r="82" spans="3:3" x14ac:dyDescent="0.2">
      <c r="C82" s="109" t="s">
        <v>612</v>
      </c>
    </row>
    <row r="83" spans="3:3" x14ac:dyDescent="0.2">
      <c r="C83" s="109" t="s">
        <v>1197</v>
      </c>
    </row>
    <row r="84" spans="3:3" x14ac:dyDescent="0.2">
      <c r="C84" s="109" t="s">
        <v>781</v>
      </c>
    </row>
    <row r="85" spans="3:3" x14ac:dyDescent="0.2">
      <c r="C85" s="109" t="s">
        <v>855</v>
      </c>
    </row>
    <row r="86" spans="3:3" x14ac:dyDescent="0.2">
      <c r="C86" s="109" t="s">
        <v>854</v>
      </c>
    </row>
    <row r="87" spans="3:3" x14ac:dyDescent="0.2">
      <c r="C87" s="109" t="s">
        <v>853</v>
      </c>
    </row>
    <row r="88" spans="3:3" x14ac:dyDescent="0.2">
      <c r="C88" s="109" t="s">
        <v>838</v>
      </c>
    </row>
    <row r="148" spans="3:3" x14ac:dyDescent="0.2">
      <c r="C148" s="96" t="s">
        <v>865</v>
      </c>
    </row>
    <row r="149" spans="3:3" x14ac:dyDescent="0.2">
      <c r="C149" s="96" t="s">
        <v>866</v>
      </c>
    </row>
    <row r="150" spans="3:3" x14ac:dyDescent="0.2">
      <c r="C150" s="96" t="s">
        <v>867</v>
      </c>
    </row>
    <row r="151" spans="3:3" x14ac:dyDescent="0.2">
      <c r="C151" s="96" t="s">
        <v>868</v>
      </c>
    </row>
    <row r="152" spans="3:3" x14ac:dyDescent="0.2">
      <c r="C152" s="96" t="s">
        <v>869</v>
      </c>
    </row>
    <row r="153" spans="3:3" x14ac:dyDescent="0.2">
      <c r="C153" s="96" t="s">
        <v>870</v>
      </c>
    </row>
    <row r="154" spans="3:3" x14ac:dyDescent="0.2">
      <c r="C154" s="96" t="s">
        <v>871</v>
      </c>
    </row>
    <row r="155" spans="3:3" x14ac:dyDescent="0.2">
      <c r="C155" s="96" t="s">
        <v>872</v>
      </c>
    </row>
    <row r="156" spans="3:3" x14ac:dyDescent="0.2">
      <c r="C156" s="96" t="s">
        <v>873</v>
      </c>
    </row>
    <row r="157" spans="3:3" x14ac:dyDescent="0.2">
      <c r="C157" s="96" t="s">
        <v>874</v>
      </c>
    </row>
    <row r="158" spans="3:3" x14ac:dyDescent="0.2">
      <c r="C158" s="96" t="s">
        <v>875</v>
      </c>
    </row>
    <row r="159" spans="3:3" x14ac:dyDescent="0.2">
      <c r="C159" s="96" t="s">
        <v>876</v>
      </c>
    </row>
    <row r="160" spans="3:3" x14ac:dyDescent="0.2">
      <c r="C160" s="96" t="s">
        <v>877</v>
      </c>
    </row>
    <row r="161" spans="3:3" x14ac:dyDescent="0.2">
      <c r="C161" s="96" t="s">
        <v>878</v>
      </c>
    </row>
    <row r="162" spans="3:3" x14ac:dyDescent="0.2">
      <c r="C162" s="96" t="s">
        <v>879</v>
      </c>
    </row>
    <row r="163" spans="3:3" x14ac:dyDescent="0.2">
      <c r="C163" s="96" t="s">
        <v>880</v>
      </c>
    </row>
    <row r="164" spans="3:3" x14ac:dyDescent="0.2">
      <c r="C164" s="96" t="s">
        <v>881</v>
      </c>
    </row>
    <row r="165" spans="3:3" x14ac:dyDescent="0.2">
      <c r="C165" s="96" t="s">
        <v>882</v>
      </c>
    </row>
    <row r="166" spans="3:3" x14ac:dyDescent="0.2">
      <c r="C166" s="96" t="s">
        <v>883</v>
      </c>
    </row>
    <row r="167" spans="3:3" x14ac:dyDescent="0.2">
      <c r="C167" s="96" t="s">
        <v>884</v>
      </c>
    </row>
    <row r="168" spans="3:3" x14ac:dyDescent="0.2">
      <c r="C168" s="96" t="s">
        <v>885</v>
      </c>
    </row>
    <row r="169" spans="3:3" x14ac:dyDescent="0.2">
      <c r="C169" s="96" t="s">
        <v>886</v>
      </c>
    </row>
    <row r="170" spans="3:3" x14ac:dyDescent="0.2">
      <c r="C170" s="96" t="s">
        <v>887</v>
      </c>
    </row>
    <row r="171" spans="3:3" x14ac:dyDescent="0.2">
      <c r="C171" s="96" t="s">
        <v>888</v>
      </c>
    </row>
    <row r="172" spans="3:3" x14ac:dyDescent="0.2">
      <c r="C172" s="96" t="s">
        <v>889</v>
      </c>
    </row>
    <row r="173" spans="3:3" x14ac:dyDescent="0.2">
      <c r="C173" s="96" t="s">
        <v>890</v>
      </c>
    </row>
    <row r="174" spans="3:3" x14ac:dyDescent="0.2">
      <c r="C174" s="96" t="s">
        <v>891</v>
      </c>
    </row>
    <row r="175" spans="3:3" x14ac:dyDescent="0.2">
      <c r="C175" s="96" t="s">
        <v>892</v>
      </c>
    </row>
    <row r="176" spans="3:3" x14ac:dyDescent="0.2">
      <c r="C176" s="96" t="s">
        <v>893</v>
      </c>
    </row>
    <row r="177" spans="3:3" x14ac:dyDescent="0.2">
      <c r="C177" s="96" t="s">
        <v>894</v>
      </c>
    </row>
    <row r="178" spans="3:3" x14ac:dyDescent="0.2">
      <c r="C178" s="96" t="s">
        <v>895</v>
      </c>
    </row>
    <row r="179" spans="3:3" x14ac:dyDescent="0.2">
      <c r="C179" s="96" t="s">
        <v>896</v>
      </c>
    </row>
    <row r="180" spans="3:3" x14ac:dyDescent="0.2">
      <c r="C180" s="96" t="s">
        <v>897</v>
      </c>
    </row>
    <row r="181" spans="3:3" x14ac:dyDescent="0.2">
      <c r="C181" s="96" t="s">
        <v>898</v>
      </c>
    </row>
    <row r="182" spans="3:3" x14ac:dyDescent="0.2">
      <c r="C182" s="96" t="s">
        <v>899</v>
      </c>
    </row>
    <row r="183" spans="3:3" x14ac:dyDescent="0.2">
      <c r="C183" s="96" t="s">
        <v>900</v>
      </c>
    </row>
    <row r="184" spans="3:3" x14ac:dyDescent="0.2">
      <c r="C184" s="96" t="s">
        <v>901</v>
      </c>
    </row>
    <row r="185" spans="3:3" x14ac:dyDescent="0.2">
      <c r="C185" s="96" t="s">
        <v>902</v>
      </c>
    </row>
    <row r="186" spans="3:3" x14ac:dyDescent="0.2">
      <c r="C186" s="96" t="s">
        <v>903</v>
      </c>
    </row>
    <row r="187" spans="3:3" x14ac:dyDescent="0.2">
      <c r="C187" s="96" t="s">
        <v>904</v>
      </c>
    </row>
    <row r="188" spans="3:3" x14ac:dyDescent="0.2">
      <c r="C188" s="96" t="s">
        <v>905</v>
      </c>
    </row>
    <row r="189" spans="3:3" x14ac:dyDescent="0.2">
      <c r="C189" s="96" t="s">
        <v>906</v>
      </c>
    </row>
    <row r="190" spans="3:3" x14ac:dyDescent="0.2">
      <c r="C190" s="96" t="s">
        <v>907</v>
      </c>
    </row>
    <row r="191" spans="3:3" x14ac:dyDescent="0.2">
      <c r="C191" s="96" t="s">
        <v>908</v>
      </c>
    </row>
    <row r="192" spans="3:3" x14ac:dyDescent="0.2">
      <c r="C192" s="96" t="s">
        <v>909</v>
      </c>
    </row>
    <row r="193" spans="3:3" x14ac:dyDescent="0.2">
      <c r="C193" s="96" t="s">
        <v>910</v>
      </c>
    </row>
    <row r="194" spans="3:3" x14ac:dyDescent="0.2">
      <c r="C194" s="96" t="s">
        <v>911</v>
      </c>
    </row>
    <row r="195" spans="3:3" x14ac:dyDescent="0.2">
      <c r="C195" s="96" t="s">
        <v>912</v>
      </c>
    </row>
    <row r="196" spans="3:3" x14ac:dyDescent="0.2">
      <c r="C196" s="96" t="s">
        <v>913</v>
      </c>
    </row>
    <row r="197" spans="3:3" x14ac:dyDescent="0.2">
      <c r="C197" s="96" t="s">
        <v>914</v>
      </c>
    </row>
    <row r="198" spans="3:3" x14ac:dyDescent="0.2">
      <c r="C198" s="96" t="s">
        <v>915</v>
      </c>
    </row>
    <row r="199" spans="3:3" x14ac:dyDescent="0.2">
      <c r="C199" s="96" t="s">
        <v>916</v>
      </c>
    </row>
    <row r="200" spans="3:3" x14ac:dyDescent="0.2">
      <c r="C200" s="96" t="s">
        <v>917</v>
      </c>
    </row>
    <row r="201" spans="3:3" x14ac:dyDescent="0.2">
      <c r="C201" s="96" t="s">
        <v>918</v>
      </c>
    </row>
    <row r="202" spans="3:3" x14ac:dyDescent="0.2">
      <c r="C202" s="96" t="s">
        <v>919</v>
      </c>
    </row>
    <row r="203" spans="3:3" x14ac:dyDescent="0.2">
      <c r="C203" s="96" t="s">
        <v>920</v>
      </c>
    </row>
    <row r="204" spans="3:3" x14ac:dyDescent="0.2">
      <c r="C204" s="96" t="s">
        <v>921</v>
      </c>
    </row>
    <row r="205" spans="3:3" x14ac:dyDescent="0.2">
      <c r="C205" s="96" t="s">
        <v>922</v>
      </c>
    </row>
    <row r="206" spans="3:3" x14ac:dyDescent="0.2">
      <c r="C206" s="96" t="s">
        <v>923</v>
      </c>
    </row>
    <row r="207" spans="3:3" x14ac:dyDescent="0.2">
      <c r="C207" s="96" t="s">
        <v>924</v>
      </c>
    </row>
    <row r="208" spans="3:3" x14ac:dyDescent="0.2">
      <c r="C208" s="96" t="s">
        <v>925</v>
      </c>
    </row>
    <row r="209" spans="3:3" x14ac:dyDescent="0.2">
      <c r="C209" s="96" t="s">
        <v>926</v>
      </c>
    </row>
    <row r="210" spans="3:3" x14ac:dyDescent="0.2">
      <c r="C210" s="96" t="s">
        <v>927</v>
      </c>
    </row>
    <row r="211" spans="3:3" x14ac:dyDescent="0.2">
      <c r="C211" s="96" t="s">
        <v>928</v>
      </c>
    </row>
    <row r="212" spans="3:3" x14ac:dyDescent="0.2">
      <c r="C212" s="96" t="s">
        <v>929</v>
      </c>
    </row>
    <row r="213" spans="3:3" x14ac:dyDescent="0.2">
      <c r="C213" s="96" t="s">
        <v>930</v>
      </c>
    </row>
    <row r="214" spans="3:3" x14ac:dyDescent="0.2">
      <c r="C214" s="96" t="s">
        <v>931</v>
      </c>
    </row>
    <row r="215" spans="3:3" x14ac:dyDescent="0.2">
      <c r="C215" s="96" t="s">
        <v>932</v>
      </c>
    </row>
    <row r="216" spans="3:3" x14ac:dyDescent="0.2">
      <c r="C216" s="96" t="s">
        <v>933</v>
      </c>
    </row>
    <row r="217" spans="3:3" x14ac:dyDescent="0.2">
      <c r="C217" s="96" t="s">
        <v>934</v>
      </c>
    </row>
    <row r="218" spans="3:3" x14ac:dyDescent="0.2">
      <c r="C218" s="96" t="s">
        <v>935</v>
      </c>
    </row>
    <row r="219" spans="3:3" x14ac:dyDescent="0.2">
      <c r="C219" s="96" t="s">
        <v>936</v>
      </c>
    </row>
    <row r="220" spans="3:3" x14ac:dyDescent="0.2">
      <c r="C220" s="96" t="s">
        <v>937</v>
      </c>
    </row>
    <row r="221" spans="3:3" x14ac:dyDescent="0.2">
      <c r="C221" s="96" t="s">
        <v>938</v>
      </c>
    </row>
    <row r="222" spans="3:3" x14ac:dyDescent="0.2">
      <c r="C222" s="96" t="s">
        <v>939</v>
      </c>
    </row>
    <row r="223" spans="3:3" x14ac:dyDescent="0.2">
      <c r="C223" s="96" t="s">
        <v>940</v>
      </c>
    </row>
    <row r="224" spans="3:3" x14ac:dyDescent="0.2">
      <c r="C224" s="96" t="s">
        <v>941</v>
      </c>
    </row>
    <row r="225" spans="3:3" x14ac:dyDescent="0.2">
      <c r="C225" s="96" t="s">
        <v>942</v>
      </c>
    </row>
    <row r="226" spans="3:3" x14ac:dyDescent="0.2">
      <c r="C226" s="96" t="s">
        <v>943</v>
      </c>
    </row>
    <row r="227" spans="3:3" x14ac:dyDescent="0.2">
      <c r="C227" s="96" t="s">
        <v>944</v>
      </c>
    </row>
    <row r="228" spans="3:3" x14ac:dyDescent="0.2">
      <c r="C228" s="96" t="s">
        <v>945</v>
      </c>
    </row>
    <row r="229" spans="3:3" x14ac:dyDescent="0.2">
      <c r="C229" s="96" t="s">
        <v>946</v>
      </c>
    </row>
    <row r="230" spans="3:3" x14ac:dyDescent="0.2">
      <c r="C230" s="96" t="s">
        <v>947</v>
      </c>
    </row>
    <row r="231" spans="3:3" x14ac:dyDescent="0.2">
      <c r="C231" s="96" t="s">
        <v>948</v>
      </c>
    </row>
    <row r="232" spans="3:3" x14ac:dyDescent="0.2">
      <c r="C232" s="96" t="s">
        <v>949</v>
      </c>
    </row>
    <row r="233" spans="3:3" x14ac:dyDescent="0.2">
      <c r="C233" s="96" t="s">
        <v>950</v>
      </c>
    </row>
    <row r="234" spans="3:3" x14ac:dyDescent="0.2">
      <c r="C234" s="96" t="s">
        <v>951</v>
      </c>
    </row>
    <row r="235" spans="3:3" x14ac:dyDescent="0.2">
      <c r="C235" s="96" t="s">
        <v>952</v>
      </c>
    </row>
    <row r="236" spans="3:3" x14ac:dyDescent="0.2">
      <c r="C236" s="96" t="s">
        <v>953</v>
      </c>
    </row>
    <row r="237" spans="3:3" x14ac:dyDescent="0.2">
      <c r="C237" s="96" t="s">
        <v>954</v>
      </c>
    </row>
    <row r="238" spans="3:3" x14ac:dyDescent="0.2">
      <c r="C238" s="96" t="s">
        <v>955</v>
      </c>
    </row>
    <row r="239" spans="3:3" x14ac:dyDescent="0.2">
      <c r="C239" s="96" t="s">
        <v>956</v>
      </c>
    </row>
    <row r="240" spans="3:3" x14ac:dyDescent="0.2">
      <c r="C240" s="96" t="s">
        <v>957</v>
      </c>
    </row>
    <row r="241" spans="3:3" x14ac:dyDescent="0.2">
      <c r="C241" s="96" t="s">
        <v>958</v>
      </c>
    </row>
    <row r="242" spans="3:3" x14ac:dyDescent="0.2">
      <c r="C242" s="96" t="s">
        <v>959</v>
      </c>
    </row>
    <row r="243" spans="3:3" x14ac:dyDescent="0.2">
      <c r="C243" s="96" t="s">
        <v>960</v>
      </c>
    </row>
    <row r="244" spans="3:3" x14ac:dyDescent="0.2">
      <c r="C244" s="96" t="s">
        <v>961</v>
      </c>
    </row>
    <row r="245" spans="3:3" x14ac:dyDescent="0.2">
      <c r="C245" s="96" t="s">
        <v>962</v>
      </c>
    </row>
    <row r="246" spans="3:3" x14ac:dyDescent="0.2">
      <c r="C246" s="96" t="s">
        <v>963</v>
      </c>
    </row>
    <row r="247" spans="3:3" x14ac:dyDescent="0.2">
      <c r="C247" s="96" t="s">
        <v>964</v>
      </c>
    </row>
    <row r="248" spans="3:3" x14ac:dyDescent="0.2">
      <c r="C248" s="96" t="s">
        <v>965</v>
      </c>
    </row>
    <row r="249" spans="3:3" x14ac:dyDescent="0.2">
      <c r="C249" s="96" t="s">
        <v>966</v>
      </c>
    </row>
    <row r="250" spans="3:3" x14ac:dyDescent="0.2">
      <c r="C250" s="96" t="s">
        <v>967</v>
      </c>
    </row>
    <row r="251" spans="3:3" x14ac:dyDescent="0.2">
      <c r="C251" s="96" t="s">
        <v>968</v>
      </c>
    </row>
    <row r="252" spans="3:3" x14ac:dyDescent="0.2">
      <c r="C252" s="96" t="s">
        <v>969</v>
      </c>
    </row>
    <row r="253" spans="3:3" x14ac:dyDescent="0.2">
      <c r="C253" s="96" t="s">
        <v>970</v>
      </c>
    </row>
    <row r="254" spans="3:3" x14ac:dyDescent="0.2">
      <c r="C254" s="96" t="s">
        <v>971</v>
      </c>
    </row>
    <row r="255" spans="3:3" x14ac:dyDescent="0.2">
      <c r="C255" s="96" t="s">
        <v>972</v>
      </c>
    </row>
    <row r="256" spans="3:3" x14ac:dyDescent="0.2">
      <c r="C256" s="96" t="s">
        <v>973</v>
      </c>
    </row>
    <row r="257" spans="3:3" x14ac:dyDescent="0.2">
      <c r="C257" s="96" t="s">
        <v>974</v>
      </c>
    </row>
    <row r="258" spans="3:3" x14ac:dyDescent="0.2">
      <c r="C258" s="96" t="s">
        <v>975</v>
      </c>
    </row>
    <row r="259" spans="3:3" x14ac:dyDescent="0.2">
      <c r="C259" s="96" t="s">
        <v>976</v>
      </c>
    </row>
    <row r="260" spans="3:3" x14ac:dyDescent="0.2">
      <c r="C260" s="96" t="s">
        <v>977</v>
      </c>
    </row>
    <row r="261" spans="3:3" x14ac:dyDescent="0.2">
      <c r="C261" s="96" t="s">
        <v>978</v>
      </c>
    </row>
    <row r="262" spans="3:3" x14ac:dyDescent="0.2">
      <c r="C262" s="96" t="s">
        <v>979</v>
      </c>
    </row>
    <row r="263" spans="3:3" x14ac:dyDescent="0.2">
      <c r="C263" s="96" t="s">
        <v>980</v>
      </c>
    </row>
    <row r="264" spans="3:3" x14ac:dyDescent="0.2">
      <c r="C264" s="96" t="s">
        <v>981</v>
      </c>
    </row>
    <row r="265" spans="3:3" x14ac:dyDescent="0.2">
      <c r="C265" s="96" t="s">
        <v>982</v>
      </c>
    </row>
    <row r="266" spans="3:3" x14ac:dyDescent="0.2">
      <c r="C266" s="96" t="s">
        <v>983</v>
      </c>
    </row>
    <row r="267" spans="3:3" x14ac:dyDescent="0.2">
      <c r="C267" s="96" t="s">
        <v>984</v>
      </c>
    </row>
    <row r="268" spans="3:3" x14ac:dyDescent="0.2">
      <c r="C268" s="96" t="s">
        <v>985</v>
      </c>
    </row>
    <row r="269" spans="3:3" x14ac:dyDescent="0.2">
      <c r="C269" s="96" t="s">
        <v>986</v>
      </c>
    </row>
    <row r="270" spans="3:3" x14ac:dyDescent="0.2">
      <c r="C270" s="96" t="s">
        <v>987</v>
      </c>
    </row>
    <row r="271" spans="3:3" x14ac:dyDescent="0.2">
      <c r="C271" s="96" t="s">
        <v>988</v>
      </c>
    </row>
    <row r="272" spans="3:3" x14ac:dyDescent="0.2">
      <c r="C272" s="96" t="s">
        <v>989</v>
      </c>
    </row>
    <row r="273" spans="3:3" x14ac:dyDescent="0.2">
      <c r="C273" s="96" t="s">
        <v>990</v>
      </c>
    </row>
    <row r="274" spans="3:3" x14ac:dyDescent="0.2">
      <c r="C274" s="96" t="s">
        <v>991</v>
      </c>
    </row>
    <row r="275" spans="3:3" x14ac:dyDescent="0.2">
      <c r="C275" s="96" t="s">
        <v>992</v>
      </c>
    </row>
    <row r="276" spans="3:3" x14ac:dyDescent="0.2">
      <c r="C276" s="96" t="s">
        <v>993</v>
      </c>
    </row>
    <row r="277" spans="3:3" x14ac:dyDescent="0.2">
      <c r="C277" s="96" t="s">
        <v>994</v>
      </c>
    </row>
    <row r="278" spans="3:3" x14ac:dyDescent="0.2">
      <c r="C278" s="96" t="s">
        <v>995</v>
      </c>
    </row>
    <row r="279" spans="3:3" x14ac:dyDescent="0.2">
      <c r="C279" s="96" t="s">
        <v>996</v>
      </c>
    </row>
    <row r="280" spans="3:3" x14ac:dyDescent="0.2">
      <c r="C280" s="96" t="s">
        <v>997</v>
      </c>
    </row>
    <row r="281" spans="3:3" x14ac:dyDescent="0.2">
      <c r="C281" s="96" t="s">
        <v>998</v>
      </c>
    </row>
    <row r="282" spans="3:3" x14ac:dyDescent="0.2">
      <c r="C282" s="96" t="s">
        <v>999</v>
      </c>
    </row>
    <row r="283" spans="3:3" x14ac:dyDescent="0.2">
      <c r="C283" s="96" t="s">
        <v>1000</v>
      </c>
    </row>
    <row r="284" spans="3:3" x14ac:dyDescent="0.2">
      <c r="C284" s="96" t="s">
        <v>1001</v>
      </c>
    </row>
    <row r="285" spans="3:3" x14ac:dyDescent="0.2">
      <c r="C285" s="96" t="s">
        <v>1002</v>
      </c>
    </row>
    <row r="286" spans="3:3" x14ac:dyDescent="0.2">
      <c r="C286" s="96" t="s">
        <v>1003</v>
      </c>
    </row>
    <row r="287" spans="3:3" x14ac:dyDescent="0.2">
      <c r="C287" s="96" t="s">
        <v>1004</v>
      </c>
    </row>
    <row r="288" spans="3:3" x14ac:dyDescent="0.2">
      <c r="C288" s="96" t="s">
        <v>1005</v>
      </c>
    </row>
    <row r="289" spans="3:3" x14ac:dyDescent="0.2">
      <c r="C289" s="96" t="s">
        <v>1006</v>
      </c>
    </row>
    <row r="290" spans="3:3" x14ac:dyDescent="0.2">
      <c r="C290" s="96" t="s">
        <v>1007</v>
      </c>
    </row>
    <row r="291" spans="3:3" x14ac:dyDescent="0.2">
      <c r="C291" s="96" t="s">
        <v>1008</v>
      </c>
    </row>
    <row r="292" spans="3:3" x14ac:dyDescent="0.2">
      <c r="C292" s="96" t="s">
        <v>1009</v>
      </c>
    </row>
    <row r="293" spans="3:3" x14ac:dyDescent="0.2">
      <c r="C293" s="96" t="s">
        <v>1010</v>
      </c>
    </row>
    <row r="294" spans="3:3" x14ac:dyDescent="0.2">
      <c r="C294" s="96" t="s">
        <v>1011</v>
      </c>
    </row>
    <row r="295" spans="3:3" x14ac:dyDescent="0.2">
      <c r="C295" s="96" t="s">
        <v>1012</v>
      </c>
    </row>
    <row r="296" spans="3:3" x14ac:dyDescent="0.2">
      <c r="C296" s="96" t="s">
        <v>1013</v>
      </c>
    </row>
    <row r="297" spans="3:3" x14ac:dyDescent="0.2">
      <c r="C297" s="96" t="s">
        <v>1014</v>
      </c>
    </row>
    <row r="298" spans="3:3" x14ac:dyDescent="0.2">
      <c r="C298" s="96" t="s">
        <v>1015</v>
      </c>
    </row>
    <row r="299" spans="3:3" x14ac:dyDescent="0.2">
      <c r="C299" s="96" t="s">
        <v>1016</v>
      </c>
    </row>
    <row r="300" spans="3:3" x14ac:dyDescent="0.2">
      <c r="C300" s="96" t="s">
        <v>1017</v>
      </c>
    </row>
    <row r="301" spans="3:3" x14ac:dyDescent="0.2">
      <c r="C301" s="96" t="s">
        <v>1018</v>
      </c>
    </row>
    <row r="302" spans="3:3" x14ac:dyDescent="0.2">
      <c r="C302" s="96" t="s">
        <v>1019</v>
      </c>
    </row>
    <row r="303" spans="3:3" x14ac:dyDescent="0.2">
      <c r="C303" s="96" t="s">
        <v>1020</v>
      </c>
    </row>
    <row r="304" spans="3:3" x14ac:dyDescent="0.2">
      <c r="C304" s="96" t="s">
        <v>1021</v>
      </c>
    </row>
    <row r="305" spans="3:3" x14ac:dyDescent="0.2">
      <c r="C305" s="96" t="s">
        <v>1022</v>
      </c>
    </row>
    <row r="306" spans="3:3" x14ac:dyDescent="0.2">
      <c r="C306" s="96" t="s">
        <v>1023</v>
      </c>
    </row>
    <row r="307" spans="3:3" x14ac:dyDescent="0.2">
      <c r="C307" s="96" t="s">
        <v>1024</v>
      </c>
    </row>
    <row r="308" spans="3:3" x14ac:dyDescent="0.2">
      <c r="C308" s="96" t="s">
        <v>1025</v>
      </c>
    </row>
    <row r="309" spans="3:3" x14ac:dyDescent="0.2">
      <c r="C309" s="96" t="s">
        <v>1026</v>
      </c>
    </row>
    <row r="310" spans="3:3" x14ac:dyDescent="0.2">
      <c r="C310" s="96" t="s">
        <v>1027</v>
      </c>
    </row>
    <row r="311" spans="3:3" x14ac:dyDescent="0.2">
      <c r="C311" s="96" t="s">
        <v>1028</v>
      </c>
    </row>
    <row r="312" spans="3:3" x14ac:dyDescent="0.2">
      <c r="C312" s="96" t="s">
        <v>1029</v>
      </c>
    </row>
    <row r="313" spans="3:3" x14ac:dyDescent="0.2">
      <c r="C313" s="96" t="s">
        <v>1030</v>
      </c>
    </row>
    <row r="314" spans="3:3" x14ac:dyDescent="0.2">
      <c r="C314" s="96" t="s">
        <v>1031</v>
      </c>
    </row>
    <row r="315" spans="3:3" x14ac:dyDescent="0.2">
      <c r="C315" s="96" t="s">
        <v>1032</v>
      </c>
    </row>
    <row r="316" spans="3:3" x14ac:dyDescent="0.2">
      <c r="C316" s="96" t="s">
        <v>1033</v>
      </c>
    </row>
    <row r="317" spans="3:3" x14ac:dyDescent="0.2">
      <c r="C317" s="96" t="s">
        <v>1034</v>
      </c>
    </row>
    <row r="318" spans="3:3" x14ac:dyDescent="0.2">
      <c r="C318" s="96" t="s">
        <v>1035</v>
      </c>
    </row>
    <row r="319" spans="3:3" x14ac:dyDescent="0.2">
      <c r="C319" s="96" t="s">
        <v>1036</v>
      </c>
    </row>
    <row r="320" spans="3:3" x14ac:dyDescent="0.2">
      <c r="C320" s="96" t="s">
        <v>1037</v>
      </c>
    </row>
    <row r="321" spans="3:3" x14ac:dyDescent="0.2">
      <c r="C321" s="96" t="s">
        <v>1038</v>
      </c>
    </row>
    <row r="322" spans="3:3" x14ac:dyDescent="0.2">
      <c r="C322" s="96" t="s">
        <v>1039</v>
      </c>
    </row>
    <row r="323" spans="3:3" x14ac:dyDescent="0.2">
      <c r="C323" s="96" t="s">
        <v>1040</v>
      </c>
    </row>
    <row r="324" spans="3:3" x14ac:dyDescent="0.2">
      <c r="C324" s="96" t="s">
        <v>1041</v>
      </c>
    </row>
    <row r="325" spans="3:3" x14ac:dyDescent="0.2">
      <c r="C325" s="96" t="s">
        <v>1042</v>
      </c>
    </row>
    <row r="326" spans="3:3" x14ac:dyDescent="0.2">
      <c r="C326" s="96" t="s">
        <v>1043</v>
      </c>
    </row>
    <row r="327" spans="3:3" x14ac:dyDescent="0.2">
      <c r="C327" s="96" t="s">
        <v>1044</v>
      </c>
    </row>
    <row r="328" spans="3:3" x14ac:dyDescent="0.2">
      <c r="C328" s="96" t="s">
        <v>1045</v>
      </c>
    </row>
    <row r="329" spans="3:3" x14ac:dyDescent="0.2">
      <c r="C329" s="96" t="s">
        <v>1046</v>
      </c>
    </row>
    <row r="330" spans="3:3" x14ac:dyDescent="0.2">
      <c r="C330" s="96" t="s">
        <v>904</v>
      </c>
    </row>
    <row r="331" spans="3:3" x14ac:dyDescent="0.2">
      <c r="C331" s="96" t="s">
        <v>1047</v>
      </c>
    </row>
    <row r="332" spans="3:3" x14ac:dyDescent="0.2">
      <c r="C332" s="96" t="s">
        <v>1048</v>
      </c>
    </row>
    <row r="333" spans="3:3" x14ac:dyDescent="0.2">
      <c r="C333" s="96" t="s">
        <v>1049</v>
      </c>
    </row>
    <row r="334" spans="3:3" x14ac:dyDescent="0.2">
      <c r="C334" s="96" t="s">
        <v>1050</v>
      </c>
    </row>
    <row r="335" spans="3:3" x14ac:dyDescent="0.2">
      <c r="C335" s="96" t="s">
        <v>1051</v>
      </c>
    </row>
    <row r="336" spans="3:3" x14ac:dyDescent="0.2">
      <c r="C336" s="96" t="s">
        <v>1052</v>
      </c>
    </row>
    <row r="337" spans="3:3" x14ac:dyDescent="0.2">
      <c r="C337" s="96" t="s">
        <v>1053</v>
      </c>
    </row>
    <row r="338" spans="3:3" x14ac:dyDescent="0.2">
      <c r="C338" s="96" t="s">
        <v>1054</v>
      </c>
    </row>
    <row r="339" spans="3:3" x14ac:dyDescent="0.2">
      <c r="C339" s="96" t="s">
        <v>1055</v>
      </c>
    </row>
    <row r="340" spans="3:3" x14ac:dyDescent="0.2">
      <c r="C340" s="96" t="s">
        <v>1056</v>
      </c>
    </row>
    <row r="341" spans="3:3" x14ac:dyDescent="0.2">
      <c r="C341" s="96" t="s">
        <v>1057</v>
      </c>
    </row>
    <row r="342" spans="3:3" x14ac:dyDescent="0.2">
      <c r="C342" s="96" t="s">
        <v>1058</v>
      </c>
    </row>
    <row r="343" spans="3:3" x14ac:dyDescent="0.2">
      <c r="C343" s="96" t="s">
        <v>1059</v>
      </c>
    </row>
    <row r="344" spans="3:3" x14ac:dyDescent="0.2">
      <c r="C344" s="96" t="s">
        <v>1060</v>
      </c>
    </row>
    <row r="345" spans="3:3" x14ac:dyDescent="0.2">
      <c r="C345" s="96" t="s">
        <v>1061</v>
      </c>
    </row>
    <row r="346" spans="3:3" x14ac:dyDescent="0.2">
      <c r="C346" s="96" t="s">
        <v>1062</v>
      </c>
    </row>
    <row r="347" spans="3:3" x14ac:dyDescent="0.2">
      <c r="C347" s="96" t="s">
        <v>1063</v>
      </c>
    </row>
    <row r="348" spans="3:3" x14ac:dyDescent="0.2">
      <c r="C348" s="96" t="s">
        <v>1064</v>
      </c>
    </row>
    <row r="349" spans="3:3" x14ac:dyDescent="0.2">
      <c r="C349" s="96" t="s">
        <v>1065</v>
      </c>
    </row>
    <row r="350" spans="3:3" x14ac:dyDescent="0.2">
      <c r="C350" s="96" t="s">
        <v>1066</v>
      </c>
    </row>
    <row r="351" spans="3:3" x14ac:dyDescent="0.2">
      <c r="C351" s="96" t="s">
        <v>1067</v>
      </c>
    </row>
    <row r="352" spans="3:3" x14ac:dyDescent="0.2">
      <c r="C352" s="96" t="s">
        <v>1068</v>
      </c>
    </row>
    <row r="353" spans="3:3" x14ac:dyDescent="0.2">
      <c r="C353" s="96" t="s">
        <v>1069</v>
      </c>
    </row>
    <row r="354" spans="3:3" x14ac:dyDescent="0.2">
      <c r="C354" s="96" t="s">
        <v>1070</v>
      </c>
    </row>
    <row r="355" spans="3:3" x14ac:dyDescent="0.2">
      <c r="C355" s="96" t="s">
        <v>1071</v>
      </c>
    </row>
    <row r="356" spans="3:3" x14ac:dyDescent="0.2">
      <c r="C356" s="96" t="s">
        <v>1072</v>
      </c>
    </row>
    <row r="357" spans="3:3" x14ac:dyDescent="0.2">
      <c r="C357" s="96" t="s">
        <v>1073</v>
      </c>
    </row>
    <row r="358" spans="3:3" x14ac:dyDescent="0.2">
      <c r="C358" s="96" t="s">
        <v>1074</v>
      </c>
    </row>
    <row r="359" spans="3:3" x14ac:dyDescent="0.2">
      <c r="C359" s="96" t="s">
        <v>1075</v>
      </c>
    </row>
    <row r="360" spans="3:3" x14ac:dyDescent="0.2">
      <c r="C360" s="96" t="s">
        <v>1076</v>
      </c>
    </row>
    <row r="361" spans="3:3" x14ac:dyDescent="0.2">
      <c r="C361" s="96" t="s">
        <v>1077</v>
      </c>
    </row>
    <row r="362" spans="3:3" x14ac:dyDescent="0.2">
      <c r="C362" s="96" t="s">
        <v>1078</v>
      </c>
    </row>
    <row r="363" spans="3:3" x14ac:dyDescent="0.2">
      <c r="C363" s="96" t="s">
        <v>1079</v>
      </c>
    </row>
    <row r="364" spans="3:3" x14ac:dyDescent="0.2">
      <c r="C364" s="96" t="s">
        <v>1080</v>
      </c>
    </row>
    <row r="365" spans="3:3" x14ac:dyDescent="0.2">
      <c r="C365" s="96" t="s">
        <v>1081</v>
      </c>
    </row>
    <row r="366" spans="3:3" x14ac:dyDescent="0.2">
      <c r="C366" s="96" t="s">
        <v>1082</v>
      </c>
    </row>
    <row r="367" spans="3:3" x14ac:dyDescent="0.2">
      <c r="C367" s="96" t="s">
        <v>1083</v>
      </c>
    </row>
    <row r="368" spans="3:3" x14ac:dyDescent="0.2">
      <c r="C368" s="96" t="s">
        <v>1084</v>
      </c>
    </row>
    <row r="369" spans="3:3" x14ac:dyDescent="0.2">
      <c r="C369" s="96" t="s">
        <v>1085</v>
      </c>
    </row>
    <row r="370" spans="3:3" x14ac:dyDescent="0.2">
      <c r="C370" s="96" t="s">
        <v>1086</v>
      </c>
    </row>
    <row r="371" spans="3:3" x14ac:dyDescent="0.2">
      <c r="C371" s="96" t="s">
        <v>1087</v>
      </c>
    </row>
    <row r="372" spans="3:3" x14ac:dyDescent="0.2">
      <c r="C372" s="96" t="s">
        <v>1088</v>
      </c>
    </row>
    <row r="373" spans="3:3" x14ac:dyDescent="0.2">
      <c r="C373" s="96" t="s">
        <v>1089</v>
      </c>
    </row>
    <row r="374" spans="3:3" x14ac:dyDescent="0.2">
      <c r="C374" s="96" t="s">
        <v>1090</v>
      </c>
    </row>
    <row r="375" spans="3:3" x14ac:dyDescent="0.2">
      <c r="C375" s="96" t="s">
        <v>1091</v>
      </c>
    </row>
    <row r="376" spans="3:3" x14ac:dyDescent="0.2">
      <c r="C376" s="96" t="s">
        <v>1092</v>
      </c>
    </row>
    <row r="377" spans="3:3" x14ac:dyDescent="0.2">
      <c r="C377" s="96" t="s">
        <v>1093</v>
      </c>
    </row>
    <row r="378" spans="3:3" x14ac:dyDescent="0.2">
      <c r="C378" s="96" t="s">
        <v>1094</v>
      </c>
    </row>
    <row r="379" spans="3:3" x14ac:dyDescent="0.2">
      <c r="C379" s="96" t="s">
        <v>991</v>
      </c>
    </row>
    <row r="380" spans="3:3" x14ac:dyDescent="0.2">
      <c r="C380" s="96" t="s">
        <v>1095</v>
      </c>
    </row>
    <row r="381" spans="3:3" x14ac:dyDescent="0.2">
      <c r="C381" s="96" t="s">
        <v>1096</v>
      </c>
    </row>
    <row r="382" spans="3:3" x14ac:dyDescent="0.2">
      <c r="C382" s="96" t="s">
        <v>1097</v>
      </c>
    </row>
    <row r="383" spans="3:3" x14ac:dyDescent="0.2">
      <c r="C383" s="96" t="s">
        <v>1098</v>
      </c>
    </row>
    <row r="384" spans="3:3" x14ac:dyDescent="0.2">
      <c r="C384" s="96" t="s">
        <v>1099</v>
      </c>
    </row>
    <row r="385" spans="3:3" x14ac:dyDescent="0.2">
      <c r="C385" s="96" t="s">
        <v>1100</v>
      </c>
    </row>
    <row r="386" spans="3:3" x14ac:dyDescent="0.2">
      <c r="C386" s="96" t="s">
        <v>1101</v>
      </c>
    </row>
    <row r="387" spans="3:3" x14ac:dyDescent="0.2">
      <c r="C387" s="96" t="s">
        <v>1102</v>
      </c>
    </row>
    <row r="388" spans="3:3" x14ac:dyDescent="0.2">
      <c r="C388" s="96" t="s">
        <v>1103</v>
      </c>
    </row>
    <row r="389" spans="3:3" x14ac:dyDescent="0.2">
      <c r="C389" s="96" t="s">
        <v>1104</v>
      </c>
    </row>
    <row r="390" spans="3:3" x14ac:dyDescent="0.2">
      <c r="C390" s="96" t="s">
        <v>1105</v>
      </c>
    </row>
    <row r="391" spans="3:3" x14ac:dyDescent="0.2">
      <c r="C391" s="96" t="s">
        <v>1106</v>
      </c>
    </row>
    <row r="392" spans="3:3" x14ac:dyDescent="0.2">
      <c r="C392" s="96" t="s">
        <v>1107</v>
      </c>
    </row>
    <row r="393" spans="3:3" x14ac:dyDescent="0.2">
      <c r="C393" s="96" t="s">
        <v>1108</v>
      </c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42" location="Syncria!A1" display="Syncria" xr:uid="{00000000-0004-0000-0000-00001F010000}"/>
    <hyperlink ref="B43" location="'GSK436'!A1" display="GSK2118436" xr:uid="{00000000-0004-0000-0000-00000F010000}"/>
    <hyperlink ref="B48" location="'GSK572'!A1" display="1349572" xr:uid="{00000000-0004-0000-0000-00001C010000}"/>
    <hyperlink ref="B54" location="'GSK968'!A1" display="GSK2402968" xr:uid="{00000000-0004-0000-0000-000011010000}"/>
    <hyperlink ref="B28" location="Pandemrix!A1" display="Pandemrix" xr:uid="{00000000-0004-0000-0000-000017010000}"/>
    <hyperlink ref="B30" location="Serevent!A1" display="Serevent (salmeterol)" xr:uid="{00000000-0004-0000-0000-000014000000}"/>
    <hyperlink ref="B32" location="Valtrex!A1" display="Valtrex" xr:uid="{00000000-0004-0000-0000-000012000000}"/>
    <hyperlink ref="C148" r:id="rId1" display="http://www.gsk.com/media/pressreleases/2009/2009_pressrelease_10022.htm" xr:uid="{00000000-0004-0000-0000-000019000000}"/>
    <hyperlink ref="C149" r:id="rId2" display="http://www.gsk.com/media/pressreleases/2009/2009_pressrelease_10012.htm" xr:uid="{00000000-0004-0000-0000-00001A000000}"/>
    <hyperlink ref="C150" r:id="rId3" display="http://www.gsk.com/media/pressreleases/2009/2009_pressrelease_10011.htm" xr:uid="{00000000-0004-0000-0000-00001B000000}"/>
    <hyperlink ref="C151" r:id="rId4" display="http://www.gsk.com/media/pressreleases/2009/2009_pressrelease_10007.htm" xr:uid="{00000000-0004-0000-0000-00001C000000}"/>
    <hyperlink ref="C152" r:id="rId5" display="http://www.gsk.com/media/pressreleases/2008/2008_pressrelease_10149.htm" xr:uid="{00000000-0004-0000-0000-00001D000000}"/>
    <hyperlink ref="C153" r:id="rId6" display="http://www.gsk.com/media/pressreleases/2008/2008_pressrelease_10148.htm" xr:uid="{00000000-0004-0000-0000-00001E000000}"/>
    <hyperlink ref="C154" r:id="rId7" display="http://www.gsk.com/media/pressreleases/2008/2008_pressrelease_10137.htm" xr:uid="{00000000-0004-0000-0000-00001F000000}"/>
    <hyperlink ref="C155" r:id="rId8" display="http://www.gsk.com/media/pressreleases/2008/2008_us_pressrelease_10168.htm" xr:uid="{00000000-0004-0000-0000-000020000000}"/>
    <hyperlink ref="C156" r:id="rId9" display="http://www.gsk.com/media/pressreleases/2008/2008_pressrelease_10133.htm" xr:uid="{00000000-0004-0000-0000-000021000000}"/>
    <hyperlink ref="C157" r:id="rId10" display="http://www.gsk.com/media/pressreleases/2008/2008_pressrelease_10123.htm" xr:uid="{00000000-0004-0000-0000-000022000000}"/>
    <hyperlink ref="C158" r:id="rId11" display="http://www.gsk.com/media/pressreleases/2008/2008_pressrelease_10117.htm" xr:uid="{00000000-0004-0000-0000-000023000000}"/>
    <hyperlink ref="C159" r:id="rId12" display="http://www.gsk.com/media/pressreleases/2008/2008_pressrelease_10116.htm" xr:uid="{00000000-0004-0000-0000-000024000000}"/>
    <hyperlink ref="C160" r:id="rId13" display="http://www.gsk.com/media/pressreleases/2008/2008_pressrelease_10115.htm" xr:uid="{00000000-0004-0000-0000-000025000000}"/>
    <hyperlink ref="C161" r:id="rId14" display="http://www.gsk.com/media/pressreleases/2008/2008_pressrelease_10113.htm" xr:uid="{00000000-0004-0000-0000-000026000000}"/>
    <hyperlink ref="C162" r:id="rId15" display="http://www.gsk.com/media/pressreleases/2008/2008_pressrelease_10112.htm" xr:uid="{00000000-0004-0000-0000-000027000000}"/>
    <hyperlink ref="C163" r:id="rId16" display="http://www.gsk.com/media/pressreleases/2008/2008_pressrelease_10111.htm" xr:uid="{00000000-0004-0000-0000-000028000000}"/>
    <hyperlink ref="C164" r:id="rId17" display="http://www.gsk.com/media/pressreleases/2008/2008_pressrelease_10110.htm" xr:uid="{00000000-0004-0000-0000-000029000000}"/>
    <hyperlink ref="C165" r:id="rId18" display="http://www.gsk.com/media/pressreleases/2008/2008_pressrelease_10106.htm" xr:uid="{00000000-0004-0000-0000-00002A000000}"/>
    <hyperlink ref="C166" r:id="rId19" display="http://www.gsk.com/media/pressreleases/2008/2008_pressrelease_10107.htm" xr:uid="{00000000-0004-0000-0000-00002B000000}"/>
    <hyperlink ref="C167" r:id="rId20" display="http://www.gsk.com/media/pressreleases/2008/2008_pressrelease_10104.htm" xr:uid="{00000000-0004-0000-0000-00002C000000}"/>
    <hyperlink ref="C168" r:id="rId21" display="http://www.gsk.com/media/pressreleases/2008/2008_pressrelease_10103.htm" xr:uid="{00000000-0004-0000-0000-00002D000000}"/>
    <hyperlink ref="C169" r:id="rId22" display="http://www.gsk.com/media/pressreleases/2008/2008_pressrelease_10102.htm" xr:uid="{00000000-0004-0000-0000-00002E000000}"/>
    <hyperlink ref="C170" r:id="rId23" display="http://www.gsk.com/media/pressreleases/2008/2008_pressrelease_10098.htm" xr:uid="{00000000-0004-0000-0000-00002F000000}"/>
    <hyperlink ref="C171" r:id="rId24" display="http://www.gsk.com/media/pressreleases/2008/2008_pressrelease_10089.htm" xr:uid="{00000000-0004-0000-0000-000030000000}"/>
    <hyperlink ref="C172" r:id="rId25" display="http://www.gsk.com/media/pressreleases/2008/2008_pressrelease_10087.htm" xr:uid="{00000000-0004-0000-0000-000031000000}"/>
    <hyperlink ref="C173" r:id="rId26" display="http://www.gsk.com/media/pressreleases/2008/2008_pressrelease_10086.htm" xr:uid="{00000000-0004-0000-0000-000032000000}"/>
    <hyperlink ref="C174" r:id="rId27" display="http://www.gsk.com/media/pressreleases/2008/2008_pressrelease_10079.htm" xr:uid="{00000000-0004-0000-0000-000033000000}"/>
    <hyperlink ref="C175" r:id="rId28" display="http://www.gsk.com/media/pressreleases/2008/2008_pressrelease_10073.htm" xr:uid="{00000000-0004-0000-0000-000034000000}"/>
    <hyperlink ref="C176" r:id="rId29" display="http://www.gsk.com/media/pressreleases/2008/2008_pressrelease_10071.htm" xr:uid="{00000000-0004-0000-0000-000035000000}"/>
    <hyperlink ref="C177" r:id="rId30" display="http://www.gsk.com/media/pressreleases/2008/2008_pressrelease_10069.htm" xr:uid="{00000000-0004-0000-0000-000036000000}"/>
    <hyperlink ref="C178" r:id="rId31" display="http://www.gsk.com/media/pressreleases/2008/2008_pressrelease_10066.htm" xr:uid="{00000000-0004-0000-0000-000037000000}"/>
    <hyperlink ref="C179" r:id="rId32" display="http://www.gsk.com/media/pressreleases/2008/2008_pressrelease_10065.htm" xr:uid="{00000000-0004-0000-0000-000038000000}"/>
    <hyperlink ref="C180" r:id="rId33" display="http://www.gsk.com/media/pressreleases/2008/2008_pressrelease_10063.htm" xr:uid="{00000000-0004-0000-0000-000039000000}"/>
    <hyperlink ref="C181" r:id="rId34" display="http://www.gsk.com/media/pressreleases/2008/2008_pressrelease_10060.htm" xr:uid="{00000000-0004-0000-0000-00003A000000}"/>
    <hyperlink ref="C182" r:id="rId35" display="http://www.gsk.com/media/pressreleases/2008/2008_pressrelease_10059.htm" xr:uid="{00000000-0004-0000-0000-00003B000000}"/>
    <hyperlink ref="C183" r:id="rId36" display="http://www.gsk.com/media/pressreleases/2008/2008_pressrelease_10056.htm" xr:uid="{00000000-0004-0000-0000-00003C000000}"/>
    <hyperlink ref="C184" r:id="rId37" display="http://www.gsk.com/media/pressreleases/2008/2008_pressrelease_10057.htm" xr:uid="{00000000-0004-0000-0000-00003D000000}"/>
    <hyperlink ref="C185" r:id="rId38" display="http://www.gsk.com/media/pressreleases/2008/2008_pressrelease_10055.htm" xr:uid="{00000000-0004-0000-0000-00003E000000}"/>
    <hyperlink ref="C186" r:id="rId39" display="http://www.gsk.com/media/pressreleases/2008/2008_pressrelease_10053.htm" xr:uid="{00000000-0004-0000-0000-00003F000000}"/>
    <hyperlink ref="C187" r:id="rId40" display="http://www.gsk.com/media/pressreleases/2008/2008_pressrelease_10051.htm" xr:uid="{00000000-0004-0000-0000-000040000000}"/>
    <hyperlink ref="C188" r:id="rId41" display="http://www.gsk.com/media/pressreleases/2008/2008_pressrelease_10048.htm" xr:uid="{00000000-0004-0000-0000-000041000000}"/>
    <hyperlink ref="C189" r:id="rId42" display="http://www.gsk.com/media/pressreleases/2008/2008_pressrelease_10047.htm" xr:uid="{00000000-0004-0000-0000-000042000000}"/>
    <hyperlink ref="C190" r:id="rId43" display="http://www.gsk.com/media/pressreleases/2008/2008_pressrelease_10050.htm" xr:uid="{00000000-0004-0000-0000-000043000000}"/>
    <hyperlink ref="C191" r:id="rId44" display="http://www.gsk.com/media/pressreleases/2008/2008_pressrelease_10044.htm" xr:uid="{00000000-0004-0000-0000-000044000000}"/>
    <hyperlink ref="C192" r:id="rId45" display="http://www.gsk.com/media/pressreleases/2008/2008_pressrelease_10043.htm" xr:uid="{00000000-0004-0000-0000-000045000000}"/>
    <hyperlink ref="C193" r:id="rId46" display="http://www.gsk.com/media/pressreleases/2008/2008_pressrelease_10040.htm" xr:uid="{00000000-0004-0000-0000-000046000000}"/>
    <hyperlink ref="C194" r:id="rId47" display="http://www.gsk.com/media/pressreleases/2008/2008_pressrelease_10038.htm" xr:uid="{00000000-0004-0000-0000-000047000000}"/>
    <hyperlink ref="C195" r:id="rId48" display="http://www.gsk.com/media/pressreleases/2008/2008_pressrelease_10037.htm" xr:uid="{00000000-0004-0000-0000-000048000000}"/>
    <hyperlink ref="C196" r:id="rId49" display="http://www.gsk.com/media/pressreleases/2008/2008_pressrelease_10036.htm" xr:uid="{00000000-0004-0000-0000-000049000000}"/>
    <hyperlink ref="C197" r:id="rId50" display="http://www.gsk.com/media/pressreleases/2008/2008_pressrelease_10033.htm" xr:uid="{00000000-0004-0000-0000-00004A000000}"/>
    <hyperlink ref="C198" r:id="rId51" display="http://www.gsk.com/media/pressreleases/2008/2008_pressrelease_10034.htm" xr:uid="{00000000-0004-0000-0000-00004B000000}"/>
    <hyperlink ref="C199" r:id="rId52" display="http://www.gsk.com/media/pressreleases/2008/2008_pressrelease_10031.htm" xr:uid="{00000000-0004-0000-0000-00004C000000}"/>
    <hyperlink ref="C200" r:id="rId53" display="http://www.gsk.com/media/pressreleases/2008/2008_us_pressrelease_10038.htm" xr:uid="{00000000-0004-0000-0000-00004D000000}"/>
    <hyperlink ref="C201" r:id="rId54" display="http://www.gsk.com/media/pressreleases/2008/2008_pressrelease_10030.htm" xr:uid="{00000000-0004-0000-0000-00004E000000}"/>
    <hyperlink ref="C202" r:id="rId55" display="http://www.gsk.com/media/pressreleases/2008/2008_pressrelease_10029.htm" xr:uid="{00000000-0004-0000-0000-00004F000000}"/>
    <hyperlink ref="C203" r:id="rId56" display="http://www.gsk.com/media/pressreleases/2008/2008_pressrelease_10027.htm" xr:uid="{00000000-0004-0000-0000-000050000000}"/>
    <hyperlink ref="C204" r:id="rId57" display="http://www.gsk.com/media/pressreleases/2008/2008_us_pressrelease_10034.htm" xr:uid="{00000000-0004-0000-0000-000051000000}"/>
    <hyperlink ref="C205" r:id="rId58" display="http://www.gsk.com/media/pressreleases/2008/2008_pressrelease_10025.htm" xr:uid="{00000000-0004-0000-0000-000052000000}"/>
    <hyperlink ref="C206" r:id="rId59" display="http://www.gsk.com/media/pressreleases/2008/2008_pressrelease_10024.htm" xr:uid="{00000000-0004-0000-0000-000053000000}"/>
    <hyperlink ref="C207" r:id="rId60" display="http://www.gsk.com/media/pressreleases/2008/2008_pressrelease_10019.htm" xr:uid="{00000000-0004-0000-0000-000054000000}"/>
    <hyperlink ref="C208" r:id="rId61" display="http://www.gsk.com/media/pressreleases/2008/2008_pressrelease_10020.htm" xr:uid="{00000000-0004-0000-0000-000055000000}"/>
    <hyperlink ref="C209" r:id="rId62" display="http://www.gsk.com/media/pressreleases/2008/2008_pressrelease_0016.htm" xr:uid="{00000000-0004-0000-0000-000056000000}"/>
    <hyperlink ref="C210" r:id="rId63" display="http://www.gsk.com/media/pressreleases/2008/2008_pressrelease_0014.htm" xr:uid="{00000000-0004-0000-0000-000057000000}"/>
    <hyperlink ref="C211" r:id="rId64" display="http://www.gsk.com/media/pressreleases/2008/2008_pressrelease_0012.htm" xr:uid="{00000000-0004-0000-0000-000058000000}"/>
    <hyperlink ref="C212" r:id="rId65" display="http://www.gsk.com/media/pressreleases/2008/2008_pressrelease_0011.htm" xr:uid="{00000000-0004-0000-0000-000059000000}"/>
    <hyperlink ref="C213" r:id="rId66" display="http://www.gsk.com/media/pressreleases/2008/2008_pressrelease_0010.htm" xr:uid="{00000000-0004-0000-0000-00005A000000}"/>
    <hyperlink ref="C214" r:id="rId67" display="http://www.gsk.com/media/pressreleases/2008/2008_pressrelease_0008.htm" xr:uid="{00000000-0004-0000-0000-00005B000000}"/>
    <hyperlink ref="C215" r:id="rId68" display="http://www.gsk.com/media/pressreleases/2008/2008_pressrelease_0218.htm" xr:uid="{00000000-0004-0000-0000-00005C000000}"/>
    <hyperlink ref="C216" r:id="rId69" display="http://www.gsk.com/media/pressreleases/2008/2008_pressrelease_0118.htm" xr:uid="{00000000-0004-0000-0000-00005D000000}"/>
    <hyperlink ref="C217" r:id="rId70" display="http://www.gsk.com/media/pressreleases/2008/2008_us_pressrelease_0051.htm" xr:uid="{00000000-0004-0000-0000-00005E000000}"/>
    <hyperlink ref="C218" r:id="rId71" display="http://www.gsk.com/media/pressreleases/2008/2008_pressrelease_0116.htm" xr:uid="{00000000-0004-0000-0000-00005F000000}"/>
    <hyperlink ref="C219" r:id="rId72" display="http://www.gsk.com/media/pressreleases/2008/2008_pressrelease_0110.htm" xr:uid="{00000000-0004-0000-0000-000060000000}"/>
    <hyperlink ref="C220" r:id="rId73" display="http://www.gsk.com/media/pressreleases/2008/2008_pressrelease_0095.htm" xr:uid="{00000000-0004-0000-0000-000061000000}"/>
    <hyperlink ref="C221" r:id="rId74" display="http://www.gsk.com/media/pressreleases/2008/2008_pressrelease_0098.htm" xr:uid="{00000000-0004-0000-0000-000062000000}"/>
    <hyperlink ref="C222" r:id="rId75" display="http://www.gsk.com/media/pressreleases/2008/2008_pressrelease_0056.htm" xr:uid="{00000000-0004-0000-0000-000063000000}"/>
    <hyperlink ref="C223" r:id="rId76" display="http://www.gsk.com/media/pressreleases/2008/2008_pressrelease_0036.htm" xr:uid="{00000000-0004-0000-0000-000064000000}"/>
    <hyperlink ref="C224" r:id="rId77" display="http://www.gsk.com/media/pressreleases/2008/2008_pressrelease_0039.htm" xr:uid="{00000000-0004-0000-0000-000065000000}"/>
    <hyperlink ref="C225" r:id="rId78" display="http://www.gsk.com/media/pressreleases/2008/2008_pressrelease_0026.htm" xr:uid="{00000000-0004-0000-0000-000066000000}"/>
    <hyperlink ref="C226" r:id="rId79" display="http://www.gsk.com/media/pressreleases/2008/2008_pressrelease_0029.htm" xr:uid="{00000000-0004-0000-0000-000067000000}"/>
    <hyperlink ref="C227" r:id="rId80" display="http://www.gsk.com/media/pressreleases/2008/2008_pressrelease_0030.htm" xr:uid="{00000000-0004-0000-0000-000068000000}"/>
    <hyperlink ref="C228" r:id="rId81" display="http://www.gsk.com/media/pressreleases/2008/2008_pressrelease_0031.htm" xr:uid="{00000000-0004-0000-0000-000069000000}"/>
    <hyperlink ref="C229" r:id="rId82" display="http://www.gsk.com/media/pressreleases/2008/2008_pressrelease_0033.htm" xr:uid="{00000000-0004-0000-0000-00006A000000}"/>
    <hyperlink ref="C230" r:id="rId83" display="http://www.gsk.com/media/pressreleases/2008/2008_pressrelease_0025.htm" xr:uid="{00000000-0004-0000-0000-00006B000000}"/>
    <hyperlink ref="C231" r:id="rId84" display="http://www.gsk.com/media/pressreleases/2008/2008_pressrelease_0023.htm" xr:uid="{00000000-0004-0000-0000-00006C000000}"/>
    <hyperlink ref="C232" r:id="rId85" display="http://www.gsk.com/media/pressreleases/2008/2008_pressrelease_0024.htm" xr:uid="{00000000-0004-0000-0000-00006D000000}"/>
    <hyperlink ref="C233" r:id="rId86" display="http://www.gsk.com/media/pressreleases/2008/2008_pressrelease_0022.htm" xr:uid="{00000000-0004-0000-0000-00006E000000}"/>
    <hyperlink ref="C234" r:id="rId87" display="http://www.gsk.com/media/pressreleases/2007/2007_12_28_GSK1170.htm" xr:uid="{00000000-0004-0000-0000-00006F000000}"/>
    <hyperlink ref="C235" r:id="rId88" display="http://www.gsk.com/media/pressreleases/2007/2007_12_20_GSK1169.htm" xr:uid="{00000000-0004-0000-0000-000070000000}"/>
    <hyperlink ref="C236" r:id="rId89" display="http://www.gsk.com/media/pressreleases/2007/2007_12_19_GSK1167.htm" xr:uid="{00000000-0004-0000-0000-000071000000}"/>
    <hyperlink ref="C237" r:id="rId90" display="http://www.gsk.com/media/pressreleases/2007/2007_12_19_GSK1168.htm" xr:uid="{00000000-0004-0000-0000-000072000000}"/>
    <hyperlink ref="C238" r:id="rId91" display="http://www.gsk.com/media/pressreleases/2007/2007_12_17_GSK1165.htm" xr:uid="{00000000-0004-0000-0000-000073000000}"/>
    <hyperlink ref="C239" r:id="rId92" display="http://www.gsk.com/media/pressreleases/2007/2007_12_16_GSK1166.htm" xr:uid="{00000000-0004-0000-0000-000074000000}"/>
    <hyperlink ref="C240" r:id="rId93" display="http://www.gsk.com/media/pressreleases/2007/2007_12_14_GSK1164.htm" xr:uid="{00000000-0004-0000-0000-000075000000}"/>
    <hyperlink ref="C241" r:id="rId94" display="http://www.gsk.com/media/pressreleases/2007/2007_12_13_GSK1161.htm" xr:uid="{00000000-0004-0000-0000-000076000000}"/>
    <hyperlink ref="C242" r:id="rId95" display="http://www.gsk.com/media/pressreleases/2007/2007_12_11_GSK1159.htm" xr:uid="{00000000-0004-0000-0000-000077000000}"/>
    <hyperlink ref="C243" r:id="rId96" display="http://www.gsk.com/media/pressreleases/2007/2007_12_10_GSK1156.htm" xr:uid="{00000000-0004-0000-0000-000078000000}"/>
    <hyperlink ref="C244" r:id="rId97" display="http://www.gsk.com/media/pressreleases/2007/2007_12_10_GSK1157.htm" xr:uid="{00000000-0004-0000-0000-000079000000}"/>
    <hyperlink ref="C245" r:id="rId98" display="http://www.gsk.com/media/pressreleases/2007/2007_12_10_GSK1158.htm" xr:uid="{00000000-0004-0000-0000-00007A000000}"/>
    <hyperlink ref="C246" r:id="rId99" display="http://www.gsk.com/media/pressreleases/2007/2007_12_10_GSK1160.htm" xr:uid="{00000000-0004-0000-0000-00007B000000}"/>
    <hyperlink ref="C247" r:id="rId100" display="http://www.gsk.com/media/pressreleases/2007/2007_12_07_GSK1155.htm" xr:uid="{00000000-0004-0000-0000-00007C000000}"/>
    <hyperlink ref="C248" r:id="rId101" display="http://www.gsk.com/media/pressreleases/2007/2007_12_06_GSK1154.htm" xr:uid="{00000000-0004-0000-0000-00007D000000}"/>
    <hyperlink ref="C249" r:id="rId102" display="http://www.gsk.com/media/pressreleases/2007/2007_12_04_GSK1153.htm" xr:uid="{00000000-0004-0000-0000-00007E000000}"/>
    <hyperlink ref="C250" r:id="rId103" display="http://www.gsk.com/media/pressreleases/2007/2007_12_03_GSK1152.htm" xr:uid="{00000000-0004-0000-0000-00007F000000}"/>
    <hyperlink ref="C251" r:id="rId104" display="http://www.gsk.com/media/pressreleases/2007/2007_11_28_GSK1151.htm" xr:uid="{00000000-0004-0000-0000-000080000000}"/>
    <hyperlink ref="C252" r:id="rId105" display="http://www.gsk.com/media/pressreleases/2007/2007_11_26_GSK1149.htm" xr:uid="{00000000-0004-0000-0000-000081000000}"/>
    <hyperlink ref="C253" r:id="rId106" display="http://www.gsk.com/media/pressreleases/2007/2007_11_23_GSK1148.htm" xr:uid="{00000000-0004-0000-0000-000082000000}"/>
    <hyperlink ref="C254" r:id="rId107" display="http://www.gsk.com/media/pressreleases/2007/2007_11_21_GSK1147.htm" xr:uid="{00000000-0004-0000-0000-000083000000}"/>
    <hyperlink ref="C255" r:id="rId108" display="http://www.gsk.com/media/pressreleases/2007/2007_11_20_GSK1146.htm" xr:uid="{00000000-0004-0000-0000-000084000000}"/>
    <hyperlink ref="C256" r:id="rId109" display="http://www.gsk.com/media/pressreleases/2007/2007_11_15_GSK1145.htm" xr:uid="{00000000-0004-0000-0000-000085000000}"/>
    <hyperlink ref="C257" r:id="rId110" display="http://www.gsk.com/media/pressreleases/2007/2007_11_14_GSK1143.htm" xr:uid="{00000000-0004-0000-0000-000086000000}"/>
    <hyperlink ref="C258" r:id="rId111" display="http://www.gsk.com/media/pressreleases/2007/2007_11_07_GSK1141.htm" xr:uid="{00000000-0004-0000-0000-000087000000}"/>
    <hyperlink ref="C259" r:id="rId112" display="http://www.gsk.com/media/pressreleases/2007/2007_11_05_GSK1140.htm" xr:uid="{00000000-0004-0000-0000-000088000000}"/>
    <hyperlink ref="C260" r:id="rId113" display="http://www.gsk.com/media/pressreleases/2007/2007_11_05_GSK1142.htm" xr:uid="{00000000-0004-0000-0000-000089000000}"/>
    <hyperlink ref="C261" r:id="rId114" display="http://www.gsk.com/media/pressreleases/2007/2007_11_02_GSK1139.htm" xr:uid="{00000000-0004-0000-0000-00008A000000}"/>
    <hyperlink ref="C262" r:id="rId115" display="http://www.gsk.com/media/pressreleases/2007/2007_10_24_GSK1138.htm" xr:uid="{00000000-0004-0000-0000-00008B000000}"/>
    <hyperlink ref="C263" r:id="rId116" display="http://www.gsk.com/media/pressreleases/2007/2007_10_23_GSK1135.htm" xr:uid="{00000000-0004-0000-0000-00008C000000}"/>
    <hyperlink ref="C264" r:id="rId117" display="http://www.gsk.com/media/pressreleases/2007/2007_10_19_GSK1134.htm" xr:uid="{00000000-0004-0000-0000-00008D000000}"/>
    <hyperlink ref="C265" r:id="rId118" display="http://www.gsk.com/media/pressreleases/2007/2007_10_18_GSK1133.htm" xr:uid="{00000000-0004-0000-0000-00008E000000}"/>
    <hyperlink ref="C266" r:id="rId119" display="http://www.gsk.com/media/pressreleases/2007/2007_10_17_GSK1132.htm" xr:uid="{00000000-0004-0000-0000-00008F000000}"/>
    <hyperlink ref="C267" r:id="rId120" display="http://www.gsk.com/media/pressreleases/2007/2007_10_15_GSK1131.htm" xr:uid="{00000000-0004-0000-0000-000090000000}"/>
    <hyperlink ref="C268" r:id="rId121" display="http://www.gsk.com/media/pressreleases/2007/2007_10_10_GSK1130.htm" xr:uid="{00000000-0004-0000-0000-000091000000}"/>
    <hyperlink ref="C269" r:id="rId122" display="http://www.gsk.com/media/pressreleases/2007/2007_10_08_GSK1128.htm" xr:uid="{00000000-0004-0000-0000-000092000000}"/>
    <hyperlink ref="C270" r:id="rId123" display="http://www.gsk.com/media/pressreleases/2007/2007_10_08_GSK1129.htm" xr:uid="{00000000-0004-0000-0000-000093000000}"/>
    <hyperlink ref="C271" r:id="rId124" display="http://www.gsk.com/media/pressreleases/2007/2007_10_04_GSK1127.htm" xr:uid="{00000000-0004-0000-0000-000094000000}"/>
    <hyperlink ref="C272" r:id="rId125" display="http://www.gsk.com/media/pressreleases/2007/2007_10_02_GSK1123.htm" xr:uid="{00000000-0004-0000-0000-000095000000}"/>
    <hyperlink ref="C273" r:id="rId126" display="http://www.gsk.com/media/pressreleases/2007/2007_09_28_GSK1121.htm" xr:uid="{00000000-0004-0000-0000-000096000000}"/>
    <hyperlink ref="C274" r:id="rId127" display="http://www.gsk.com/media/pressreleases/2007/2007_09_28_GSK1122.htm" xr:uid="{00000000-0004-0000-0000-000097000000}"/>
    <hyperlink ref="C275" r:id="rId128" display="http://www.gsk.com/media/pressreleases/2007/2007_09_27_GSK1120.htm" xr:uid="{00000000-0004-0000-0000-000098000000}"/>
    <hyperlink ref="C276" r:id="rId129" display="http://www.gsk.com/media/pressreleases/2007/2007_09_24_GSK1117.htm" xr:uid="{00000000-0004-0000-0000-000099000000}"/>
    <hyperlink ref="C277" r:id="rId130" display="http://www.gsk.com/media/pressreleases/2007/2007_09_21_GSK1118.htm" xr:uid="{00000000-0004-0000-0000-00009A000000}"/>
    <hyperlink ref="C278" r:id="rId131" display="http://www.gsk.com/media/pressreleases/2007/2007_09_11_GSK1114.htm" xr:uid="{00000000-0004-0000-0000-00009B000000}"/>
    <hyperlink ref="C279" r:id="rId132" display="http://www.gsk.com/media/pressreleases/2007/2007_09_11_GSK1116.htm" xr:uid="{00000000-0004-0000-0000-00009C000000}"/>
    <hyperlink ref="C280" r:id="rId133" display="http://www.gsk.com/media/pressreleases/2007/2007_09_04_GSK1113.htm" xr:uid="{00000000-0004-0000-0000-00009D000000}"/>
    <hyperlink ref="C281" r:id="rId134" display="http://www.gsk.com/media/pressreleases/2007/2007_09_03_GSK1112.htm" xr:uid="{00000000-0004-0000-0000-00009E000000}"/>
    <hyperlink ref="C282" r:id="rId135" display="http://www.gsk.com/media/pressreleases/2007/2007_08_28_GSK1110.htm" xr:uid="{00000000-0004-0000-0000-00009F000000}"/>
    <hyperlink ref="C283" r:id="rId136" display="http://www.gsk.com/media/pressreleases/2007/2007_08_28_GSK1111.htm" xr:uid="{00000000-0004-0000-0000-0000A0000000}"/>
    <hyperlink ref="C284" r:id="rId137" display="http://www.gsk.com/media/pressreleases/2007/2007_08_16_GSK1109.htm" xr:uid="{00000000-0004-0000-0000-0000A1000000}"/>
    <hyperlink ref="C285" r:id="rId138" display="http://www.gsk.com/media/pressreleases/2007/2007_08_14_GSK1107.htm" xr:uid="{00000000-0004-0000-0000-0000A2000000}"/>
    <hyperlink ref="C286" r:id="rId139" display="http://www.gsk.com/media/pressreleases/2007/2007_08_14_GSK1108.htm" xr:uid="{00000000-0004-0000-0000-0000A3000000}"/>
    <hyperlink ref="C287" r:id="rId140" display="http://www.gsk.com/media/pressreleases/2007/2007_08_08_GSK1105.htm" xr:uid="{00000000-0004-0000-0000-0000A4000000}"/>
    <hyperlink ref="C288" r:id="rId141" display="http://www.gsk.com/media/pressreleases/2007/2007_08_08_GSK1106.htm" xr:uid="{00000000-0004-0000-0000-0000A5000000}"/>
    <hyperlink ref="C289" r:id="rId142" display="http://www.gsk.com/media/pressreleases/2007/2007_08_03_GSK1104.htm" xr:uid="{00000000-0004-0000-0000-0000A6000000}"/>
    <hyperlink ref="C290" r:id="rId143" display="http://www.gsk.com/media/pressreleases/2007/2007_08_02_GSK1102.htm" xr:uid="{00000000-0004-0000-0000-0000A7000000}"/>
    <hyperlink ref="C291" r:id="rId144" display="http://www.gsk.com/media/pressreleases/2007/2007_08_02_GSK1103.htm" xr:uid="{00000000-0004-0000-0000-0000A8000000}"/>
    <hyperlink ref="C292" r:id="rId145" display="http://www.gsk.com/media/pressreleases/2007/2007_07_30_GSK1099.htm" xr:uid="{00000000-0004-0000-0000-0000A9000000}"/>
    <hyperlink ref="C293" r:id="rId146" display="http://www.gsk.com/media/pressreleases/2007/2007_07_30_GSK1100.htm" xr:uid="{00000000-0004-0000-0000-0000AA000000}"/>
    <hyperlink ref="C294" r:id="rId147" display="http://www.gsk.com/media/pressreleases/2007/2007_07_30_GSK1101.htm" xr:uid="{00000000-0004-0000-0000-0000AB000000}"/>
    <hyperlink ref="C295" r:id="rId148" display="http://www.gsk.com/media/pressreleases/2007/2007_07_27_GSK1097.htm" xr:uid="{00000000-0004-0000-0000-0000AC000000}"/>
    <hyperlink ref="C296" r:id="rId149" display="http://www.gsk.com/media/pressreleases/2007/2007_07_27_GSK1098.htm" xr:uid="{00000000-0004-0000-0000-0000AD000000}"/>
    <hyperlink ref="C297" r:id="rId150" display="http://www.gsk.com/media/pressreleases/2007/2007_07_25_GSK1095.htm" xr:uid="{00000000-0004-0000-0000-0000AE000000}"/>
    <hyperlink ref="C298" r:id="rId151" display="http://www.gsk.com/media/pressreleases/2007/2007_07_25_GSK1096.htm" xr:uid="{00000000-0004-0000-0000-0000AF000000}"/>
    <hyperlink ref="C299" r:id="rId152" display="http://www.gsk.com/media/pressreleases/2007/2007_07_18_GSK1094.htm" xr:uid="{00000000-0004-0000-0000-0000B0000000}"/>
    <hyperlink ref="C300" r:id="rId153" display="http://www.gsk.com/media/pressreleases/2007/2007_07_17_GSK1093.htm" xr:uid="{00000000-0004-0000-0000-0000B1000000}"/>
    <hyperlink ref="C301" r:id="rId154" display="http://www.gsk.com/media/pressreleases/2007/2007_07_09_GSK1092.htm" xr:uid="{00000000-0004-0000-0000-0000B2000000}"/>
    <hyperlink ref="C302" r:id="rId155" display="http://www.gsk.com/media/pressreleases/2007/2007_06_27_GSK1089.htm" xr:uid="{00000000-0004-0000-0000-0000B3000000}"/>
    <hyperlink ref="C303" r:id="rId156" display="http://www.gsk.com/media/pressreleases/2007/2007_06_25_GSK1088.htm" xr:uid="{00000000-0004-0000-0000-0000B4000000}"/>
    <hyperlink ref="C304" r:id="rId157" display="http://www.gsk.com/media/pressreleases/2007/2007_06_24_GSK1091.htm" xr:uid="{00000000-0004-0000-0000-0000B5000000}"/>
    <hyperlink ref="C305" r:id="rId158" display="http://www.gsk.com/media/pressreleases/2007/2007_06_22_GSK1087.htm" xr:uid="{00000000-0004-0000-0000-0000B6000000}"/>
    <hyperlink ref="C306" r:id="rId159" display="http://www.gsk.com/media/pressreleases/2007/2007_06_18_GSK1086.htm" xr:uid="{00000000-0004-0000-0000-0000B7000000}"/>
    <hyperlink ref="C307" r:id="rId160" display="http://www.gsk.com/media/pressreleases/2007/2007_06_15_GSK1085.htm" xr:uid="{00000000-0004-0000-0000-0000B8000000}"/>
    <hyperlink ref="C308" r:id="rId161" display="http://www.gsk.com/media/pressreleases/2007/2007_06_13_GSK1080.htm" xr:uid="{00000000-0004-0000-0000-0000B9000000}"/>
    <hyperlink ref="C309" r:id="rId162" display="http://www.gsk.com/media/pressreleases/2007/2007_06_13_GSK1082.htm" xr:uid="{00000000-0004-0000-0000-0000BA000000}"/>
    <hyperlink ref="C310" r:id="rId163" display="http://www.gsk.com/media/pressreleases/2007/2007_06_13_GSK1084.htm" xr:uid="{00000000-0004-0000-0000-0000BB000000}"/>
    <hyperlink ref="C311" r:id="rId164" display="http://www.gsk.com/media/pressreleases/2007/2007_06_12_GSK1079.htm" xr:uid="{00000000-0004-0000-0000-0000BC000000}"/>
    <hyperlink ref="C312" r:id="rId165" display="http://www.gsk.com/media/pressreleases/2007/2007_06_12_GSK1081.htm" xr:uid="{00000000-0004-0000-0000-0000BD000000}"/>
    <hyperlink ref="C313" r:id="rId166" display="http://www.gsk.com/media/pressreleases/2007/2007_06_11_GSK1076.htm" xr:uid="{00000000-0004-0000-0000-0000BE000000}"/>
    <hyperlink ref="C314" r:id="rId167" display="http://www.gsk.com/media/pressreleases/2007/2007_06_09_GSK1075.htm" xr:uid="{00000000-0004-0000-0000-0000BF000000}"/>
    <hyperlink ref="C315" r:id="rId168" display="http://www.gsk.com/media/pressreleases/2007/2007_06_06_GSK1066.htm" xr:uid="{00000000-0004-0000-0000-0000C0000000}"/>
    <hyperlink ref="C316" r:id="rId169" display="http://www.gsk.com/media/pressreleases/2007/2007_06_06_GSK1067.htm" xr:uid="{00000000-0004-0000-0000-0000C1000000}"/>
    <hyperlink ref="C317" r:id="rId170" display="http://www.gsk.com/media/pressreleases/2007/2007_06_05_GSK1057.htm" xr:uid="{00000000-0004-0000-0000-0000C2000000}"/>
    <hyperlink ref="C318" r:id="rId171" display="http://www.gsk.com/media/pressreleases/2007/2007_06_05_GSK1058.htm" xr:uid="{00000000-0004-0000-0000-0000C3000000}"/>
    <hyperlink ref="C319" r:id="rId172" display="http://www.gsk.com/media/pressreleases/2007/2007_06_05_GSK1062.htm" xr:uid="{00000000-0004-0000-0000-0000C4000000}"/>
    <hyperlink ref="C320" r:id="rId173" display="http://www.gsk.com/media/pressreleases/2007/2007_06_05_GSK1063.htm" xr:uid="{00000000-0004-0000-0000-0000C5000000}"/>
    <hyperlink ref="C321" r:id="rId174" display="http://www.gsk.com/media/pressreleases/2007/2007_06_04_GSK1055.htm" xr:uid="{00000000-0004-0000-0000-0000C6000000}"/>
    <hyperlink ref="C322" r:id="rId175" display="http://www.gsk.com/media/pressreleases/2007/2007_06_04_GSK1056.htm" xr:uid="{00000000-0004-0000-0000-0000C7000000}"/>
    <hyperlink ref="C323" r:id="rId176" display="http://www.gsk.com/media/pressreleases/2007/2007_06_03_GSK1054.htm" xr:uid="{00000000-0004-0000-0000-0000C8000000}"/>
    <hyperlink ref="C324" r:id="rId177" display="http://www.gsk.com/media/pressreleases/2007/2007_06_01_GSK1053.htm" xr:uid="{00000000-0004-0000-0000-0000C9000000}"/>
    <hyperlink ref="C325" r:id="rId178" display="http://www.gsk.com/media/pressreleases/2007/2007_06_01_GSK1061.htm" xr:uid="{00000000-0004-0000-0000-0000CA000000}"/>
    <hyperlink ref="C326" r:id="rId179" display="http://www.gsk.com/media/pressreleases/2007/2007_05_30_GSK1052.htm" xr:uid="{00000000-0004-0000-0000-0000CB000000}"/>
    <hyperlink ref="C327" r:id="rId180" display="http://www.gsk.com/media/pressreleases/2007/2007_05_25_GSK1045.htm" xr:uid="{00000000-0004-0000-0000-0000CC000000}"/>
    <hyperlink ref="C328" r:id="rId181" display="http://www.gsk.com/media/pressreleases/2007/2007_05_24_GSK1043.htm" xr:uid="{00000000-0004-0000-0000-0000CD000000}"/>
    <hyperlink ref="C329" r:id="rId182" display="http://www.gsk.com/media/pressreleases/2007/2007_05_23_GSK1041.htm" xr:uid="{00000000-0004-0000-0000-0000CE000000}"/>
    <hyperlink ref="C330" r:id="rId183" display="http://www.gsk.com/media/pressreleases/2007/2007_05_23_GSK1042.htm" xr:uid="{00000000-0004-0000-0000-0000CF000000}"/>
    <hyperlink ref="C331" r:id="rId184" display="http://www.gsk.com/media/pressreleases/2007/2007_05_22_GSK1040.htm" xr:uid="{00000000-0004-0000-0000-0000D0000000}"/>
    <hyperlink ref="C332" r:id="rId185" display="http://www.gsk.com/media/pressreleases/2007/2007_05_21_GSK1037.htm" xr:uid="{00000000-0004-0000-0000-0000D1000000}"/>
    <hyperlink ref="C333" r:id="rId186" display="http://www.gsk.com/media/pressreleases/2007/2007_05_21_GSK1038.htm" xr:uid="{00000000-0004-0000-0000-0000D2000000}"/>
    <hyperlink ref="C334" r:id="rId187" display="http://www.gsk.com/media/pressreleases/2007/2007_05_21_GSK1039.htm" xr:uid="{00000000-0004-0000-0000-0000D3000000}"/>
    <hyperlink ref="C335" r:id="rId188" display="http://www.gsk.com/media/pressreleases/2007/2007_05_17_GSK1036.htm" xr:uid="{00000000-0004-0000-0000-0000D4000000}"/>
    <hyperlink ref="C336" r:id="rId189" display="http://www.gsk.com/media/pressreleases/2007/2007_05_11_GSK1031.htm" xr:uid="{00000000-0004-0000-0000-0000D5000000}"/>
    <hyperlink ref="C337" r:id="rId190" display="http://www.gsk.com/media/pressreleases/2007/2007_05_10_GSK1029.htm" xr:uid="{00000000-0004-0000-0000-0000D6000000}"/>
    <hyperlink ref="C338" r:id="rId191" display="http://www.gsk.com/media/pressreleases/2007/2007_05_08_GSK1028.htm" xr:uid="{00000000-0004-0000-0000-0000D7000000}"/>
    <hyperlink ref="C339" r:id="rId192" display="http://www.gsk.com/media/pressreleases/2007/2007_05_07_GSK1027.htm" xr:uid="{00000000-0004-0000-0000-0000D8000000}"/>
    <hyperlink ref="C340" r:id="rId193" display="http://www.gsk.com/media/pressreleases/2007/2007_05_02_GSK1024.htm" xr:uid="{00000000-0004-0000-0000-0000D9000000}"/>
    <hyperlink ref="C341" r:id="rId194" display="http://www.gsk.com/media/pressreleases/2007/2007_05_02_GSK1025.htm" xr:uid="{00000000-0004-0000-0000-0000DA000000}"/>
    <hyperlink ref="C342" r:id="rId195" display="http://www.gsk.com/media/pressreleases/2007/2007_05_01_GSK1022.htm" xr:uid="{00000000-0004-0000-0000-0000DB000000}"/>
    <hyperlink ref="C343" r:id="rId196" display="http://www.gsk.com/media/pressreleases/2007/2007_05_01_GSK1023.htm" xr:uid="{00000000-0004-0000-0000-0000DC000000}"/>
    <hyperlink ref="C344" r:id="rId197" display="http://www.gsk.com/media/pressreleases/2007/2007_04_30_GSK1021.htm" xr:uid="{00000000-0004-0000-0000-0000DD000000}"/>
    <hyperlink ref="C345" r:id="rId198" display="http://www.gsk.com/media/pressreleases/2007/2007_04_27_GSK1020.htm" xr:uid="{00000000-0004-0000-0000-0000DE000000}"/>
    <hyperlink ref="C346" r:id="rId199" display="http://www.gsk.com/media/pressreleases/2007/2007_04_25_GSK1018.htm" xr:uid="{00000000-0004-0000-0000-0000DF000000}"/>
    <hyperlink ref="C347" r:id="rId200" display="http://www.gsk.com/media/pressreleases/2007/2007_04_18_GSK1016.htm" xr:uid="{00000000-0004-0000-0000-0000E0000000}"/>
    <hyperlink ref="C348" r:id="rId201" display="http://www.gsk.com/media/pressreleases/2007/2007_04_18_GSK1017.htm" xr:uid="{00000000-0004-0000-0000-0000E1000000}"/>
    <hyperlink ref="C349" r:id="rId202" display="http://www.gsk.com/media/pressreleases/2007/2007_04_17_GSK1015.htm" xr:uid="{00000000-0004-0000-0000-0000E2000000}"/>
    <hyperlink ref="C350" r:id="rId203" display="http://www.gsk.com/media/pressreleases/2007/2007_04_12_GSK1013.htm" xr:uid="{00000000-0004-0000-0000-0000E3000000}"/>
    <hyperlink ref="C351" r:id="rId204" display="http://www.gsk.com/media/pressreleases/2007/2007_04_12_GSK1014.htm" xr:uid="{00000000-0004-0000-0000-0000E4000000}"/>
    <hyperlink ref="C352" r:id="rId205" display="http://www.gsk.com/media/pressreleases/2007/2007_04_09_GSK1012.htm" xr:uid="{00000000-0004-0000-0000-0000E5000000}"/>
    <hyperlink ref="C353" r:id="rId206" display="http://www.gsk.com/media/pressreleases/2007/2007_04_03_GSK1010.htm" xr:uid="{00000000-0004-0000-0000-0000E6000000}"/>
    <hyperlink ref="C354" r:id="rId207" display="http://www.gsk.com/media/pressreleases/2007/2007_04_03_GSK1011.htm" xr:uid="{00000000-0004-0000-0000-0000E7000000}"/>
    <hyperlink ref="C355" r:id="rId208" display="http://www.gsk.com/media/pressreleases/2007/2007_04_02_GSK1008.htm" xr:uid="{00000000-0004-0000-0000-0000E8000000}"/>
    <hyperlink ref="C356" r:id="rId209" display="http://www.gsk.com/media/pressreleases/2007/2007_04_02_GSK1009.htm" xr:uid="{00000000-0004-0000-0000-0000E9000000}"/>
    <hyperlink ref="C357" r:id="rId210" display="http://www.gsk.com/media/pressreleases/2007/2007_03_30_GSK1006.htm" xr:uid="{00000000-0004-0000-0000-0000EA000000}"/>
    <hyperlink ref="C358" r:id="rId211" display="http://www.gsk.com/media/pressreleases/2007/2007_03_29_GSK1000.htm" xr:uid="{00000000-0004-0000-0000-0000EB000000}"/>
    <hyperlink ref="C359" r:id="rId212" display="http://www.gsk.com/media/pressreleases/2007/2007_03_29_GSK999.htm" xr:uid="{00000000-0004-0000-0000-0000EC000000}"/>
    <hyperlink ref="C360" r:id="rId213" display="http://www.gsk.com/media/pressreleases/2007/2007_03_26_GSK998.htm" xr:uid="{00000000-0004-0000-0000-0000ED000000}"/>
    <hyperlink ref="C361" r:id="rId214" display="http://www.gsk.com/media/pressreleases/2007/2007_03_23_GSK997.htm" xr:uid="{00000000-0004-0000-0000-0000EE000000}"/>
    <hyperlink ref="C362" r:id="rId215" display="http://www.gsk.com/media/pressreleases/2007/2007_03_22_GSK995.htm" xr:uid="{00000000-0004-0000-0000-0000EF000000}"/>
    <hyperlink ref="C363" r:id="rId216" display="http://www.gsk.com/media/pressreleases/2007/2007_03_22_GSK996.htm" xr:uid="{00000000-0004-0000-0000-0000F0000000}"/>
    <hyperlink ref="C364" r:id="rId217" display="http://www.gsk.com/media/pressreleases/2007/2007_03_20_GSK994.htm" xr:uid="{00000000-0004-0000-0000-0000F1000000}"/>
    <hyperlink ref="C365" r:id="rId218" display="http://www.gsk.com/media/pressreleases/2007/2007_03_13_GSK993.htm" xr:uid="{00000000-0004-0000-0000-0000F2000000}"/>
    <hyperlink ref="C366" r:id="rId219" display="http://www.gsk.com/media/pressreleases/2007/2007_03_09_GSK992.htm" xr:uid="{00000000-0004-0000-0000-0000F3000000}"/>
    <hyperlink ref="C367" r:id="rId220" display="http://www.gsk.com/media/pressreleases/2007/2007_03_05_GSK989.htm" xr:uid="{00000000-0004-0000-0000-0000F4000000}"/>
    <hyperlink ref="C368" r:id="rId221" display="http://www.gsk.com/media/pressreleases/2007/2007_03_01_GSK987.htm" xr:uid="{00000000-0004-0000-0000-0000F5000000}"/>
    <hyperlink ref="C369" r:id="rId222" display="http://www.gsk.com/media/pressreleases/2007/2007_02_27_GSK986.htm" xr:uid="{00000000-0004-0000-0000-0000F6000000}"/>
    <hyperlink ref="C370" r:id="rId223" display="http://www.gsk.com/media/pressreleases/2007/2007_02_26_GSK985.htm" xr:uid="{00000000-0004-0000-0000-0000F7000000}"/>
    <hyperlink ref="C371" r:id="rId224" display="http://www.gsk.com/media/pressreleases/2007/2007_02_21_GSK984.htm" xr:uid="{00000000-0004-0000-0000-0000F8000000}"/>
    <hyperlink ref="C372" r:id="rId225" display="http://www.gsk.com/media/pressreleases/2007/2007_02_20_GSK980.htm" xr:uid="{00000000-0004-0000-0000-0000F9000000}"/>
    <hyperlink ref="C373" r:id="rId226" display="http://www.gsk.com/media/pressreleases/2007/2007_02_20_GSK981.htm" xr:uid="{00000000-0004-0000-0000-0000FA000000}"/>
    <hyperlink ref="C374" r:id="rId227" display="http://www.gsk.com/media/pressreleases/2007/2007_02_16_GSK978.htm" xr:uid="{00000000-0004-0000-0000-0000FB000000}"/>
    <hyperlink ref="C375" r:id="rId228" display="http://www.gsk.com/media/pressreleases/2007/2007_02_16_GSK979.htm" xr:uid="{00000000-0004-0000-0000-0000FC000000}"/>
    <hyperlink ref="C376" r:id="rId229" display="http://www.gsk.com/media/pressreleases/2007/2007_02_13_GSK975.htm" xr:uid="{00000000-0004-0000-0000-0000FD000000}"/>
    <hyperlink ref="C377" r:id="rId230" display="http://www.gsk.com/media/pressreleases/2007/2007_02_13_GSK976.htm" xr:uid="{00000000-0004-0000-0000-0000FE000000}"/>
    <hyperlink ref="C378" r:id="rId231" display="http://www.gsk.com/media/pressreleases/2007/2007_02_13_GSK977.htm" xr:uid="{00000000-0004-0000-0000-0000FF000000}"/>
    <hyperlink ref="C379" r:id="rId232" display="http://www.gsk.com/media/pressreleases/2007/2007_02_12_GSK974.htm" xr:uid="{00000000-0004-0000-0000-000000010000}"/>
    <hyperlink ref="C380" r:id="rId233" display="http://www.gsk.com/media/pressreleases/2007/2007_02_09_GSK973.htm" xr:uid="{00000000-0004-0000-0000-000001010000}"/>
    <hyperlink ref="C381" r:id="rId234" display="http://www.gsk.com/media/pressreleases/2007/2007_02_08_GSK968.htm" xr:uid="{00000000-0004-0000-0000-000002010000}"/>
    <hyperlink ref="C382" r:id="rId235" display="http://www.gsk.com/media/pressreleases/2007/2007_02_08_GSK969.htm" xr:uid="{00000000-0004-0000-0000-000003010000}"/>
    <hyperlink ref="C383" r:id="rId236" display="http://www.gsk.com/media/pressreleases/2007/2007_02_08_GSK970.htm" xr:uid="{00000000-0004-0000-0000-000004010000}"/>
    <hyperlink ref="C384" r:id="rId237" display="http://www.gsk.com/media/pressreleases/2007/2007_02_07_GSK965.htm" xr:uid="{00000000-0004-0000-0000-000005010000}"/>
    <hyperlink ref="C385" r:id="rId238" display="http://www.gsk.com/media/pressreleases/2007/2007_02_07_GSK966.htm" xr:uid="{00000000-0004-0000-0000-000006010000}"/>
    <hyperlink ref="C386" r:id="rId239" display="http://www.gsk.com/media/pressreleases/2007/2007_02_02_GSK963.htm" xr:uid="{00000000-0004-0000-0000-000007010000}"/>
    <hyperlink ref="C387" r:id="rId240" display="http://www.gsk.com/media/pressreleases/2007/2007_02_02_GSK964.htm" xr:uid="{00000000-0004-0000-0000-000008010000}"/>
    <hyperlink ref="C388" r:id="rId241" display="http://www.gsk.com/media/pressreleases/2007/2007_01_29_GSK960.htm" xr:uid="{00000000-0004-0000-0000-000009010000}"/>
    <hyperlink ref="C389" r:id="rId242" display="http://www.gsk.com/media/pressreleases/2007/2007_01_29_GSK961.htm" xr:uid="{00000000-0004-0000-0000-00000A010000}"/>
    <hyperlink ref="C390" r:id="rId243" display="http://www.gsk.com/media/pressreleases/2007/2007_01_18_GSK959.htm" xr:uid="{00000000-0004-0000-0000-00000B010000}"/>
    <hyperlink ref="C391" r:id="rId244" display="http://www.gsk.com/media/pressreleases/2007/2007_01_17_GSK957.htm" xr:uid="{00000000-0004-0000-0000-00000C010000}"/>
    <hyperlink ref="C392" r:id="rId245" display="http://www.gsk.com/media/pressreleases/2007/2007_01_16_GSK956.htm" xr:uid="{00000000-0004-0000-0000-00000D010000}"/>
    <hyperlink ref="C393" r:id="rId246" display="http://www.gsk.com/media/pressreleases/2007/2007_01_09_GSK955.htm" xr:uid="{00000000-0004-0000-0000-00000E010000}"/>
    <hyperlink ref="B37" location="Allermist!A1" display="Allermist" xr:uid="{00000000-0004-0000-0000-000005000000}"/>
    <hyperlink ref="B33" location="Lamictal!A1" display="Lamictal  (lamotrigine)" xr:uid="{00000000-0004-0000-0000-00000F000000}"/>
    <hyperlink ref="B34" location="Lamictal!A1" display="Lamictal XR" xr:uid="{00000000-0004-0000-0000-000010000000}"/>
    <hyperlink ref="B35" location="Avodart!A1" display="Avodart (dutasteride)" xr:uid="{00000000-0004-0000-0000-000016000000}"/>
    <hyperlink ref="B36" location="Avodart!A1" display="Jalyn (dutasteride/tamsulosin)" xr:uid="{00000000-0004-0000-0000-000018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65" t="s">
        <v>72</v>
      </c>
    </row>
    <row r="3" spans="1:3" x14ac:dyDescent="0.2">
      <c r="B3" s="65" t="s">
        <v>154</v>
      </c>
      <c r="C3" s="65" t="s">
        <v>573</v>
      </c>
    </row>
    <row r="4" spans="1:3" x14ac:dyDescent="0.2">
      <c r="B4" s="65" t="s">
        <v>0</v>
      </c>
      <c r="C4" s="65" t="s">
        <v>71</v>
      </c>
    </row>
    <row r="5" spans="1:3" x14ac:dyDescent="0.2">
      <c r="B5" s="65" t="s">
        <v>3</v>
      </c>
      <c r="C5" s="65" t="s">
        <v>575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ColWidth="8.85546875" defaultRowHeight="12.75" x14ac:dyDescent="0.2"/>
  <cols>
    <col min="1" max="1" width="10.85546875" bestFit="1" customWidth="1"/>
    <col min="2" max="10" width="6.7109375" bestFit="1" customWidth="1"/>
    <col min="11" max="13" width="6.42578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x14ac:dyDescent="0.2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x14ac:dyDescent="0.2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">
      <c r="A8" s="4" t="s">
        <v>106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112" t="s">
        <v>1204</v>
      </c>
    </row>
    <row r="3" spans="1:3" x14ac:dyDescent="0.2">
      <c r="B3" s="112" t="s">
        <v>154</v>
      </c>
      <c r="C3" s="112" t="s">
        <v>1205</v>
      </c>
    </row>
    <row r="4" spans="1:3" x14ac:dyDescent="0.2">
      <c r="B4" s="65" t="s">
        <v>0</v>
      </c>
      <c r="C4" s="65" t="s">
        <v>821</v>
      </c>
    </row>
    <row r="5" spans="1:3" x14ac:dyDescent="0.2">
      <c r="B5" s="65" t="s">
        <v>174</v>
      </c>
      <c r="C5" s="112" t="s">
        <v>822</v>
      </c>
    </row>
    <row r="6" spans="1:3" x14ac:dyDescent="0.2">
      <c r="B6" s="65"/>
      <c r="C6" s="112" t="s">
        <v>1186</v>
      </c>
    </row>
    <row r="7" spans="1:3" x14ac:dyDescent="0.2">
      <c r="B7" s="65"/>
      <c r="C7" s="112" t="s">
        <v>1206</v>
      </c>
    </row>
    <row r="8" spans="1:3" x14ac:dyDescent="0.2">
      <c r="B8" s="65"/>
      <c r="C8" s="112" t="s">
        <v>1258</v>
      </c>
    </row>
    <row r="9" spans="1:3" x14ac:dyDescent="0.2">
      <c r="B9" s="65"/>
      <c r="C9" s="112" t="s">
        <v>1259</v>
      </c>
    </row>
    <row r="10" spans="1:3" x14ac:dyDescent="0.2">
      <c r="B10" s="65" t="s">
        <v>3</v>
      </c>
      <c r="C10" s="65" t="s">
        <v>823</v>
      </c>
    </row>
    <row r="11" spans="1:3" x14ac:dyDescent="0.2">
      <c r="B11" s="112" t="s">
        <v>169</v>
      </c>
    </row>
    <row r="12" spans="1:3" x14ac:dyDescent="0.2">
      <c r="C12" s="113" t="s">
        <v>1187</v>
      </c>
    </row>
    <row r="16" spans="1:3" x14ac:dyDescent="0.2">
      <c r="C16" s="113" t="s">
        <v>1295</v>
      </c>
    </row>
    <row r="17" spans="3:3" x14ac:dyDescent="0.2">
      <c r="C17" s="112" t="s">
        <v>1294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ColWidth="8.85546875" defaultRowHeight="12.75" x14ac:dyDescent="0.2"/>
  <cols>
    <col min="1" max="1" width="10.85546875" bestFit="1" customWidth="1"/>
    <col min="2" max="10" width="6.7109375" bestFit="1" customWidth="1"/>
    <col min="11" max="13" width="6.42578125" bestFit="1" customWidth="1"/>
    <col min="14" max="14" width="2.42578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">
      <c r="A10" s="4" t="s">
        <v>113</v>
      </c>
    </row>
    <row r="11" spans="1:23" x14ac:dyDescent="0.2">
      <c r="A11" t="s">
        <v>114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ColWidth="8.85546875" defaultRowHeight="12.75" x14ac:dyDescent="0.2"/>
  <cols>
    <col min="1" max="1" width="5" bestFit="1" customWidth="1"/>
    <col min="2" max="2" width="14.42578125" bestFit="1" customWidth="1"/>
    <col min="3" max="14" width="8.42578125" style="68" customWidth="1"/>
  </cols>
  <sheetData>
    <row r="1" spans="1:19" x14ac:dyDescent="0.2">
      <c r="A1" s="20" t="s">
        <v>135</v>
      </c>
    </row>
    <row r="2" spans="1:19" x14ac:dyDescent="0.2">
      <c r="C2" s="68" t="s">
        <v>614</v>
      </c>
      <c r="D2" s="68" t="s">
        <v>615</v>
      </c>
      <c r="E2" s="68" t="s">
        <v>616</v>
      </c>
      <c r="F2" s="68" t="s">
        <v>617</v>
      </c>
      <c r="G2" s="68" t="s">
        <v>618</v>
      </c>
      <c r="H2" s="68" t="s">
        <v>619</v>
      </c>
      <c r="I2" s="68" t="s">
        <v>620</v>
      </c>
      <c r="J2" s="68" t="s">
        <v>601</v>
      </c>
      <c r="K2" s="68" t="s">
        <v>608</v>
      </c>
      <c r="L2" s="68" t="s">
        <v>621</v>
      </c>
      <c r="M2" s="68" t="s">
        <v>622</v>
      </c>
      <c r="N2" s="68" t="s">
        <v>623</v>
      </c>
      <c r="S2" s="112" t="s">
        <v>147</v>
      </c>
    </row>
    <row r="3" spans="1:19" x14ac:dyDescent="0.2">
      <c r="B3" t="s">
        <v>624</v>
      </c>
      <c r="K3" s="71">
        <v>63</v>
      </c>
    </row>
    <row r="4" spans="1:19" x14ac:dyDescent="0.2">
      <c r="B4" t="s">
        <v>625</v>
      </c>
      <c r="K4" s="71">
        <v>21</v>
      </c>
    </row>
    <row r="5" spans="1:19" x14ac:dyDescent="0.2">
      <c r="B5" t="s">
        <v>626</v>
      </c>
      <c r="K5" s="71">
        <v>25</v>
      </c>
      <c r="S5" s="112" t="s">
        <v>1233</v>
      </c>
    </row>
    <row r="6" spans="1:19" x14ac:dyDescent="0.2">
      <c r="B6" t="s">
        <v>627</v>
      </c>
      <c r="K6" s="71">
        <v>92</v>
      </c>
    </row>
    <row r="7" spans="1:19" x14ac:dyDescent="0.2">
      <c r="B7" t="s">
        <v>628</v>
      </c>
      <c r="K7" s="71">
        <v>117</v>
      </c>
    </row>
    <row r="8" spans="1:19" x14ac:dyDescent="0.2">
      <c r="B8" t="s">
        <v>629</v>
      </c>
      <c r="K8" s="71">
        <v>26</v>
      </c>
    </row>
    <row r="9" spans="1:19" x14ac:dyDescent="0.2">
      <c r="B9" t="s">
        <v>631</v>
      </c>
      <c r="K9" s="71">
        <v>273</v>
      </c>
    </row>
    <row r="10" spans="1:19" s="69" customFormat="1" x14ac:dyDescent="0.2">
      <c r="B10" s="69" t="s">
        <v>630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">
      <c r="B11" s="65" t="s">
        <v>632</v>
      </c>
      <c r="K11" s="71">
        <v>123</v>
      </c>
    </row>
    <row r="12" spans="1:19" x14ac:dyDescent="0.2">
      <c r="B12" s="65" t="s">
        <v>633</v>
      </c>
      <c r="K12" s="71">
        <v>7</v>
      </c>
    </row>
    <row r="13" spans="1:19" x14ac:dyDescent="0.2">
      <c r="B13" s="65" t="s">
        <v>634</v>
      </c>
      <c r="K13" s="71">
        <v>76</v>
      </c>
      <c r="S13" s="112" t="s">
        <v>1220</v>
      </c>
    </row>
    <row r="14" spans="1:19" x14ac:dyDescent="0.2">
      <c r="B14" s="65" t="s">
        <v>635</v>
      </c>
      <c r="K14" s="71">
        <v>133</v>
      </c>
      <c r="S14" s="112" t="s">
        <v>1130</v>
      </c>
    </row>
    <row r="15" spans="1:19" x14ac:dyDescent="0.2">
      <c r="B15" s="65" t="s">
        <v>636</v>
      </c>
      <c r="K15" s="71">
        <v>42</v>
      </c>
    </row>
    <row r="16" spans="1:19" s="69" customFormat="1" x14ac:dyDescent="0.2">
      <c r="B16" s="69" t="s">
        <v>158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">
      <c r="B17" s="65" t="s">
        <v>637</v>
      </c>
      <c r="K17" s="71">
        <v>87</v>
      </c>
    </row>
    <row r="18" spans="2:19" x14ac:dyDescent="0.2">
      <c r="B18" s="65" t="s">
        <v>638</v>
      </c>
      <c r="K18" s="71">
        <v>82</v>
      </c>
      <c r="S18" s="112" t="s">
        <v>1261</v>
      </c>
    </row>
    <row r="19" spans="2:19" x14ac:dyDescent="0.2">
      <c r="B19" s="65" t="s">
        <v>639</v>
      </c>
      <c r="K19" s="71">
        <v>42</v>
      </c>
    </row>
    <row r="20" spans="2:19" x14ac:dyDescent="0.2">
      <c r="B20" s="65" t="s">
        <v>640</v>
      </c>
      <c r="K20" s="71">
        <v>22</v>
      </c>
    </row>
    <row r="21" spans="2:19" s="69" customFormat="1" x14ac:dyDescent="0.2">
      <c r="B21" s="69" t="s">
        <v>641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2" t="s">
        <v>1135</v>
      </c>
    </row>
    <row r="22" spans="2:19" s="69" customFormat="1" x14ac:dyDescent="0.2">
      <c r="B22" s="69" t="s">
        <v>369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">
      <c r="B24" s="65" t="s">
        <v>642</v>
      </c>
      <c r="K24" s="73">
        <v>246</v>
      </c>
    </row>
    <row r="25" spans="2:19" x14ac:dyDescent="0.2">
      <c r="B25" s="65" t="s">
        <v>643</v>
      </c>
      <c r="K25" s="73">
        <v>471</v>
      </c>
    </row>
    <row r="26" spans="2:19" x14ac:dyDescent="0.2">
      <c r="B26" s="65" t="s">
        <v>644</v>
      </c>
      <c r="K26" s="73">
        <v>514</v>
      </c>
    </row>
    <row r="27" spans="2:19" x14ac:dyDescent="0.2">
      <c r="B27" s="65" t="s">
        <v>369</v>
      </c>
      <c r="K27" s="71">
        <f>SUM(K24:K26)</f>
        <v>1231</v>
      </c>
    </row>
    <row r="32" spans="2:19" x14ac:dyDescent="0.2">
      <c r="B32" s="65" t="s">
        <v>645</v>
      </c>
      <c r="K32" s="74">
        <v>0.09</v>
      </c>
    </row>
    <row r="33" spans="2:11" x14ac:dyDescent="0.2">
      <c r="B33" s="65" t="s">
        <v>648</v>
      </c>
      <c r="K33" s="74">
        <v>0.03</v>
      </c>
    </row>
    <row r="34" spans="2:11" x14ac:dyDescent="0.2">
      <c r="B34" s="65" t="s">
        <v>647</v>
      </c>
      <c r="K34" s="74">
        <v>0.09</v>
      </c>
    </row>
    <row r="35" spans="2:11" x14ac:dyDescent="0.2">
      <c r="B35" s="65" t="s">
        <v>646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1184</v>
      </c>
    </row>
    <row r="3" spans="1:3" x14ac:dyDescent="0.2">
      <c r="B3" s="1" t="s">
        <v>154</v>
      </c>
      <c r="C3" s="117" t="s">
        <v>1185</v>
      </c>
    </row>
    <row r="4" spans="1:3" x14ac:dyDescent="0.2">
      <c r="B4" s="1" t="s">
        <v>156</v>
      </c>
      <c r="C4" s="1" t="s">
        <v>136</v>
      </c>
    </row>
    <row r="5" spans="1:3" x14ac:dyDescent="0.2">
      <c r="B5" s="1" t="s">
        <v>157</v>
      </c>
      <c r="C5" s="1" t="s">
        <v>158</v>
      </c>
    </row>
    <row r="6" spans="1:3" x14ac:dyDescent="0.2">
      <c r="B6" s="1" t="s">
        <v>2</v>
      </c>
      <c r="C6" s="1" t="s">
        <v>160</v>
      </c>
    </row>
    <row r="7" spans="1:3" x14ac:dyDescent="0.2">
      <c r="B7" s="117" t="s">
        <v>174</v>
      </c>
      <c r="C7" s="117" t="s">
        <v>1296</v>
      </c>
    </row>
    <row r="8" spans="1:3" x14ac:dyDescent="0.2">
      <c r="B8" s="1" t="s">
        <v>159</v>
      </c>
    </row>
    <row r="9" spans="1:3" x14ac:dyDescent="0.2">
      <c r="C9" s="19" t="s">
        <v>847</v>
      </c>
    </row>
    <row r="10" spans="1:3" x14ac:dyDescent="0.2">
      <c r="C10" s="31" t="s">
        <v>848</v>
      </c>
    </row>
    <row r="11" spans="1:3" x14ac:dyDescent="0.2">
      <c r="C11" s="31" t="s">
        <v>849</v>
      </c>
    </row>
    <row r="12" spans="1:3" x14ac:dyDescent="0.2">
      <c r="C12" s="31" t="s">
        <v>850</v>
      </c>
    </row>
    <row r="13" spans="1:3" x14ac:dyDescent="0.2">
      <c r="C13" s="31"/>
    </row>
    <row r="14" spans="1:3" x14ac:dyDescent="0.2">
      <c r="C14" s="19" t="s">
        <v>851</v>
      </c>
    </row>
    <row r="15" spans="1:3" x14ac:dyDescent="0.2">
      <c r="C15" s="31" t="s">
        <v>852</v>
      </c>
    </row>
    <row r="16" spans="1:3" x14ac:dyDescent="0.2">
      <c r="C16" s="31"/>
    </row>
    <row r="17" spans="3:4" x14ac:dyDescent="0.2">
      <c r="C17" s="19" t="s">
        <v>1136</v>
      </c>
    </row>
    <row r="18" spans="3:4" x14ac:dyDescent="0.2">
      <c r="C18" s="117" t="s">
        <v>1137</v>
      </c>
    </row>
    <row r="20" spans="3:4" x14ac:dyDescent="0.2">
      <c r="C20" s="19" t="s">
        <v>1234</v>
      </c>
    </row>
    <row r="21" spans="3:4" x14ac:dyDescent="0.2">
      <c r="C21" s="117" t="s">
        <v>1235</v>
      </c>
    </row>
    <row r="23" spans="3:4" x14ac:dyDescent="0.2">
      <c r="C23" s="19" t="s">
        <v>161</v>
      </c>
    </row>
    <row r="24" spans="3:4" x14ac:dyDescent="0.2">
      <c r="C24" s="1" t="s">
        <v>0</v>
      </c>
      <c r="D24" s="1" t="s">
        <v>163</v>
      </c>
    </row>
    <row r="25" spans="3:4" x14ac:dyDescent="0.2">
      <c r="C25" s="1" t="s">
        <v>162</v>
      </c>
      <c r="D25" s="1" t="s">
        <v>166</v>
      </c>
    </row>
    <row r="26" spans="3:4" x14ac:dyDescent="0.2">
      <c r="C26" s="1" t="s">
        <v>164</v>
      </c>
      <c r="D26" s="1" t="s">
        <v>165</v>
      </c>
    </row>
    <row r="28" spans="3:4" x14ac:dyDescent="0.2">
      <c r="C28" s="18" t="s">
        <v>31</v>
      </c>
    </row>
    <row r="29" spans="3:4" x14ac:dyDescent="0.2">
      <c r="C29" s="1" t="s">
        <v>32</v>
      </c>
    </row>
    <row r="30" spans="3:4" x14ac:dyDescent="0.2">
      <c r="C30" s="1" t="s">
        <v>33</v>
      </c>
    </row>
    <row r="31" spans="3:4" x14ac:dyDescent="0.2">
      <c r="C31" s="1" t="s">
        <v>34</v>
      </c>
    </row>
    <row r="33" spans="3:3" x14ac:dyDescent="0.2">
      <c r="C33" s="18" t="s">
        <v>35</v>
      </c>
    </row>
    <row r="34" spans="3:3" x14ac:dyDescent="0.2">
      <c r="C34" s="1" t="s">
        <v>36</v>
      </c>
    </row>
    <row r="35" spans="3:3" x14ac:dyDescent="0.2">
      <c r="C35" s="1" t="s">
        <v>37</v>
      </c>
    </row>
    <row r="36" spans="3:3" x14ac:dyDescent="0.2">
      <c r="C36" s="1" t="s">
        <v>38</v>
      </c>
    </row>
    <row r="37" spans="3:3" x14ac:dyDescent="0.2">
      <c r="C37" s="1" t="s">
        <v>39</v>
      </c>
    </row>
    <row r="39" spans="3:3" x14ac:dyDescent="0.2">
      <c r="C39" s="19" t="s">
        <v>40</v>
      </c>
    </row>
    <row r="41" spans="3:3" x14ac:dyDescent="0.2">
      <c r="C41" s="19" t="s">
        <v>42</v>
      </c>
    </row>
    <row r="43" spans="3:3" x14ac:dyDescent="0.2">
      <c r="C43" s="19" t="s">
        <v>41</v>
      </c>
    </row>
    <row r="45" spans="3:3" x14ac:dyDescent="0.2">
      <c r="C45" s="19" t="s">
        <v>43</v>
      </c>
    </row>
    <row r="47" spans="3:3" x14ac:dyDescent="0.2">
      <c r="C47" s="1" t="s">
        <v>138</v>
      </c>
    </row>
    <row r="48" spans="3:3" x14ac:dyDescent="0.2">
      <c r="C48" s="16" t="s">
        <v>139</v>
      </c>
    </row>
    <row r="49" spans="3:11" x14ac:dyDescent="0.2">
      <c r="C49" s="1" t="s">
        <v>140</v>
      </c>
    </row>
    <row r="50" spans="3:11" x14ac:dyDescent="0.2">
      <c r="C50" s="1" t="s">
        <v>167</v>
      </c>
    </row>
    <row r="51" spans="3:11" x14ac:dyDescent="0.2">
      <c r="C51" s="1" t="s">
        <v>141</v>
      </c>
    </row>
    <row r="52" spans="3:11" x14ac:dyDescent="0.2">
      <c r="C52" s="1" t="s">
        <v>181</v>
      </c>
    </row>
    <row r="53" spans="3:11" x14ac:dyDescent="0.2">
      <c r="C53" s="1" t="s">
        <v>186</v>
      </c>
    </row>
    <row r="55" spans="3:11" x14ac:dyDescent="0.2">
      <c r="C55" s="1" t="s">
        <v>182</v>
      </c>
    </row>
    <row r="56" spans="3:11" x14ac:dyDescent="0.2">
      <c r="C56" s="16" t="s">
        <v>318</v>
      </c>
    </row>
    <row r="57" spans="3:11" x14ac:dyDescent="0.2">
      <c r="C57" s="1" t="s">
        <v>185</v>
      </c>
    </row>
    <row r="58" spans="3:11" x14ac:dyDescent="0.2">
      <c r="C58" s="1" t="s">
        <v>184</v>
      </c>
    </row>
    <row r="59" spans="3:11" x14ac:dyDescent="0.2">
      <c r="C59" s="1" t="s">
        <v>183</v>
      </c>
    </row>
    <row r="61" spans="3:11" ht="88.5" customHeight="1" x14ac:dyDescent="0.2">
      <c r="C61" s="197"/>
      <c r="D61" s="195" t="s">
        <v>457</v>
      </c>
      <c r="E61" s="195"/>
      <c r="F61"/>
      <c r="G61"/>
      <c r="H61"/>
      <c r="I61"/>
      <c r="J61"/>
      <c r="K61"/>
    </row>
    <row r="62" spans="3:11" x14ac:dyDescent="0.2">
      <c r="C62" s="197"/>
      <c r="D62" s="195"/>
      <c r="E62" s="195"/>
      <c r="F62"/>
      <c r="G62"/>
      <c r="H62"/>
      <c r="I62"/>
      <c r="J62"/>
      <c r="K62"/>
    </row>
    <row r="63" spans="3:11" x14ac:dyDescent="0.2">
      <c r="C63" s="197"/>
      <c r="D63" s="198"/>
      <c r="E63" s="198"/>
      <c r="F63" s="198"/>
      <c r="G63" s="198"/>
      <c r="H63" s="198"/>
      <c r="I63" s="198"/>
      <c r="J63" s="198"/>
      <c r="K63" s="198"/>
    </row>
    <row r="64" spans="3:11" ht="25.5" customHeight="1" x14ac:dyDescent="0.2">
      <c r="C64" s="197"/>
      <c r="D64" s="194" t="s">
        <v>458</v>
      </c>
      <c r="E64" s="196" t="s">
        <v>459</v>
      </c>
      <c r="F64" s="201"/>
      <c r="G64" s="201"/>
      <c r="H64" s="201"/>
      <c r="I64" s="201"/>
      <c r="J64" s="201"/>
      <c r="K64" s="201"/>
    </row>
    <row r="65" spans="3:11" x14ac:dyDescent="0.2">
      <c r="C65" s="197"/>
      <c r="D65" s="194"/>
      <c r="E65" s="196"/>
      <c r="F65" s="201"/>
      <c r="G65" s="201"/>
      <c r="H65" s="201"/>
      <c r="I65" s="201"/>
      <c r="J65" s="201"/>
      <c r="K65" s="201"/>
    </row>
    <row r="66" spans="3:11" ht="43.5" customHeight="1" x14ac:dyDescent="0.2">
      <c r="C66" s="197"/>
      <c r="D66" s="194" t="s">
        <v>460</v>
      </c>
      <c r="E66" s="193" t="s">
        <v>461</v>
      </c>
      <c r="F66" s="201"/>
      <c r="G66" s="201"/>
      <c r="H66" s="201"/>
      <c r="I66" s="201"/>
      <c r="J66" s="201"/>
      <c r="K66" s="201"/>
    </row>
    <row r="67" spans="3:11" x14ac:dyDescent="0.2">
      <c r="C67" s="197"/>
      <c r="D67" s="194"/>
      <c r="E67" s="193"/>
      <c r="F67" s="201"/>
      <c r="G67" s="201"/>
      <c r="H67" s="201"/>
      <c r="I67" s="201"/>
      <c r="J67" s="201"/>
      <c r="K67" s="201"/>
    </row>
    <row r="68" spans="3:11" ht="38.25" customHeight="1" x14ac:dyDescent="0.2">
      <c r="C68" s="197"/>
      <c r="D68" s="194" t="s">
        <v>462</v>
      </c>
      <c r="E68" s="196" t="s">
        <v>463</v>
      </c>
      <c r="F68" s="201"/>
      <c r="G68" s="201"/>
      <c r="H68" s="201"/>
      <c r="I68" s="201"/>
      <c r="J68" s="201"/>
      <c r="K68" s="201"/>
    </row>
    <row r="69" spans="3:11" x14ac:dyDescent="0.2">
      <c r="C69" s="197"/>
      <c r="D69" s="194"/>
      <c r="E69" s="196"/>
      <c r="F69" s="201"/>
      <c r="G69" s="201"/>
      <c r="H69" s="201"/>
      <c r="I69" s="201"/>
      <c r="J69" s="201"/>
      <c r="K69" s="201"/>
    </row>
    <row r="70" spans="3:11" x14ac:dyDescent="0.2">
      <c r="C70" s="197"/>
      <c r="D70" s="198"/>
      <c r="E70" s="198"/>
      <c r="F70" s="198"/>
      <c r="G70" s="198"/>
      <c r="H70" s="198"/>
      <c r="I70" s="198"/>
      <c r="J70" s="198"/>
      <c r="K70" s="198"/>
    </row>
    <row r="71" spans="3:11" x14ac:dyDescent="0.2">
      <c r="C71" s="197"/>
      <c r="D71" s="197"/>
      <c r="E71" s="197"/>
      <c r="F71" s="197"/>
      <c r="G71" s="197"/>
      <c r="H71" s="197"/>
      <c r="I71" s="197"/>
      <c r="J71" s="197"/>
      <c r="K71" s="197"/>
    </row>
    <row r="72" spans="3:11" x14ac:dyDescent="0.2">
      <c r="C72" s="197"/>
      <c r="D72" s="197"/>
      <c r="E72" s="197"/>
      <c r="F72" s="197"/>
      <c r="G72" s="197"/>
      <c r="H72" s="197"/>
      <c r="I72" s="197"/>
      <c r="J72" s="197"/>
      <c r="K72" s="197"/>
    </row>
    <row r="73" spans="3:11" x14ac:dyDescent="0.2">
      <c r="C73" s="197"/>
      <c r="D73" s="197"/>
      <c r="E73" s="197"/>
      <c r="F73" s="197"/>
      <c r="G73" s="197"/>
      <c r="H73" s="197"/>
      <c r="I73" s="197"/>
      <c r="J73" s="197"/>
      <c r="K73" s="197"/>
    </row>
    <row r="74" spans="3:11" x14ac:dyDescent="0.2">
      <c r="C74" s="197"/>
      <c r="D74" s="194" t="s">
        <v>464</v>
      </c>
      <c r="E74" s="194"/>
      <c r="F74" s="193">
        <v>1015</v>
      </c>
      <c r="G74" s="193"/>
      <c r="H74" s="193"/>
      <c r="I74" s="193"/>
      <c r="J74" s="193"/>
      <c r="K74" s="193"/>
    </row>
    <row r="75" spans="3:11" x14ac:dyDescent="0.2">
      <c r="C75" s="197"/>
      <c r="D75" s="194"/>
      <c r="E75" s="194"/>
      <c r="F75" s="193"/>
      <c r="G75" s="193"/>
      <c r="H75" s="193"/>
      <c r="I75" s="193"/>
      <c r="J75" s="193"/>
      <c r="K75" s="193"/>
    </row>
    <row r="76" spans="3:11" x14ac:dyDescent="0.2">
      <c r="C76" s="197"/>
      <c r="D76" s="194" t="s">
        <v>465</v>
      </c>
      <c r="E76" s="194"/>
      <c r="F76" s="199" t="s">
        <v>466</v>
      </c>
      <c r="G76" s="199"/>
      <c r="H76" s="199"/>
      <c r="I76" s="199"/>
      <c r="J76" s="199"/>
      <c r="K76" s="199"/>
    </row>
    <row r="77" spans="3:11" x14ac:dyDescent="0.2">
      <c r="C77" s="197"/>
      <c r="D77" s="194"/>
      <c r="E77" s="194"/>
      <c r="F77" s="199"/>
      <c r="G77" s="199"/>
      <c r="H77" s="199"/>
      <c r="I77" s="199"/>
      <c r="J77" s="199"/>
      <c r="K77" s="199"/>
    </row>
    <row r="78" spans="3:11" ht="21" customHeight="1" x14ac:dyDescent="0.2">
      <c r="C78" s="197"/>
      <c r="D78" s="194" t="s">
        <v>467</v>
      </c>
      <c r="E78" s="194"/>
      <c r="F78" s="193" t="s">
        <v>468</v>
      </c>
      <c r="G78" s="193"/>
      <c r="H78" s="193"/>
      <c r="I78" s="193"/>
      <c r="J78" s="193"/>
      <c r="K78" s="193"/>
    </row>
    <row r="79" spans="3:11" x14ac:dyDescent="0.2">
      <c r="C79" s="197"/>
      <c r="D79" s="194"/>
      <c r="E79" s="194"/>
      <c r="F79" s="193"/>
      <c r="G79" s="193"/>
      <c r="H79" s="193"/>
      <c r="I79" s="193"/>
      <c r="J79" s="193"/>
      <c r="K79" s="193"/>
    </row>
    <row r="80" spans="3:11" ht="202.5" customHeight="1" x14ac:dyDescent="0.2">
      <c r="C80" s="197"/>
      <c r="D80" s="194" t="s">
        <v>469</v>
      </c>
      <c r="E80" s="194"/>
      <c r="F80" s="193" t="s">
        <v>470</v>
      </c>
      <c r="G80" s="193"/>
      <c r="H80" s="193"/>
      <c r="I80" s="193"/>
      <c r="J80" s="193"/>
      <c r="K80" s="193"/>
    </row>
    <row r="81" spans="3:12" x14ac:dyDescent="0.2">
      <c r="C81" s="197"/>
      <c r="D81" s="194"/>
      <c r="E81" s="194"/>
      <c r="F81" s="200"/>
      <c r="G81" s="200"/>
      <c r="H81" s="200"/>
      <c r="I81" s="200"/>
      <c r="J81" s="200"/>
      <c r="K81" s="200"/>
    </row>
    <row r="82" spans="3:12" x14ac:dyDescent="0.2">
      <c r="C82" s="197"/>
      <c r="D82" s="194"/>
      <c r="E82" s="194"/>
      <c r="F82" s="62" t="s">
        <v>471</v>
      </c>
      <c r="G82" s="62" t="s">
        <v>472</v>
      </c>
      <c r="H82" s="62" t="s">
        <v>473</v>
      </c>
      <c r="I82" s="62" t="s">
        <v>474</v>
      </c>
      <c r="J82" s="62" t="s">
        <v>475</v>
      </c>
      <c r="K82" s="62" t="s">
        <v>476</v>
      </c>
    </row>
    <row r="83" spans="3:12" ht="33.75" x14ac:dyDescent="0.2">
      <c r="C83" s="197"/>
      <c r="D83" s="194"/>
      <c r="E83" s="194"/>
      <c r="F83" s="62" t="s">
        <v>477</v>
      </c>
      <c r="G83" s="63">
        <v>8.4</v>
      </c>
      <c r="H83" s="63">
        <v>12</v>
      </c>
      <c r="I83" s="63">
        <v>0.77</v>
      </c>
      <c r="J83" s="63" t="s">
        <v>478</v>
      </c>
      <c r="K83" s="63">
        <v>2.9000000000000001E-2</v>
      </c>
    </row>
    <row r="84" spans="3:12" x14ac:dyDescent="0.2">
      <c r="C84" s="197"/>
      <c r="D84" s="194"/>
      <c r="E84" s="194"/>
      <c r="F84" s="62" t="s">
        <v>479</v>
      </c>
      <c r="G84" s="63">
        <v>13.2</v>
      </c>
      <c r="H84" s="63">
        <v>25.2</v>
      </c>
      <c r="I84" s="63">
        <v>2.1</v>
      </c>
      <c r="J84" s="63" t="s">
        <v>480</v>
      </c>
      <c r="K84" s="63">
        <v>0.02</v>
      </c>
    </row>
    <row r="85" spans="3:12" x14ac:dyDescent="0.2">
      <c r="C85" s="197"/>
      <c r="D85" s="194"/>
      <c r="E85" s="194"/>
      <c r="F85" s="62" t="s">
        <v>481</v>
      </c>
      <c r="G85" s="63">
        <v>6.9</v>
      </c>
      <c r="H85" s="63">
        <v>10.3</v>
      </c>
      <c r="I85" s="63">
        <v>1.5</v>
      </c>
      <c r="J85" s="63" t="s">
        <v>482</v>
      </c>
      <c r="K85" s="63">
        <v>0.46</v>
      </c>
    </row>
    <row r="86" spans="3:12" ht="33.75" x14ac:dyDescent="0.2">
      <c r="C86" s="197"/>
      <c r="D86" s="194"/>
      <c r="E86" s="194"/>
      <c r="F86" s="62" t="s">
        <v>483</v>
      </c>
      <c r="G86" s="63">
        <v>39</v>
      </c>
      <c r="H86" s="63">
        <v>51.6</v>
      </c>
      <c r="I86" s="63">
        <v>0.75</v>
      </c>
      <c r="J86" s="63" t="s">
        <v>484</v>
      </c>
      <c r="K86" s="63">
        <v>0.106</v>
      </c>
    </row>
    <row r="87" spans="3:12" x14ac:dyDescent="0.2">
      <c r="C87" s="197"/>
      <c r="D87" s="194"/>
      <c r="E87" s="194"/>
      <c r="F87" s="202" t="s">
        <v>485</v>
      </c>
      <c r="G87" s="203"/>
      <c r="H87" s="203"/>
      <c r="I87" s="203"/>
      <c r="J87" s="203"/>
      <c r="K87" s="204"/>
    </row>
    <row r="96" spans="3:12" ht="77.25" customHeight="1" x14ac:dyDescent="0.2">
      <c r="C96" s="197"/>
      <c r="D96" s="195" t="s">
        <v>486</v>
      </c>
      <c r="E96" s="195"/>
      <c r="F96"/>
      <c r="G96"/>
      <c r="H96"/>
      <c r="I96"/>
      <c r="J96"/>
      <c r="K96"/>
      <c r="L96"/>
    </row>
    <row r="97" spans="3:12" x14ac:dyDescent="0.2">
      <c r="C97" s="197"/>
      <c r="D97" s="195"/>
      <c r="E97" s="195"/>
      <c r="F97"/>
      <c r="G97"/>
      <c r="H97"/>
      <c r="I97"/>
      <c r="J97"/>
      <c r="K97"/>
      <c r="L97"/>
    </row>
    <row r="98" spans="3:12" x14ac:dyDescent="0.2">
      <c r="C98" s="197"/>
      <c r="D98" s="198"/>
      <c r="E98" s="198"/>
      <c r="F98" s="198"/>
      <c r="G98" s="198"/>
      <c r="H98" s="198"/>
      <c r="I98" s="198"/>
      <c r="J98" s="198"/>
      <c r="K98" s="198"/>
      <c r="L98" s="198"/>
    </row>
    <row r="99" spans="3:12" ht="25.5" customHeight="1" x14ac:dyDescent="0.2">
      <c r="C99" s="197"/>
      <c r="D99" s="194" t="s">
        <v>458</v>
      </c>
      <c r="E99" s="196" t="s">
        <v>459</v>
      </c>
      <c r="F99" s="201"/>
      <c r="G99" s="201"/>
      <c r="H99" s="201"/>
      <c r="I99" s="201"/>
      <c r="J99" s="201"/>
      <c r="K99" s="201"/>
      <c r="L99" s="201"/>
    </row>
    <row r="100" spans="3:12" x14ac:dyDescent="0.2">
      <c r="C100" s="197"/>
      <c r="D100" s="194"/>
      <c r="E100" s="196"/>
      <c r="F100" s="201"/>
      <c r="G100" s="201"/>
      <c r="H100" s="201"/>
      <c r="I100" s="201"/>
      <c r="J100" s="201"/>
      <c r="K100" s="201"/>
      <c r="L100" s="201"/>
    </row>
    <row r="101" spans="3:12" ht="43.5" customHeight="1" x14ac:dyDescent="0.2">
      <c r="C101" s="197"/>
      <c r="D101" s="194" t="s">
        <v>460</v>
      </c>
      <c r="E101" s="193" t="s">
        <v>461</v>
      </c>
      <c r="F101" s="201"/>
      <c r="G101" s="201"/>
      <c r="H101" s="201"/>
      <c r="I101" s="201"/>
      <c r="J101" s="201"/>
      <c r="K101" s="201"/>
      <c r="L101" s="201"/>
    </row>
    <row r="102" spans="3:12" x14ac:dyDescent="0.2">
      <c r="C102" s="197"/>
      <c r="D102" s="194"/>
      <c r="E102" s="193"/>
      <c r="F102" s="201"/>
      <c r="G102" s="201"/>
      <c r="H102" s="201"/>
      <c r="I102" s="201"/>
      <c r="J102" s="201"/>
      <c r="K102" s="201"/>
      <c r="L102" s="201"/>
    </row>
    <row r="103" spans="3:12" ht="38.25" customHeight="1" x14ac:dyDescent="0.2">
      <c r="C103" s="197"/>
      <c r="D103" s="194" t="s">
        <v>462</v>
      </c>
      <c r="E103" s="196" t="s">
        <v>463</v>
      </c>
      <c r="F103" s="201"/>
      <c r="G103" s="201"/>
      <c r="H103" s="201"/>
      <c r="I103" s="201"/>
      <c r="J103" s="201"/>
      <c r="K103" s="201"/>
      <c r="L103" s="201"/>
    </row>
    <row r="104" spans="3:12" x14ac:dyDescent="0.2">
      <c r="C104" s="197"/>
      <c r="D104" s="194"/>
      <c r="E104" s="196"/>
      <c r="F104" s="201"/>
      <c r="G104" s="201"/>
      <c r="H104" s="201"/>
      <c r="I104" s="201"/>
      <c r="J104" s="201"/>
      <c r="K104" s="201"/>
      <c r="L104" s="201"/>
    </row>
    <row r="105" spans="3:12" x14ac:dyDescent="0.2">
      <c r="C105" s="197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 spans="3:12" x14ac:dyDescent="0.2"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</row>
    <row r="107" spans="3:12" x14ac:dyDescent="0.2"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</row>
    <row r="108" spans="3:12" x14ac:dyDescent="0.2"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</row>
    <row r="109" spans="3:12" x14ac:dyDescent="0.2">
      <c r="C109" s="197"/>
      <c r="D109" s="194" t="s">
        <v>464</v>
      </c>
      <c r="E109" s="194"/>
      <c r="F109" s="193">
        <v>1017</v>
      </c>
      <c r="G109" s="193"/>
      <c r="H109" s="193"/>
      <c r="I109" s="193"/>
      <c r="J109" s="193"/>
      <c r="K109" s="193"/>
      <c r="L109" s="193"/>
    </row>
    <row r="110" spans="3:12" x14ac:dyDescent="0.2">
      <c r="C110" s="197"/>
      <c r="D110" s="194"/>
      <c r="E110" s="194"/>
      <c r="F110" s="193"/>
      <c r="G110" s="193"/>
      <c r="H110" s="193"/>
      <c r="I110" s="193"/>
      <c r="J110" s="193"/>
      <c r="K110" s="193"/>
      <c r="L110" s="193"/>
    </row>
    <row r="111" spans="3:12" x14ac:dyDescent="0.2">
      <c r="C111" s="197"/>
      <c r="D111" s="194" t="s">
        <v>465</v>
      </c>
      <c r="E111" s="194"/>
      <c r="F111" s="199" t="s">
        <v>487</v>
      </c>
      <c r="G111" s="199"/>
      <c r="H111" s="199"/>
      <c r="I111" s="199"/>
      <c r="J111" s="199"/>
      <c r="K111" s="199"/>
      <c r="L111" s="199"/>
    </row>
    <row r="112" spans="3:12" x14ac:dyDescent="0.2">
      <c r="C112" s="197"/>
      <c r="D112" s="194"/>
      <c r="E112" s="194"/>
      <c r="F112" s="199"/>
      <c r="G112" s="199"/>
      <c r="H112" s="199"/>
      <c r="I112" s="199"/>
      <c r="J112" s="199"/>
      <c r="K112" s="199"/>
      <c r="L112" s="199"/>
    </row>
    <row r="113" spans="3:12" x14ac:dyDescent="0.2">
      <c r="C113" s="197"/>
      <c r="D113" s="194" t="s">
        <v>467</v>
      </c>
      <c r="E113" s="194"/>
      <c r="F113" s="193" t="s">
        <v>488</v>
      </c>
      <c r="G113" s="193"/>
      <c r="H113" s="193"/>
      <c r="I113" s="193"/>
      <c r="J113" s="193"/>
      <c r="K113" s="193"/>
      <c r="L113" s="193"/>
    </row>
    <row r="114" spans="3:12" x14ac:dyDescent="0.2">
      <c r="C114" s="197"/>
      <c r="D114" s="194"/>
      <c r="E114" s="194"/>
      <c r="F114" s="193"/>
      <c r="G114" s="193"/>
      <c r="H114" s="193"/>
      <c r="I114" s="193"/>
      <c r="J114" s="193"/>
      <c r="K114" s="193"/>
      <c r="L114" s="193"/>
    </row>
    <row r="115" spans="3:12" ht="168.75" customHeight="1" x14ac:dyDescent="0.2">
      <c r="C115" s="197"/>
      <c r="D115" s="194" t="s">
        <v>469</v>
      </c>
      <c r="E115" s="194"/>
      <c r="F115" s="193" t="s">
        <v>489</v>
      </c>
      <c r="G115" s="193"/>
      <c r="H115" s="193"/>
      <c r="I115" s="193"/>
      <c r="J115" s="193"/>
      <c r="K115" s="193"/>
      <c r="L115" s="193"/>
    </row>
    <row r="116" spans="3:12" x14ac:dyDescent="0.2">
      <c r="C116" s="197"/>
      <c r="D116" s="194"/>
      <c r="E116" s="194"/>
      <c r="F116" s="200"/>
      <c r="G116" s="200"/>
      <c r="H116" s="200"/>
      <c r="I116" s="200"/>
      <c r="J116" s="200"/>
      <c r="K116" s="200"/>
      <c r="L116" s="200"/>
    </row>
    <row r="117" spans="3:12" x14ac:dyDescent="0.2">
      <c r="C117" s="197"/>
      <c r="D117" s="194"/>
      <c r="E117" s="194"/>
      <c r="F117" s="63"/>
      <c r="G117" s="205" t="s">
        <v>490</v>
      </c>
      <c r="H117" s="206"/>
      <c r="I117" s="207"/>
      <c r="J117" s="205" t="s">
        <v>491</v>
      </c>
      <c r="K117" s="206"/>
      <c r="L117" s="207"/>
    </row>
    <row r="118" spans="3:12" x14ac:dyDescent="0.2">
      <c r="C118" s="197"/>
      <c r="D118" s="194"/>
      <c r="E118" s="194"/>
      <c r="F118" s="63"/>
      <c r="G118" s="62" t="s">
        <v>492</v>
      </c>
      <c r="H118" s="62" t="s">
        <v>493</v>
      </c>
      <c r="I118" s="62" t="s">
        <v>494</v>
      </c>
      <c r="J118" s="62" t="s">
        <v>492</v>
      </c>
      <c r="K118" s="62" t="s">
        <v>493</v>
      </c>
      <c r="L118" s="62" t="s">
        <v>494</v>
      </c>
    </row>
    <row r="119" spans="3:12" ht="33.75" x14ac:dyDescent="0.2">
      <c r="C119" s="197"/>
      <c r="D119" s="194"/>
      <c r="E119" s="194"/>
      <c r="F119" s="63" t="s">
        <v>495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">
      <c r="C120" s="64"/>
      <c r="D120"/>
      <c r="E120"/>
      <c r="F120"/>
      <c r="G120"/>
      <c r="H120"/>
      <c r="I120"/>
      <c r="J120"/>
      <c r="K120"/>
      <c r="L120"/>
    </row>
    <row r="121" spans="3:12" x14ac:dyDescent="0.2">
      <c r="C121" s="64" t="s">
        <v>447</v>
      </c>
      <c r="D121"/>
      <c r="E121"/>
      <c r="F121"/>
      <c r="G121"/>
      <c r="H121"/>
      <c r="I121"/>
      <c r="J121"/>
      <c r="K121"/>
      <c r="L121"/>
    </row>
  </sheetData>
  <mergeCells count="49"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25.7109375" style="1" customWidth="1"/>
    <col min="4" max="10" width="9.140625" style="1"/>
    <col min="11" max="11" width="6.7109375" style="1" bestFit="1" customWidth="1"/>
    <col min="12" max="14" width="6.42578125" style="1" bestFit="1" customWidth="1"/>
    <col min="15" max="15" width="2.42578125" style="1" customWidth="1"/>
    <col min="16" max="24" width="5.28515625" style="1" customWidth="1"/>
    <col min="25" max="16384" width="9.140625" style="1"/>
  </cols>
  <sheetData>
    <row r="1" spans="1:11" x14ac:dyDescent="0.2">
      <c r="A1" s="17" t="s">
        <v>135</v>
      </c>
    </row>
    <row r="2" spans="1:11" x14ac:dyDescent="0.2">
      <c r="B2" s="1" t="s">
        <v>153</v>
      </c>
      <c r="C2" s="1" t="s">
        <v>194</v>
      </c>
    </row>
    <row r="3" spans="1:11" x14ac:dyDescent="0.2">
      <c r="B3" s="1" t="s">
        <v>154</v>
      </c>
      <c r="C3" s="1" t="s">
        <v>257</v>
      </c>
    </row>
    <row r="4" spans="1:11" x14ac:dyDescent="0.2">
      <c r="B4" s="1" t="s">
        <v>156</v>
      </c>
      <c r="C4" s="31" t="s">
        <v>258</v>
      </c>
    </row>
    <row r="5" spans="1:11" x14ac:dyDescent="0.2">
      <c r="C5" s="31" t="s">
        <v>306</v>
      </c>
    </row>
    <row r="6" spans="1:11" x14ac:dyDescent="0.2">
      <c r="B6" s="1" t="s">
        <v>157</v>
      </c>
      <c r="C6" s="1" t="s">
        <v>304</v>
      </c>
    </row>
    <row r="8" spans="1:11" x14ac:dyDescent="0.2">
      <c r="C8" s="19" t="s">
        <v>305</v>
      </c>
    </row>
    <row r="9" spans="1:11" ht="13.5" thickBot="1" x14ac:dyDescent="0.25">
      <c r="C9" s="19"/>
    </row>
    <row r="10" spans="1:11" x14ac:dyDescent="0.2">
      <c r="C10" s="53"/>
      <c r="D10" s="208" t="s">
        <v>311</v>
      </c>
      <c r="E10" s="208"/>
      <c r="F10" s="208"/>
      <c r="G10" s="208"/>
      <c r="H10" s="209" t="s">
        <v>310</v>
      </c>
      <c r="I10" s="208"/>
      <c r="J10" s="208"/>
      <c r="K10" s="208"/>
    </row>
    <row r="11" spans="1:11" x14ac:dyDescent="0.2">
      <c r="D11" s="15" t="s">
        <v>259</v>
      </c>
      <c r="E11" s="15" t="s">
        <v>307</v>
      </c>
      <c r="F11" s="15" t="s">
        <v>308</v>
      </c>
      <c r="G11" s="15" t="s">
        <v>309</v>
      </c>
      <c r="H11" s="51" t="s">
        <v>259</v>
      </c>
      <c r="I11" s="15" t="s">
        <v>307</v>
      </c>
      <c r="J11" s="15" t="s">
        <v>308</v>
      </c>
      <c r="K11" s="15" t="s">
        <v>309</v>
      </c>
    </row>
    <row r="12" spans="1:11" x14ac:dyDescent="0.2">
      <c r="C12" s="43" t="s">
        <v>271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">
      <c r="C13" s="46" t="s">
        <v>265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">
      <c r="C14" s="1" t="s">
        <v>272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">
      <c r="C15" s="46" t="s">
        <v>265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">
      <c r="C16" s="1" t="s">
        <v>293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.5" thickBot="1" x14ac:dyDescent="0.25">
      <c r="C17" s="54" t="s">
        <v>265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x14ac:dyDescent="0.2">
      <c r="C37" s="19" t="s">
        <v>285</v>
      </c>
    </row>
    <row r="38" spans="3:10" ht="13.5" thickBot="1" x14ac:dyDescent="0.25"/>
    <row r="39" spans="3:10" x14ac:dyDescent="0.2">
      <c r="C39" s="32"/>
      <c r="D39" s="33" t="s">
        <v>259</v>
      </c>
      <c r="E39" s="33" t="s">
        <v>260</v>
      </c>
      <c r="F39" s="33" t="s">
        <v>261</v>
      </c>
      <c r="G39" s="33" t="s">
        <v>262</v>
      </c>
      <c r="H39" s="33" t="s">
        <v>263</v>
      </c>
      <c r="I39" s="33" t="s">
        <v>264</v>
      </c>
      <c r="J39" s="33" t="s">
        <v>284</v>
      </c>
    </row>
    <row r="40" spans="3:10" x14ac:dyDescent="0.2">
      <c r="C40" s="34" t="s">
        <v>265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">
      <c r="C41" s="31" t="s">
        <v>266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">
      <c r="C42" s="31" t="s">
        <v>267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">
      <c r="C43" s="31" t="s">
        <v>268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">
      <c r="C44" s="31" t="s">
        <v>269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.5" thickBot="1" x14ac:dyDescent="0.25">
      <c r="C45" s="37" t="s">
        <v>270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.5" thickBot="1" x14ac:dyDescent="0.25">
      <c r="C46" s="31"/>
    </row>
    <row r="47" spans="3:10" x14ac:dyDescent="0.2">
      <c r="C47" s="32"/>
      <c r="D47" s="208" t="s">
        <v>271</v>
      </c>
      <c r="E47" s="208"/>
      <c r="F47" s="208" t="s">
        <v>272</v>
      </c>
      <c r="G47" s="208"/>
    </row>
    <row r="48" spans="3:10" x14ac:dyDescent="0.2">
      <c r="C48" s="16"/>
      <c r="D48" s="15" t="s">
        <v>259</v>
      </c>
      <c r="E48" s="15" t="s">
        <v>264</v>
      </c>
      <c r="F48" s="15" t="s">
        <v>259</v>
      </c>
      <c r="G48" s="15" t="s">
        <v>264</v>
      </c>
    </row>
    <row r="49" spans="3:7" x14ac:dyDescent="0.2">
      <c r="C49" s="39"/>
      <c r="D49" s="3" t="s">
        <v>273</v>
      </c>
      <c r="E49" s="3" t="s">
        <v>274</v>
      </c>
      <c r="F49" s="3" t="s">
        <v>275</v>
      </c>
      <c r="G49" s="3" t="s">
        <v>276</v>
      </c>
    </row>
    <row r="50" spans="3:7" x14ac:dyDescent="0.2">
      <c r="C50" s="15" t="s">
        <v>277</v>
      </c>
    </row>
    <row r="51" spans="3:7" x14ac:dyDescent="0.2">
      <c r="C51" s="31" t="s">
        <v>278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">
      <c r="C52" s="31" t="s">
        <v>279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">
      <c r="C53" s="31" t="s">
        <v>280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">
      <c r="C54" s="31" t="s">
        <v>281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">
      <c r="C55" s="40" t="s">
        <v>282</v>
      </c>
      <c r="D55" s="41">
        <v>0.34</v>
      </c>
      <c r="E55" s="41">
        <v>0.76</v>
      </c>
      <c r="F55" s="41">
        <v>0.34</v>
      </c>
      <c r="G55" s="41">
        <v>0.76</v>
      </c>
    </row>
    <row r="56" spans="3:7" x14ac:dyDescent="0.2">
      <c r="C56" s="42" t="s">
        <v>283</v>
      </c>
      <c r="D56" s="43"/>
      <c r="E56" s="43"/>
      <c r="F56" s="43"/>
      <c r="G56" s="43"/>
    </row>
    <row r="57" spans="3:7" x14ac:dyDescent="0.2">
      <c r="C57" s="31" t="s">
        <v>278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">
      <c r="C58" s="31" t="s">
        <v>279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">
      <c r="C59" s="31" t="s">
        <v>280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">
      <c r="C60" s="31" t="s">
        <v>281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.5" thickBot="1" x14ac:dyDescent="0.25">
      <c r="C61" s="37" t="s">
        <v>282</v>
      </c>
      <c r="D61" s="38">
        <v>0.42</v>
      </c>
      <c r="E61" s="38">
        <v>0.85</v>
      </c>
      <c r="F61" s="38">
        <v>0.49</v>
      </c>
      <c r="G61" s="38">
        <v>0.84</v>
      </c>
    </row>
    <row r="64" spans="3:7" x14ac:dyDescent="0.2">
      <c r="C64" s="19" t="s">
        <v>286</v>
      </c>
    </row>
    <row r="65" spans="3:7" ht="13.5" thickBot="1" x14ac:dyDescent="0.25"/>
    <row r="66" spans="3:7" x14ac:dyDescent="0.2">
      <c r="C66" s="44"/>
      <c r="D66" s="33" t="s">
        <v>287</v>
      </c>
      <c r="E66" s="33" t="s">
        <v>288</v>
      </c>
      <c r="F66" s="33" t="s">
        <v>289</v>
      </c>
      <c r="G66" s="33" t="s">
        <v>290</v>
      </c>
    </row>
    <row r="67" spans="3:7" x14ac:dyDescent="0.2">
      <c r="C67" s="45" t="s">
        <v>291</v>
      </c>
      <c r="D67" s="42"/>
      <c r="E67" s="42"/>
      <c r="F67" s="42"/>
      <c r="G67" s="42"/>
    </row>
    <row r="68" spans="3:7" x14ac:dyDescent="0.2">
      <c r="C68" s="31" t="s">
        <v>271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">
      <c r="C69" s="46" t="s">
        <v>265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">
      <c r="C70" s="31" t="s">
        <v>272</v>
      </c>
      <c r="D70" s="36">
        <v>0.25</v>
      </c>
      <c r="E70" s="36" t="s">
        <v>292</v>
      </c>
      <c r="F70" s="36">
        <v>0.44</v>
      </c>
      <c r="G70" s="36">
        <v>0.55000000000000004</v>
      </c>
    </row>
    <row r="71" spans="3:7" x14ac:dyDescent="0.2">
      <c r="C71" s="46" t="s">
        <v>265</v>
      </c>
      <c r="D71" s="47">
        <v>138</v>
      </c>
      <c r="E71" s="47"/>
      <c r="F71" s="47">
        <v>273</v>
      </c>
      <c r="G71" s="47">
        <v>277</v>
      </c>
    </row>
    <row r="72" spans="3:7" x14ac:dyDescent="0.2">
      <c r="C72" s="31" t="s">
        <v>293</v>
      </c>
      <c r="D72" s="36">
        <v>0.35</v>
      </c>
      <c r="E72" s="36" t="s">
        <v>292</v>
      </c>
      <c r="F72" s="36">
        <v>0.54</v>
      </c>
      <c r="G72" s="36">
        <v>0.63</v>
      </c>
    </row>
    <row r="73" spans="3:7" x14ac:dyDescent="0.2">
      <c r="C73" s="46" t="s">
        <v>265</v>
      </c>
      <c r="D73" s="47">
        <v>100</v>
      </c>
      <c r="E73" s="47"/>
      <c r="F73" s="47">
        <v>106</v>
      </c>
      <c r="G73" s="47">
        <v>202</v>
      </c>
    </row>
    <row r="74" spans="3:7" x14ac:dyDescent="0.2">
      <c r="C74" s="31" t="s">
        <v>294</v>
      </c>
      <c r="D74" s="36">
        <v>0.28999999999999998</v>
      </c>
      <c r="E74" s="36" t="s">
        <v>292</v>
      </c>
      <c r="F74" s="36">
        <v>0.43</v>
      </c>
      <c r="G74" s="36">
        <v>0.62</v>
      </c>
    </row>
    <row r="75" spans="3:7" x14ac:dyDescent="0.2">
      <c r="C75" s="46" t="s">
        <v>265</v>
      </c>
      <c r="D75" s="47">
        <v>112</v>
      </c>
      <c r="E75" s="47"/>
      <c r="F75" s="47">
        <v>106</v>
      </c>
      <c r="G75" s="47">
        <v>215</v>
      </c>
    </row>
    <row r="76" spans="3:7" x14ac:dyDescent="0.2">
      <c r="C76" s="31" t="s">
        <v>295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">
      <c r="C77" s="46" t="s">
        <v>265</v>
      </c>
      <c r="D77" s="47">
        <v>198</v>
      </c>
      <c r="E77" s="47">
        <v>296</v>
      </c>
      <c r="F77" s="47">
        <v>291</v>
      </c>
      <c r="G77" s="47">
        <v>286</v>
      </c>
    </row>
    <row r="78" spans="3:7" x14ac:dyDescent="0.2">
      <c r="C78" s="45" t="s">
        <v>296</v>
      </c>
      <c r="D78" s="42"/>
      <c r="E78" s="42"/>
      <c r="F78" s="42"/>
      <c r="G78" s="42"/>
    </row>
    <row r="79" spans="3:7" x14ac:dyDescent="0.2">
      <c r="C79" s="31" t="s">
        <v>265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">
      <c r="C80" s="31" t="s">
        <v>297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">
      <c r="C81" s="31" t="s">
        <v>298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">
      <c r="C82" s="31" t="s">
        <v>299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">
      <c r="C83" s="31" t="s">
        <v>300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">
      <c r="C84" s="31" t="s">
        <v>301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.5" thickBot="1" x14ac:dyDescent="0.25">
      <c r="C85" s="37" t="s">
        <v>302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">
      <c r="C86" s="50" t="s">
        <v>303</v>
      </c>
    </row>
    <row r="90" spans="2:24" s="24" customFormat="1" x14ac:dyDescent="0.2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1" width="6.7109375" style="1" bestFit="1" customWidth="1"/>
    <col min="12" max="14" width="6.42578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24" x14ac:dyDescent="0.2">
      <c r="A1" s="17" t="s">
        <v>135</v>
      </c>
    </row>
    <row r="2" spans="1:24" x14ac:dyDescent="0.2">
      <c r="B2" s="1" t="s">
        <v>153</v>
      </c>
      <c r="C2" s="1" t="s">
        <v>63</v>
      </c>
    </row>
    <row r="3" spans="1:24" x14ac:dyDescent="0.2">
      <c r="B3" s="1" t="s">
        <v>154</v>
      </c>
      <c r="C3" s="1" t="s">
        <v>513</v>
      </c>
    </row>
    <row r="4" spans="1:24" x14ac:dyDescent="0.2">
      <c r="B4" s="1" t="s">
        <v>3</v>
      </c>
      <c r="C4" s="1" t="s">
        <v>514</v>
      </c>
    </row>
    <row r="5" spans="1:24" x14ac:dyDescent="0.2">
      <c r="B5" s="1" t="s">
        <v>373</v>
      </c>
      <c r="C5" s="31" t="s">
        <v>567</v>
      </c>
    </row>
    <row r="7" spans="1:24" s="24" customFormat="1" x14ac:dyDescent="0.2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x14ac:dyDescent="0.2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2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5" width="6.42578125" style="1" bestFit="1" customWidth="1"/>
    <col min="6" max="14" width="5.28515625" style="1" customWidth="1"/>
    <col min="15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62</v>
      </c>
    </row>
    <row r="3" spans="1:3" x14ac:dyDescent="0.2">
      <c r="B3" s="1" t="s">
        <v>154</v>
      </c>
      <c r="C3" s="1" t="s">
        <v>431</v>
      </c>
    </row>
    <row r="4" spans="1:3" x14ac:dyDescent="0.2">
      <c r="B4" s="1" t="s">
        <v>0</v>
      </c>
      <c r="C4" s="1" t="s">
        <v>94</v>
      </c>
    </row>
    <row r="5" spans="1:3" x14ac:dyDescent="0.2">
      <c r="B5" s="1" t="s">
        <v>223</v>
      </c>
      <c r="C5" s="1" t="s">
        <v>432</v>
      </c>
    </row>
    <row r="6" spans="1:3" x14ac:dyDescent="0.2">
      <c r="B6" s="1" t="s">
        <v>169</v>
      </c>
    </row>
    <row r="7" spans="1:3" x14ac:dyDescent="0.2">
      <c r="B7" s="31"/>
      <c r="C7" s="19" t="s">
        <v>435</v>
      </c>
    </row>
    <row r="8" spans="1:3" x14ac:dyDescent="0.2">
      <c r="C8" s="1" t="s">
        <v>436</v>
      </c>
    </row>
    <row r="10" spans="1:3" x14ac:dyDescent="0.2">
      <c r="C10" s="1" t="s">
        <v>440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  <col min="3" max="11" width="6.7109375" bestFit="1" customWidth="1"/>
    <col min="12" max="14" width="6.42578125" bestFit="1" customWidth="1"/>
    <col min="15" max="15" width="2" customWidth="1"/>
    <col min="16" max="24" width="6.140625" customWidth="1"/>
  </cols>
  <sheetData>
    <row r="1" spans="1:24" x14ac:dyDescent="0.2">
      <c r="A1" s="20" t="s">
        <v>135</v>
      </c>
    </row>
    <row r="2" spans="1:24" x14ac:dyDescent="0.2">
      <c r="A2" s="20"/>
      <c r="B2" s="65" t="s">
        <v>153</v>
      </c>
      <c r="C2" s="65" t="s">
        <v>67</v>
      </c>
    </row>
    <row r="3" spans="1:24" x14ac:dyDescent="0.2">
      <c r="A3" s="20"/>
      <c r="B3" s="65" t="s">
        <v>154</v>
      </c>
      <c r="C3" s="65" t="s">
        <v>577</v>
      </c>
    </row>
    <row r="4" spans="1:24" x14ac:dyDescent="0.2">
      <c r="B4" t="s">
        <v>3</v>
      </c>
      <c r="C4" t="s">
        <v>502</v>
      </c>
    </row>
    <row r="8" spans="1:24" s="7" customFormat="1" x14ac:dyDescent="0.2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x14ac:dyDescent="0.2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9"/>
  <sheetViews>
    <sheetView zoomScale="130" zoomScaleNormal="130" workbookViewId="0">
      <selection activeCell="A4" sqref="A4"/>
    </sheetView>
  </sheetViews>
  <sheetFormatPr defaultColWidth="9.140625" defaultRowHeight="12.75" x14ac:dyDescent="0.2"/>
  <cols>
    <col min="1" max="1" width="2.42578125" style="77" customWidth="1"/>
    <col min="2" max="2" width="29.85546875" style="77" customWidth="1"/>
    <col min="3" max="3" width="21.42578125" style="77" customWidth="1"/>
    <col min="4" max="4" width="21.28515625" style="79" customWidth="1"/>
    <col min="5" max="5" width="13.7109375" style="79" customWidth="1"/>
    <col min="6" max="6" width="16" style="77" customWidth="1"/>
    <col min="7" max="7" width="29.42578125" style="77" customWidth="1"/>
    <col min="8" max="8" width="4" style="77" customWidth="1"/>
    <col min="9" max="9" width="11.7109375" style="77" bestFit="1" customWidth="1"/>
    <col min="10" max="10" width="9.85546875" style="77" customWidth="1"/>
    <col min="11" max="11" width="7.140625" style="77" customWidth="1"/>
    <col min="12" max="16384" width="9.140625" style="77"/>
  </cols>
  <sheetData>
    <row r="1" spans="1:12" x14ac:dyDescent="0.2">
      <c r="A1" s="76"/>
    </row>
    <row r="2" spans="1:12" x14ac:dyDescent="0.2">
      <c r="B2" s="80" t="s">
        <v>763</v>
      </c>
      <c r="C2" s="81" t="s">
        <v>0</v>
      </c>
      <c r="D2" s="81" t="s">
        <v>102</v>
      </c>
      <c r="E2" s="81" t="s">
        <v>1</v>
      </c>
      <c r="F2" s="81" t="s">
        <v>255</v>
      </c>
      <c r="G2" s="82" t="s">
        <v>3</v>
      </c>
      <c r="I2" s="77" t="s">
        <v>606</v>
      </c>
      <c r="J2" s="83">
        <v>15.98</v>
      </c>
    </row>
    <row r="3" spans="1:12" x14ac:dyDescent="0.2">
      <c r="B3" s="84" t="s">
        <v>1452</v>
      </c>
      <c r="C3" s="79" t="s">
        <v>120</v>
      </c>
      <c r="D3" s="85" t="s">
        <v>104</v>
      </c>
      <c r="E3" s="85">
        <v>1</v>
      </c>
      <c r="F3" s="79">
        <v>1998</v>
      </c>
      <c r="G3" s="139" t="s">
        <v>1453</v>
      </c>
      <c r="I3" s="110" t="s">
        <v>1346</v>
      </c>
      <c r="J3" s="83">
        <v>40.880000000000003</v>
      </c>
    </row>
    <row r="4" spans="1:12" x14ac:dyDescent="0.2">
      <c r="B4" s="84" t="s">
        <v>1391</v>
      </c>
      <c r="C4" s="115" t="s">
        <v>1454</v>
      </c>
      <c r="D4" s="116" t="s">
        <v>380</v>
      </c>
      <c r="E4" s="116" t="s">
        <v>588</v>
      </c>
      <c r="F4" s="183">
        <v>43028</v>
      </c>
      <c r="G4" s="139" t="s">
        <v>380</v>
      </c>
      <c r="I4" s="77" t="s">
        <v>316</v>
      </c>
      <c r="J4" s="87">
        <v>4079</v>
      </c>
      <c r="K4" s="128" t="s">
        <v>1485</v>
      </c>
    </row>
    <row r="5" spans="1:12" x14ac:dyDescent="0.2">
      <c r="B5" s="84" t="s">
        <v>1465</v>
      </c>
      <c r="C5" s="79" t="s">
        <v>66</v>
      </c>
      <c r="D5" s="115" t="s">
        <v>1466</v>
      </c>
      <c r="E5" s="85">
        <v>1</v>
      </c>
      <c r="F5" s="183">
        <v>41873</v>
      </c>
      <c r="G5" s="188">
        <v>46665</v>
      </c>
      <c r="I5" s="77" t="s">
        <v>317</v>
      </c>
      <c r="J5" s="87">
        <f>J4*J2</f>
        <v>65182.42</v>
      </c>
      <c r="L5" s="182"/>
    </row>
    <row r="6" spans="1:12" x14ac:dyDescent="0.2">
      <c r="B6" s="84" t="s">
        <v>1467</v>
      </c>
      <c r="C6" s="115" t="s">
        <v>66</v>
      </c>
      <c r="D6" s="115" t="s">
        <v>592</v>
      </c>
      <c r="E6" s="85">
        <v>1</v>
      </c>
      <c r="F6" s="183">
        <v>41498</v>
      </c>
      <c r="G6" s="188">
        <v>46665</v>
      </c>
      <c r="I6" s="77" t="s">
        <v>605</v>
      </c>
      <c r="J6" s="87">
        <v>4219</v>
      </c>
      <c r="K6" s="128" t="s">
        <v>1485</v>
      </c>
      <c r="L6" s="87"/>
    </row>
    <row r="7" spans="1:12" x14ac:dyDescent="0.2">
      <c r="B7" s="84" t="s">
        <v>1468</v>
      </c>
      <c r="C7" s="115" t="s">
        <v>66</v>
      </c>
      <c r="D7" s="115" t="s">
        <v>1470</v>
      </c>
      <c r="E7" s="85">
        <v>1</v>
      </c>
      <c r="F7" s="183">
        <v>43563</v>
      </c>
      <c r="G7" s="188">
        <v>46665</v>
      </c>
      <c r="I7" s="77" t="s">
        <v>609</v>
      </c>
      <c r="J7" s="87">
        <v>16943</v>
      </c>
      <c r="K7" s="128" t="s">
        <v>1485</v>
      </c>
    </row>
    <row r="8" spans="1:12" x14ac:dyDescent="0.2">
      <c r="B8" s="84" t="s">
        <v>1469</v>
      </c>
      <c r="C8" s="115" t="s">
        <v>66</v>
      </c>
      <c r="D8" s="115" t="s">
        <v>1471</v>
      </c>
      <c r="E8" s="115" t="s">
        <v>1472</v>
      </c>
      <c r="F8" s="183">
        <v>43060</v>
      </c>
      <c r="G8" s="188">
        <v>46665</v>
      </c>
      <c r="I8" s="77" t="s">
        <v>607</v>
      </c>
      <c r="J8" s="87">
        <f>J5-J6+J7</f>
        <v>77906.42</v>
      </c>
    </row>
    <row r="9" spans="1:12" x14ac:dyDescent="0.2">
      <c r="B9" s="84" t="s">
        <v>1480</v>
      </c>
      <c r="C9" s="115" t="s">
        <v>1479</v>
      </c>
      <c r="D9" s="115" t="s">
        <v>1481</v>
      </c>
      <c r="E9" s="116" t="s">
        <v>1483</v>
      </c>
      <c r="F9" s="183">
        <v>42996</v>
      </c>
      <c r="G9" s="191" t="s">
        <v>1482</v>
      </c>
    </row>
    <row r="10" spans="1:12" x14ac:dyDescent="0.2">
      <c r="B10" s="114" t="s">
        <v>1431</v>
      </c>
      <c r="C10" s="115" t="s">
        <v>326</v>
      </c>
      <c r="D10" s="115" t="s">
        <v>1273</v>
      </c>
      <c r="E10" s="85">
        <v>1</v>
      </c>
      <c r="G10" s="160"/>
    </row>
    <row r="11" spans="1:12" x14ac:dyDescent="0.2">
      <c r="B11" s="84" t="s">
        <v>604</v>
      </c>
      <c r="C11" s="79" t="s">
        <v>504</v>
      </c>
      <c r="D11" s="79" t="s">
        <v>505</v>
      </c>
      <c r="E11" s="79" t="s">
        <v>244</v>
      </c>
      <c r="F11" s="97">
        <v>40611</v>
      </c>
      <c r="G11" s="86" t="s">
        <v>666</v>
      </c>
    </row>
    <row r="12" spans="1:12" x14ac:dyDescent="0.2">
      <c r="B12" s="94" t="s">
        <v>77</v>
      </c>
      <c r="C12" s="79" t="s">
        <v>385</v>
      </c>
      <c r="D12" s="85" t="s">
        <v>380</v>
      </c>
      <c r="E12" s="85">
        <v>1</v>
      </c>
      <c r="F12" s="79"/>
      <c r="G12" s="86" t="s">
        <v>380</v>
      </c>
      <c r="I12" s="110" t="s">
        <v>1493</v>
      </c>
    </row>
    <row r="13" spans="1:12" x14ac:dyDescent="0.2">
      <c r="B13" s="94" t="s">
        <v>386</v>
      </c>
      <c r="C13" s="79" t="s">
        <v>387</v>
      </c>
      <c r="D13" s="85" t="s">
        <v>380</v>
      </c>
      <c r="E13" s="85">
        <v>1</v>
      </c>
      <c r="F13" s="79"/>
      <c r="G13" s="86" t="s">
        <v>380</v>
      </c>
      <c r="I13" s="110" t="s">
        <v>1433</v>
      </c>
    </row>
    <row r="14" spans="1:12" x14ac:dyDescent="0.2">
      <c r="B14" s="114" t="s">
        <v>1255</v>
      </c>
      <c r="C14" s="115" t="s">
        <v>1256</v>
      </c>
      <c r="D14" s="116" t="s">
        <v>380</v>
      </c>
      <c r="E14" s="85">
        <v>1</v>
      </c>
      <c r="F14" s="79"/>
      <c r="G14" s="139" t="s">
        <v>380</v>
      </c>
      <c r="I14" s="110" t="s">
        <v>1434</v>
      </c>
    </row>
    <row r="15" spans="1:12" x14ac:dyDescent="0.2">
      <c r="B15" s="94" t="s">
        <v>388</v>
      </c>
      <c r="C15" s="79" t="s">
        <v>389</v>
      </c>
      <c r="D15" s="85" t="s">
        <v>380</v>
      </c>
      <c r="E15" s="85">
        <v>1</v>
      </c>
      <c r="F15" s="79"/>
      <c r="G15" s="86" t="s">
        <v>380</v>
      </c>
    </row>
    <row r="16" spans="1:12" x14ac:dyDescent="0.2">
      <c r="B16" s="84" t="s">
        <v>23</v>
      </c>
      <c r="C16" s="79" t="s">
        <v>24</v>
      </c>
      <c r="D16" s="79" t="s">
        <v>380</v>
      </c>
      <c r="E16" s="85" t="s">
        <v>407</v>
      </c>
      <c r="F16" s="79" t="s">
        <v>600</v>
      </c>
      <c r="G16" s="86" t="s">
        <v>380</v>
      </c>
    </row>
    <row r="17" spans="2:9" x14ac:dyDescent="0.2">
      <c r="B17" s="84" t="s">
        <v>323</v>
      </c>
      <c r="C17" s="79" t="s">
        <v>326</v>
      </c>
      <c r="D17" s="85" t="s">
        <v>105</v>
      </c>
      <c r="E17" s="85">
        <v>1</v>
      </c>
      <c r="F17" s="79">
        <v>1996</v>
      </c>
      <c r="G17" s="89" t="s">
        <v>579</v>
      </c>
    </row>
    <row r="18" spans="2:9" x14ac:dyDescent="0.2">
      <c r="B18" s="94" t="s">
        <v>378</v>
      </c>
      <c r="C18" s="79" t="s">
        <v>379</v>
      </c>
      <c r="D18" s="85" t="s">
        <v>380</v>
      </c>
      <c r="E18" s="85">
        <v>1</v>
      </c>
      <c r="F18" s="79"/>
      <c r="G18" s="86" t="s">
        <v>380</v>
      </c>
    </row>
    <row r="19" spans="2:9" x14ac:dyDescent="0.2">
      <c r="B19" s="84" t="s">
        <v>25</v>
      </c>
      <c r="C19" s="79" t="s">
        <v>26</v>
      </c>
      <c r="D19" s="85" t="s">
        <v>380</v>
      </c>
      <c r="E19" s="116" t="s">
        <v>588</v>
      </c>
      <c r="F19" s="79" t="s">
        <v>456</v>
      </c>
      <c r="G19" s="86" t="s">
        <v>380</v>
      </c>
    </row>
    <row r="20" spans="2:9" x14ac:dyDescent="0.2">
      <c r="B20" s="94" t="s">
        <v>390</v>
      </c>
      <c r="C20" s="79" t="s">
        <v>391</v>
      </c>
      <c r="D20" s="85" t="s">
        <v>380</v>
      </c>
      <c r="E20" s="85"/>
      <c r="F20" s="79"/>
      <c r="G20" s="86" t="s">
        <v>380</v>
      </c>
    </row>
    <row r="21" spans="2:9" x14ac:dyDescent="0.2">
      <c r="B21" s="84" t="s">
        <v>571</v>
      </c>
      <c r="C21" s="79" t="s">
        <v>533</v>
      </c>
      <c r="D21" s="88" t="s">
        <v>380</v>
      </c>
      <c r="E21" s="85" t="s">
        <v>560</v>
      </c>
      <c r="F21" s="79" t="s">
        <v>255</v>
      </c>
      <c r="G21" s="86" t="s">
        <v>380</v>
      </c>
      <c r="I21" s="96"/>
    </row>
    <row r="22" spans="2:9" x14ac:dyDescent="0.2">
      <c r="B22" s="84" t="s">
        <v>667</v>
      </c>
      <c r="C22" s="88" t="s">
        <v>336</v>
      </c>
      <c r="D22" s="88" t="s">
        <v>668</v>
      </c>
      <c r="E22" s="90" t="s">
        <v>669</v>
      </c>
      <c r="F22" s="115" t="s">
        <v>1179</v>
      </c>
      <c r="G22" s="86" t="s">
        <v>666</v>
      </c>
    </row>
    <row r="23" spans="2:9" x14ac:dyDescent="0.2">
      <c r="B23" s="184" t="s">
        <v>393</v>
      </c>
      <c r="C23" s="106" t="s">
        <v>394</v>
      </c>
      <c r="D23" s="106" t="s">
        <v>380</v>
      </c>
      <c r="E23" s="107"/>
      <c r="F23" s="106">
        <v>2008</v>
      </c>
      <c r="G23" s="185" t="s">
        <v>380</v>
      </c>
    </row>
    <row r="24" spans="2:9" x14ac:dyDescent="0.2">
      <c r="B24" s="80"/>
      <c r="C24" s="81"/>
      <c r="D24" s="81"/>
      <c r="E24" s="81"/>
      <c r="F24" s="81" t="s">
        <v>4</v>
      </c>
      <c r="G24" s="82" t="s">
        <v>147</v>
      </c>
    </row>
    <row r="25" spans="2:9" x14ac:dyDescent="0.2">
      <c r="B25" s="84" t="s">
        <v>835</v>
      </c>
      <c r="C25" s="79" t="s">
        <v>321</v>
      </c>
      <c r="D25" s="88" t="s">
        <v>773</v>
      </c>
      <c r="E25" s="79" t="s">
        <v>555</v>
      </c>
      <c r="F25" s="115"/>
      <c r="G25" s="86" t="s">
        <v>774</v>
      </c>
    </row>
    <row r="26" spans="2:9" x14ac:dyDescent="0.2">
      <c r="B26" s="84" t="s">
        <v>777</v>
      </c>
      <c r="C26" s="88" t="s">
        <v>780</v>
      </c>
      <c r="D26" s="79" t="s">
        <v>380</v>
      </c>
      <c r="E26" s="85">
        <v>1</v>
      </c>
      <c r="F26" s="115"/>
      <c r="G26" s="86" t="s">
        <v>380</v>
      </c>
    </row>
    <row r="27" spans="2:9" x14ac:dyDescent="0.2">
      <c r="B27" s="84" t="s">
        <v>797</v>
      </c>
      <c r="C27" s="79" t="s">
        <v>120</v>
      </c>
      <c r="D27" s="79" t="s">
        <v>104</v>
      </c>
      <c r="E27" s="85" t="s">
        <v>108</v>
      </c>
      <c r="F27" s="79" t="s">
        <v>330</v>
      </c>
      <c r="G27" s="86" t="s">
        <v>775</v>
      </c>
    </row>
    <row r="28" spans="2:9" x14ac:dyDescent="0.2">
      <c r="B28" s="98" t="s">
        <v>535</v>
      </c>
      <c r="C28" s="79" t="s">
        <v>536</v>
      </c>
      <c r="E28" s="85">
        <v>1</v>
      </c>
      <c r="F28" s="79" t="s">
        <v>330</v>
      </c>
      <c r="G28" s="89"/>
    </row>
    <row r="29" spans="2:9" x14ac:dyDescent="0.2">
      <c r="B29" s="84" t="s">
        <v>142</v>
      </c>
      <c r="C29" s="88" t="s">
        <v>670</v>
      </c>
      <c r="E29" s="90" t="s">
        <v>588</v>
      </c>
      <c r="F29" s="88" t="s">
        <v>330</v>
      </c>
      <c r="G29" s="89"/>
    </row>
    <row r="30" spans="2:9" x14ac:dyDescent="0.2">
      <c r="B30" s="91" t="s">
        <v>723</v>
      </c>
      <c r="C30" s="88" t="s">
        <v>724</v>
      </c>
      <c r="D30" s="88" t="s">
        <v>380</v>
      </c>
      <c r="E30" s="85">
        <v>1</v>
      </c>
      <c r="F30" s="88" t="s">
        <v>330</v>
      </c>
      <c r="G30" s="89"/>
    </row>
    <row r="31" spans="2:9" x14ac:dyDescent="0.2">
      <c r="B31" s="91" t="s">
        <v>720</v>
      </c>
      <c r="C31" s="88" t="s">
        <v>721</v>
      </c>
      <c r="D31" s="88" t="s">
        <v>380</v>
      </c>
      <c r="E31" s="85">
        <v>1</v>
      </c>
      <c r="F31" s="88" t="s">
        <v>330</v>
      </c>
      <c r="G31" s="86" t="s">
        <v>722</v>
      </c>
    </row>
    <row r="32" spans="2:9" x14ac:dyDescent="0.2">
      <c r="B32" s="84" t="s">
        <v>1128</v>
      </c>
      <c r="C32" s="88" t="s">
        <v>816</v>
      </c>
      <c r="D32" s="88" t="s">
        <v>840</v>
      </c>
      <c r="E32" s="90" t="s">
        <v>817</v>
      </c>
      <c r="F32" s="88" t="s">
        <v>330</v>
      </c>
      <c r="G32" s="86"/>
    </row>
    <row r="33" spans="2:7" x14ac:dyDescent="0.2">
      <c r="B33" s="84" t="s">
        <v>1146</v>
      </c>
      <c r="C33" s="88" t="s">
        <v>857</v>
      </c>
      <c r="D33" s="88" t="s">
        <v>826</v>
      </c>
      <c r="E33" s="90" t="s">
        <v>825</v>
      </c>
      <c r="F33" s="88" t="s">
        <v>330</v>
      </c>
      <c r="G33" s="86"/>
    </row>
    <row r="34" spans="2:7" x14ac:dyDescent="0.2">
      <c r="B34" s="84" t="s">
        <v>828</v>
      </c>
      <c r="C34" s="88" t="s">
        <v>739</v>
      </c>
      <c r="D34" s="88" t="s">
        <v>830</v>
      </c>
      <c r="E34" s="90" t="s">
        <v>831</v>
      </c>
      <c r="F34" s="88" t="s">
        <v>330</v>
      </c>
      <c r="G34" s="86"/>
    </row>
    <row r="35" spans="2:7" x14ac:dyDescent="0.2">
      <c r="B35" s="84" t="s">
        <v>843</v>
      </c>
      <c r="C35" s="88" t="s">
        <v>844</v>
      </c>
      <c r="D35" s="88" t="s">
        <v>846</v>
      </c>
      <c r="E35" s="90" t="s">
        <v>845</v>
      </c>
      <c r="F35" s="88" t="s">
        <v>330</v>
      </c>
      <c r="G35" s="86"/>
    </row>
    <row r="36" spans="2:7" s="78" customFormat="1" x14ac:dyDescent="0.2">
      <c r="B36" s="114" t="s">
        <v>1176</v>
      </c>
      <c r="C36" s="115" t="s">
        <v>1177</v>
      </c>
      <c r="D36" s="115" t="s">
        <v>1178</v>
      </c>
      <c r="E36" s="116" t="s">
        <v>1175</v>
      </c>
      <c r="F36" s="115" t="s">
        <v>170</v>
      </c>
      <c r="G36" s="86"/>
    </row>
    <row r="37" spans="2:7" s="78" customFormat="1" x14ac:dyDescent="0.2">
      <c r="B37" s="114" t="s">
        <v>1494</v>
      </c>
      <c r="C37" s="115" t="s">
        <v>326</v>
      </c>
      <c r="D37" s="115" t="s">
        <v>1273</v>
      </c>
      <c r="E37" s="116"/>
      <c r="F37" s="115" t="s">
        <v>330</v>
      </c>
      <c r="G37" s="86"/>
    </row>
    <row r="38" spans="2:7" x14ac:dyDescent="0.2">
      <c r="B38" s="161" t="s">
        <v>1432</v>
      </c>
      <c r="C38" s="115" t="s">
        <v>379</v>
      </c>
      <c r="D38" s="115"/>
      <c r="E38" s="85"/>
      <c r="F38" s="115" t="s">
        <v>170</v>
      </c>
      <c r="G38" s="89"/>
    </row>
    <row r="39" spans="2:7" x14ac:dyDescent="0.2">
      <c r="B39" s="161" t="s">
        <v>1490</v>
      </c>
      <c r="C39" s="115" t="s">
        <v>1497</v>
      </c>
      <c r="D39" s="115" t="s">
        <v>1178</v>
      </c>
      <c r="E39" s="85"/>
      <c r="F39" s="115" t="s">
        <v>330</v>
      </c>
      <c r="G39" s="89"/>
    </row>
    <row r="40" spans="2:7" x14ac:dyDescent="0.2">
      <c r="B40" s="161" t="s">
        <v>1498</v>
      </c>
      <c r="C40" s="115"/>
      <c r="D40" s="115"/>
      <c r="E40" s="85"/>
      <c r="F40" s="79"/>
      <c r="G40" s="89"/>
    </row>
    <row r="41" spans="2:7" x14ac:dyDescent="0.2">
      <c r="B41" s="161" t="s">
        <v>1491</v>
      </c>
      <c r="C41" s="115"/>
      <c r="D41" s="115"/>
      <c r="E41" s="116" t="s">
        <v>1492</v>
      </c>
      <c r="F41" s="79"/>
      <c r="G41" s="89"/>
    </row>
    <row r="42" spans="2:7" x14ac:dyDescent="0.2">
      <c r="B42" s="103"/>
      <c r="C42" s="115" t="s">
        <v>1148</v>
      </c>
      <c r="D42" s="115" t="s">
        <v>1149</v>
      </c>
      <c r="E42" s="116" t="s">
        <v>1150</v>
      </c>
      <c r="F42" s="115" t="s">
        <v>170</v>
      </c>
      <c r="G42" s="89"/>
    </row>
    <row r="43" spans="2:7" x14ac:dyDescent="0.2">
      <c r="B43" s="103">
        <v>649868</v>
      </c>
      <c r="C43" s="88" t="s">
        <v>331</v>
      </c>
      <c r="D43" s="88" t="s">
        <v>498</v>
      </c>
      <c r="E43" s="90" t="s">
        <v>734</v>
      </c>
      <c r="F43" s="88" t="s">
        <v>170</v>
      </c>
      <c r="G43" s="89"/>
    </row>
    <row r="44" spans="2:7" x14ac:dyDescent="0.2">
      <c r="B44" s="103" t="s">
        <v>752</v>
      </c>
      <c r="C44" s="88" t="s">
        <v>753</v>
      </c>
      <c r="D44" s="88" t="s">
        <v>754</v>
      </c>
      <c r="E44" s="90">
        <v>1</v>
      </c>
      <c r="F44" s="88" t="s">
        <v>170</v>
      </c>
      <c r="G44" s="89"/>
    </row>
    <row r="45" spans="2:7" x14ac:dyDescent="0.2">
      <c r="B45" s="100" t="s">
        <v>240</v>
      </c>
      <c r="C45" s="79" t="s">
        <v>19</v>
      </c>
      <c r="E45" s="85" t="s">
        <v>241</v>
      </c>
      <c r="F45" s="79" t="s">
        <v>170</v>
      </c>
      <c r="G45" s="89"/>
    </row>
    <row r="46" spans="2:7" x14ac:dyDescent="0.2">
      <c r="B46" s="98" t="s">
        <v>794</v>
      </c>
      <c r="C46" s="79" t="s">
        <v>116</v>
      </c>
      <c r="D46" s="79" t="s">
        <v>795</v>
      </c>
      <c r="E46" s="85">
        <v>1</v>
      </c>
      <c r="F46" s="79" t="s">
        <v>170</v>
      </c>
      <c r="G46" s="89"/>
    </row>
    <row r="47" spans="2:7" x14ac:dyDescent="0.2">
      <c r="B47" s="102" t="s">
        <v>352</v>
      </c>
      <c r="C47" s="79" t="s">
        <v>340</v>
      </c>
      <c r="D47" s="88" t="s">
        <v>776</v>
      </c>
      <c r="E47" s="85">
        <v>1</v>
      </c>
      <c r="F47" s="79" t="s">
        <v>170</v>
      </c>
      <c r="G47" s="86" t="s">
        <v>651</v>
      </c>
    </row>
    <row r="48" spans="2:7" x14ac:dyDescent="0.2">
      <c r="B48" s="94" t="s">
        <v>534</v>
      </c>
      <c r="C48" s="79" t="s">
        <v>533</v>
      </c>
      <c r="E48" s="85">
        <v>1</v>
      </c>
      <c r="F48" s="79" t="s">
        <v>530</v>
      </c>
      <c r="G48" s="89"/>
    </row>
    <row r="49" spans="2:7" x14ac:dyDescent="0.2">
      <c r="B49" s="104" t="s">
        <v>566</v>
      </c>
      <c r="C49" s="88" t="s">
        <v>528</v>
      </c>
      <c r="D49" s="88" t="s">
        <v>529</v>
      </c>
      <c r="E49" s="85">
        <v>1</v>
      </c>
      <c r="F49" s="88" t="s">
        <v>530</v>
      </c>
      <c r="G49" s="89"/>
    </row>
    <row r="50" spans="2:7" x14ac:dyDescent="0.2">
      <c r="B50" s="102" t="s">
        <v>345</v>
      </c>
      <c r="C50" s="79" t="s">
        <v>346</v>
      </c>
      <c r="E50" s="85">
        <v>1</v>
      </c>
      <c r="F50" s="79" t="s">
        <v>170</v>
      </c>
      <c r="G50" s="89"/>
    </row>
    <row r="51" spans="2:7" x14ac:dyDescent="0.2">
      <c r="B51" s="192" t="s">
        <v>1495</v>
      </c>
      <c r="C51" s="115" t="s">
        <v>1496</v>
      </c>
      <c r="E51" s="85"/>
      <c r="F51" s="79"/>
      <c r="G51" s="89"/>
    </row>
    <row r="52" spans="2:7" x14ac:dyDescent="0.2">
      <c r="B52" s="102" t="s">
        <v>123</v>
      </c>
      <c r="C52" s="79" t="s">
        <v>120</v>
      </c>
      <c r="D52" s="79" t="s">
        <v>406</v>
      </c>
      <c r="E52" s="85">
        <v>1</v>
      </c>
      <c r="F52" s="79" t="s">
        <v>170</v>
      </c>
      <c r="G52" s="89"/>
    </row>
    <row r="53" spans="2:7" x14ac:dyDescent="0.2">
      <c r="B53" s="98" t="s">
        <v>348</v>
      </c>
      <c r="C53" s="79" t="s">
        <v>242</v>
      </c>
      <c r="E53" s="85" t="s">
        <v>243</v>
      </c>
      <c r="F53" s="79" t="s">
        <v>170</v>
      </c>
      <c r="G53" s="89"/>
    </row>
    <row r="54" spans="2:7" x14ac:dyDescent="0.2">
      <c r="B54" s="98" t="s">
        <v>727</v>
      </c>
      <c r="C54" s="79" t="s">
        <v>326</v>
      </c>
      <c r="E54" s="85">
        <v>1</v>
      </c>
      <c r="F54" s="79" t="s">
        <v>170</v>
      </c>
      <c r="G54" s="89" t="s">
        <v>666</v>
      </c>
    </row>
    <row r="55" spans="2:7" x14ac:dyDescent="0.2">
      <c r="B55" s="98" t="s">
        <v>729</v>
      </c>
      <c r="C55" s="79" t="s">
        <v>728</v>
      </c>
      <c r="E55" s="85">
        <v>1</v>
      </c>
      <c r="F55" s="79" t="s">
        <v>170</v>
      </c>
      <c r="G55" s="89" t="s">
        <v>666</v>
      </c>
    </row>
    <row r="56" spans="2:7" x14ac:dyDescent="0.2">
      <c r="B56" s="98" t="s">
        <v>730</v>
      </c>
      <c r="C56" s="79" t="s">
        <v>731</v>
      </c>
      <c r="E56" s="85">
        <v>1</v>
      </c>
      <c r="F56" s="79" t="s">
        <v>170</v>
      </c>
      <c r="G56" s="89" t="s">
        <v>666</v>
      </c>
    </row>
    <row r="57" spans="2:7" x14ac:dyDescent="0.2">
      <c r="B57" s="94" t="s">
        <v>425</v>
      </c>
      <c r="C57" s="79" t="s">
        <v>426</v>
      </c>
      <c r="E57" s="85"/>
      <c r="F57" s="79" t="s">
        <v>170</v>
      </c>
      <c r="G57" s="89"/>
    </row>
    <row r="58" spans="2:7" x14ac:dyDescent="0.2">
      <c r="B58" s="98" t="s">
        <v>549</v>
      </c>
      <c r="C58" s="79" t="s">
        <v>19</v>
      </c>
      <c r="E58" s="85">
        <v>1</v>
      </c>
      <c r="F58" s="79" t="s">
        <v>170</v>
      </c>
      <c r="G58" s="89"/>
    </row>
    <row r="59" spans="2:7" x14ac:dyDescent="0.2">
      <c r="B59" s="98" t="s">
        <v>353</v>
      </c>
      <c r="C59" s="79" t="s">
        <v>19</v>
      </c>
      <c r="D59" s="79" t="s">
        <v>354</v>
      </c>
      <c r="E59" s="85"/>
      <c r="F59" s="79" t="s">
        <v>170</v>
      </c>
      <c r="G59" s="89"/>
    </row>
    <row r="60" spans="2:7" x14ac:dyDescent="0.2">
      <c r="B60" s="98" t="s">
        <v>349</v>
      </c>
      <c r="C60" s="79" t="s">
        <v>350</v>
      </c>
      <c r="D60" s="79" t="s">
        <v>351</v>
      </c>
      <c r="E60" s="85"/>
      <c r="F60" s="79" t="s">
        <v>170</v>
      </c>
      <c r="G60" s="89"/>
    </row>
    <row r="61" spans="2:7" x14ac:dyDescent="0.2">
      <c r="B61" s="98" t="s">
        <v>5</v>
      </c>
      <c r="C61" s="79" t="s">
        <v>6</v>
      </c>
      <c r="D61" s="79" t="s">
        <v>347</v>
      </c>
      <c r="E61" s="85">
        <v>1</v>
      </c>
      <c r="F61" s="79" t="s">
        <v>530</v>
      </c>
      <c r="G61" s="89"/>
    </row>
    <row r="62" spans="2:7" x14ac:dyDescent="0.2">
      <c r="B62" s="98" t="s">
        <v>540</v>
      </c>
      <c r="C62" s="79"/>
      <c r="D62" s="79" t="s">
        <v>795</v>
      </c>
      <c r="E62" s="85">
        <v>1</v>
      </c>
      <c r="F62" s="79" t="s">
        <v>530</v>
      </c>
      <c r="G62" s="89"/>
    </row>
    <row r="63" spans="2:7" x14ac:dyDescent="0.2">
      <c r="B63" s="98" t="s">
        <v>738</v>
      </c>
      <c r="C63" s="79" t="s">
        <v>739</v>
      </c>
      <c r="E63" s="85" t="s">
        <v>734</v>
      </c>
      <c r="F63" s="79" t="s">
        <v>530</v>
      </c>
      <c r="G63" s="89" t="s">
        <v>666</v>
      </c>
    </row>
    <row r="64" spans="2:7" x14ac:dyDescent="0.2">
      <c r="B64" s="98" t="s">
        <v>742</v>
      </c>
      <c r="C64" s="79" t="s">
        <v>743</v>
      </c>
      <c r="E64" s="85">
        <v>1</v>
      </c>
      <c r="F64" s="79" t="s">
        <v>530</v>
      </c>
      <c r="G64" s="89" t="s">
        <v>666</v>
      </c>
    </row>
    <row r="65" spans="2:8" x14ac:dyDescent="0.2">
      <c r="B65" s="98" t="s">
        <v>740</v>
      </c>
      <c r="C65" s="79" t="s">
        <v>741</v>
      </c>
      <c r="E65" s="85">
        <v>1</v>
      </c>
      <c r="F65" s="79" t="s">
        <v>530</v>
      </c>
      <c r="G65" s="89" t="s">
        <v>666</v>
      </c>
    </row>
    <row r="66" spans="2:8" x14ac:dyDescent="0.2">
      <c r="B66" s="98" t="s">
        <v>744</v>
      </c>
      <c r="C66" s="79" t="s">
        <v>745</v>
      </c>
      <c r="E66" s="85">
        <v>1</v>
      </c>
      <c r="F66" s="79" t="s">
        <v>530</v>
      </c>
      <c r="G66" s="89" t="s">
        <v>666</v>
      </c>
    </row>
    <row r="67" spans="2:8" x14ac:dyDescent="0.2">
      <c r="B67" s="94" t="s">
        <v>537</v>
      </c>
      <c r="C67" s="79" t="s">
        <v>538</v>
      </c>
      <c r="E67" s="85">
        <v>1</v>
      </c>
      <c r="F67" s="79" t="s">
        <v>530</v>
      </c>
      <c r="G67" s="89"/>
    </row>
    <row r="68" spans="2:8" x14ac:dyDescent="0.2">
      <c r="B68" s="98" t="s">
        <v>124</v>
      </c>
      <c r="C68" s="79" t="s">
        <v>125</v>
      </c>
      <c r="E68" s="85">
        <v>1</v>
      </c>
      <c r="F68" s="79" t="s">
        <v>530</v>
      </c>
      <c r="G68" s="89"/>
    </row>
    <row r="69" spans="2:8" x14ac:dyDescent="0.2">
      <c r="B69" s="98" t="s">
        <v>126</v>
      </c>
      <c r="C69" s="79" t="s">
        <v>542</v>
      </c>
      <c r="D69" s="79" t="s">
        <v>541</v>
      </c>
      <c r="E69" s="85">
        <v>1</v>
      </c>
      <c r="F69" s="79" t="s">
        <v>530</v>
      </c>
      <c r="G69" s="89"/>
    </row>
    <row r="70" spans="2:8" x14ac:dyDescent="0.2">
      <c r="B70" s="94" t="s">
        <v>544</v>
      </c>
      <c r="C70" s="79" t="s">
        <v>545</v>
      </c>
      <c r="E70" s="85">
        <v>1</v>
      </c>
      <c r="F70" s="79" t="s">
        <v>170</v>
      </c>
      <c r="G70" s="89"/>
    </row>
    <row r="71" spans="2:8" x14ac:dyDescent="0.2">
      <c r="B71" s="98" t="s">
        <v>546</v>
      </c>
      <c r="C71" s="79" t="s">
        <v>343</v>
      </c>
      <c r="E71" s="85">
        <v>1</v>
      </c>
      <c r="F71" s="79" t="s">
        <v>530</v>
      </c>
      <c r="G71" s="89"/>
      <c r="H71" s="78"/>
    </row>
    <row r="72" spans="2:8" x14ac:dyDescent="0.2">
      <c r="B72" s="98" t="s">
        <v>547</v>
      </c>
      <c r="C72" s="79" t="s">
        <v>528</v>
      </c>
      <c r="E72" s="85" t="s">
        <v>548</v>
      </c>
      <c r="F72" s="79" t="s">
        <v>530</v>
      </c>
      <c r="G72" s="89"/>
    </row>
    <row r="73" spans="2:8" x14ac:dyDescent="0.2">
      <c r="B73" s="94" t="s">
        <v>735</v>
      </c>
      <c r="C73" s="79" t="s">
        <v>736</v>
      </c>
      <c r="D73" s="79" t="s">
        <v>737</v>
      </c>
      <c r="E73" s="85" t="s">
        <v>734</v>
      </c>
      <c r="F73" s="79" t="s">
        <v>530</v>
      </c>
      <c r="G73" s="89"/>
    </row>
    <row r="74" spans="2:8" x14ac:dyDescent="0.2">
      <c r="B74" s="98" t="s">
        <v>553</v>
      </c>
      <c r="C74" s="79" t="s">
        <v>554</v>
      </c>
      <c r="E74" s="85">
        <v>1</v>
      </c>
      <c r="F74" s="79" t="s">
        <v>530</v>
      </c>
      <c r="G74" s="89"/>
    </row>
    <row r="75" spans="2:8" x14ac:dyDescent="0.2">
      <c r="B75" s="98" t="s">
        <v>127</v>
      </c>
      <c r="C75" s="79" t="s">
        <v>128</v>
      </c>
      <c r="E75" s="85">
        <v>1</v>
      </c>
      <c r="F75" s="79" t="s">
        <v>530</v>
      </c>
      <c r="G75" s="89"/>
    </row>
    <row r="76" spans="2:8" x14ac:dyDescent="0.2">
      <c r="B76" s="94" t="s">
        <v>732</v>
      </c>
      <c r="C76" s="79" t="s">
        <v>528</v>
      </c>
      <c r="D76" s="79" t="s">
        <v>733</v>
      </c>
      <c r="E76" s="85" t="s">
        <v>734</v>
      </c>
      <c r="F76" s="79" t="s">
        <v>530</v>
      </c>
      <c r="G76" s="89"/>
    </row>
    <row r="77" spans="2:8" x14ac:dyDescent="0.2">
      <c r="B77" s="98" t="s">
        <v>551</v>
      </c>
      <c r="C77" s="79" t="s">
        <v>552</v>
      </c>
      <c r="E77" s="85">
        <v>1</v>
      </c>
      <c r="F77" s="79" t="s">
        <v>530</v>
      </c>
      <c r="G77" s="89"/>
    </row>
    <row r="78" spans="2:8" x14ac:dyDescent="0.2">
      <c r="B78" s="98" t="s">
        <v>550</v>
      </c>
      <c r="C78" s="79" t="s">
        <v>206</v>
      </c>
      <c r="E78" s="85">
        <v>1</v>
      </c>
      <c r="F78" s="79" t="s">
        <v>530</v>
      </c>
      <c r="G78" s="89"/>
    </row>
    <row r="79" spans="2:8" x14ac:dyDescent="0.2">
      <c r="B79" s="98" t="s">
        <v>129</v>
      </c>
      <c r="C79" s="79" t="s">
        <v>130</v>
      </c>
      <c r="E79" s="85">
        <v>1</v>
      </c>
      <c r="F79" s="79" t="s">
        <v>530</v>
      </c>
      <c r="G79" s="89"/>
    </row>
    <row r="80" spans="2:8" x14ac:dyDescent="0.2">
      <c r="B80" s="129" t="s">
        <v>1317</v>
      </c>
      <c r="C80" s="79" t="s">
        <v>326</v>
      </c>
      <c r="E80" s="85">
        <v>1</v>
      </c>
      <c r="F80" s="79" t="s">
        <v>543</v>
      </c>
      <c r="G80" s="89"/>
    </row>
    <row r="81" spans="2:7" x14ac:dyDescent="0.2">
      <c r="B81" s="98" t="s">
        <v>131</v>
      </c>
      <c r="C81" s="79" t="s">
        <v>132</v>
      </c>
      <c r="E81" s="85">
        <v>1</v>
      </c>
      <c r="F81" s="79" t="s">
        <v>530</v>
      </c>
      <c r="G81" s="89"/>
    </row>
    <row r="82" spans="2:7" x14ac:dyDescent="0.2">
      <c r="B82" s="94" t="s">
        <v>27</v>
      </c>
      <c r="C82" s="79" t="s">
        <v>28</v>
      </c>
      <c r="D82" s="79" t="s">
        <v>396</v>
      </c>
      <c r="E82" s="85"/>
      <c r="F82" s="79"/>
      <c r="G82" s="89"/>
    </row>
    <row r="83" spans="2:7" x14ac:dyDescent="0.2">
      <c r="B83" s="94" t="s">
        <v>29</v>
      </c>
      <c r="C83" s="79" t="s">
        <v>30</v>
      </c>
      <c r="D83" s="79" t="s">
        <v>396</v>
      </c>
      <c r="E83" s="85"/>
      <c r="F83" s="79"/>
      <c r="G83" s="89"/>
    </row>
    <row r="84" spans="2:7" x14ac:dyDescent="0.2">
      <c r="B84" s="94" t="s">
        <v>205</v>
      </c>
      <c r="C84" s="79" t="s">
        <v>392</v>
      </c>
      <c r="D84" s="79" t="s">
        <v>380</v>
      </c>
      <c r="E84" s="85"/>
      <c r="F84" s="79"/>
      <c r="G84" s="89"/>
    </row>
    <row r="85" spans="2:7" x14ac:dyDescent="0.2">
      <c r="B85" s="94" t="s">
        <v>77</v>
      </c>
      <c r="C85" s="79" t="s">
        <v>395</v>
      </c>
      <c r="D85" s="79" t="s">
        <v>380</v>
      </c>
      <c r="E85" s="85"/>
      <c r="F85" s="79"/>
      <c r="G85" s="89"/>
    </row>
    <row r="86" spans="2:7" x14ac:dyDescent="0.2">
      <c r="B86" s="94" t="s">
        <v>16</v>
      </c>
      <c r="C86" s="79" t="s">
        <v>17</v>
      </c>
      <c r="E86" s="85"/>
      <c r="F86" s="79"/>
      <c r="G86" s="89"/>
    </row>
    <row r="87" spans="2:7" x14ac:dyDescent="0.2">
      <c r="B87" s="100">
        <v>406381</v>
      </c>
      <c r="C87" s="79" t="s">
        <v>18</v>
      </c>
      <c r="F87" s="79"/>
      <c r="G87" s="89"/>
    </row>
    <row r="88" spans="2:7" x14ac:dyDescent="0.2">
      <c r="B88" s="94" t="s">
        <v>115</v>
      </c>
      <c r="C88" s="79" t="s">
        <v>116</v>
      </c>
      <c r="F88" s="79"/>
      <c r="G88" s="89" t="s">
        <v>117</v>
      </c>
    </row>
    <row r="89" spans="2:7" x14ac:dyDescent="0.2">
      <c r="B89" s="105" t="s">
        <v>527</v>
      </c>
      <c r="C89" s="106" t="s">
        <v>528</v>
      </c>
      <c r="D89" s="106" t="s">
        <v>529</v>
      </c>
      <c r="E89" s="107">
        <v>1</v>
      </c>
      <c r="F89" s="106" t="s">
        <v>530</v>
      </c>
      <c r="G89" s="108"/>
    </row>
  </sheetData>
  <dataConsolidate/>
  <phoneticPr fontId="4" type="noConversion"/>
  <hyperlinks>
    <hyperlink ref="B27" location="Relovair!A1" display="Relovair" xr:uid="{00000000-0004-0000-0000-000000000000}"/>
    <hyperlink ref="B29" location="MAGE!A1" display="MAGE" xr:uid="{00000000-0004-0000-0000-000002000000}"/>
    <hyperlink ref="B16" location="Cervarix!A1" display="Cervarix" xr:uid="{00000000-0004-0000-0000-000006000000}"/>
    <hyperlink ref="B3" location="Advair!A1" display="Advair (fluticasone/salmeterol)" xr:uid="{00000000-0004-0000-0000-000007000000}"/>
    <hyperlink ref="B17" location="Flovent!A1" display="Flovent (fluticasone)" xr:uid="{00000000-0004-0000-0000-000013000000}"/>
    <hyperlink ref="B25" location="Potiga!A1" display="Potiga/Trobalt (retigabine/ezogabine)" xr:uid="{00000000-0004-0000-0000-000017000000}"/>
    <hyperlink ref="B32" location="GSK786!A1" display="GSK786" xr:uid="{00000000-0004-0000-0000-000018000000}"/>
    <hyperlink ref="B34" location="'GSK212'!A1" display="GSK1120212" xr:uid="{00000000-0004-0000-0000-000010010000}"/>
    <hyperlink ref="B35" location="'IPX066'!A1" display="IPX066" xr:uid="{00000000-0004-0000-0000-000013010000}"/>
    <hyperlink ref="B11" location="Benlysta!A1" display="Benlysta (belimumab)" xr:uid="{00000000-0004-0000-0000-000014010000}"/>
    <hyperlink ref="B33" location="Amigal!A1" display="Amigal" xr:uid="{00000000-0004-0000-0000-000015010000}"/>
    <hyperlink ref="B26" location="MenHibrix!A1" display="Menhibrix HiB-MenCY/134612" xr:uid="{00000000-0004-0000-0000-000019010000}"/>
    <hyperlink ref="B19" location="Rotarix!A1" display="Rotarix" xr:uid="{00000000-0004-0000-0000-00001A010000}"/>
    <hyperlink ref="B21" location="Synflorix!A1" display="Synflorix" xr:uid="{00000000-0004-0000-0000-00001B010000}"/>
    <hyperlink ref="B22" location="denosumab!A1" display="Prolia (denosumab)" xr:uid="{00000000-0004-0000-0000-00001E010000}"/>
    <hyperlink ref="B5" location="dolutegravir!A1" display="Triumeq (abacavir/dolutegravir/lamivudine)" xr:uid="{D01387A0-7A10-4DED-A8D5-9178CAFDD2B1}"/>
    <hyperlink ref="B4" location="Shingrix!A1" display="Shingrix" xr:uid="{AFD56F34-A69C-4A36-ADA0-D5F92BF24587}"/>
    <hyperlink ref="B6" location="dolutegravir!A1" display="Tivicay (dolutegravir)" xr:uid="{8A569171-5F6B-4A7C-9537-35BB4B5B2233}"/>
    <hyperlink ref="B7" location="dolutegravir!A1" display="Dovato (dolutegravir/lamivudine)" xr:uid="{9D828DC5-FA4E-4AED-AB41-85F6625DA9EA}"/>
    <hyperlink ref="B8" location="dolutegravir!A1" display="Juluca (dolutegravir/rilpivirine)" xr:uid="{5EACF9D6-3C3A-4088-9034-68F2BEFAA257}"/>
  </hyperlinks>
  <pageMargins left="0.75" right="0.13" top="0.17" bottom="0.02" header="0.5" footer="0.13"/>
  <pageSetup scale="56" orientation="portrait" horizontalDpi="1200" verticalDpi="12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" t="s">
        <v>812</v>
      </c>
    </row>
    <row r="3" spans="1:3" x14ac:dyDescent="0.2">
      <c r="A3" s="17"/>
      <c r="B3" s="1" t="s">
        <v>154</v>
      </c>
      <c r="C3" s="1" t="s">
        <v>237</v>
      </c>
    </row>
    <row r="4" spans="1:3" x14ac:dyDescent="0.2">
      <c r="A4" s="17"/>
      <c r="C4" s="1" t="s">
        <v>149</v>
      </c>
    </row>
    <row r="5" spans="1:3" x14ac:dyDescent="0.2">
      <c r="A5" s="17"/>
      <c r="C5" s="1" t="s">
        <v>150</v>
      </c>
    </row>
    <row r="6" spans="1:3" x14ac:dyDescent="0.2">
      <c r="A6" s="17"/>
      <c r="B6" s="1" t="s">
        <v>156</v>
      </c>
      <c r="C6" s="1" t="s">
        <v>519</v>
      </c>
    </row>
    <row r="7" spans="1:3" x14ac:dyDescent="0.2">
      <c r="A7" s="17"/>
      <c r="B7" s="117" t="s">
        <v>223</v>
      </c>
      <c r="C7" s="117" t="s">
        <v>1442</v>
      </c>
    </row>
    <row r="8" spans="1:3" x14ac:dyDescent="0.2">
      <c r="A8" s="17"/>
      <c r="B8" s="1" t="s">
        <v>3</v>
      </c>
      <c r="C8" s="1" t="s">
        <v>813</v>
      </c>
    </row>
    <row r="9" spans="1:3" x14ac:dyDescent="0.2">
      <c r="A9" s="17"/>
      <c r="B9" s="117" t="s">
        <v>174</v>
      </c>
      <c r="C9" s="117" t="s">
        <v>1218</v>
      </c>
    </row>
    <row r="10" spans="1:3" x14ac:dyDescent="0.2">
      <c r="A10" s="17"/>
      <c r="B10" s="1" t="s">
        <v>169</v>
      </c>
    </row>
    <row r="11" spans="1:3" x14ac:dyDescent="0.2">
      <c r="C11" s="19" t="s">
        <v>525</v>
      </c>
    </row>
    <row r="12" spans="1:3" x14ac:dyDescent="0.2">
      <c r="C12" s="31" t="s">
        <v>815</v>
      </c>
    </row>
    <row r="13" spans="1:3" x14ac:dyDescent="0.2">
      <c r="C13" s="31"/>
    </row>
    <row r="14" spans="1:3" x14ac:dyDescent="0.2">
      <c r="C14" s="19" t="s">
        <v>526</v>
      </c>
    </row>
    <row r="15" spans="1:3" x14ac:dyDescent="0.2">
      <c r="C15" s="31"/>
    </row>
    <row r="16" spans="1:3" x14ac:dyDescent="0.2">
      <c r="C16" s="19" t="s">
        <v>523</v>
      </c>
    </row>
    <row r="18" spans="3:3" x14ac:dyDescent="0.2">
      <c r="C18" s="19" t="s">
        <v>524</v>
      </c>
    </row>
    <row r="20" spans="3:3" x14ac:dyDescent="0.2">
      <c r="C20" s="19" t="s">
        <v>521</v>
      </c>
    </row>
    <row r="21" spans="3:3" x14ac:dyDescent="0.2">
      <c r="C21" s="19"/>
    </row>
    <row r="22" spans="3:3" x14ac:dyDescent="0.2">
      <c r="C22" s="19" t="s">
        <v>522</v>
      </c>
    </row>
    <row r="24" spans="3:3" x14ac:dyDescent="0.2">
      <c r="C24" s="19" t="s">
        <v>520</v>
      </c>
    </row>
    <row r="25" spans="3:3" x14ac:dyDescent="0.2">
      <c r="C25" s="1" t="s">
        <v>148</v>
      </c>
    </row>
    <row r="27" spans="3:3" x14ac:dyDescent="0.2">
      <c r="C27" s="19" t="s">
        <v>238</v>
      </c>
    </row>
    <row r="28" spans="3:3" x14ac:dyDescent="0.2">
      <c r="C28" s="1" t="s">
        <v>151</v>
      </c>
    </row>
    <row r="29" spans="3:3" x14ac:dyDescent="0.2">
      <c r="C29" s="1" t="s">
        <v>152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" t="s">
        <v>315</v>
      </c>
    </row>
    <row r="3" spans="1:3" x14ac:dyDescent="0.2">
      <c r="B3" s="1" t="s">
        <v>3</v>
      </c>
      <c r="C3" s="1" t="s">
        <v>497</v>
      </c>
    </row>
    <row r="5" spans="1:3" x14ac:dyDescent="0.2">
      <c r="C5" s="1" t="s">
        <v>93</v>
      </c>
    </row>
    <row r="6" spans="1:3" x14ac:dyDescent="0.2">
      <c r="C6" s="1" t="s">
        <v>118</v>
      </c>
    </row>
    <row r="9" spans="1:3" x14ac:dyDescent="0.2">
      <c r="C9" s="1" t="s">
        <v>196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ColWidth="8.85546875" defaultRowHeight="12.75" x14ac:dyDescent="0.2"/>
  <cols>
    <col min="2" max="2" width="12.85546875" bestFit="1" customWidth="1"/>
  </cols>
  <sheetData>
    <row r="2" spans="2:3" x14ac:dyDescent="0.2">
      <c r="B2" t="s">
        <v>153</v>
      </c>
      <c r="C2" t="s">
        <v>190</v>
      </c>
    </row>
    <row r="3" spans="2:3" x14ac:dyDescent="0.2">
      <c r="B3" t="s">
        <v>154</v>
      </c>
      <c r="C3" t="s">
        <v>189</v>
      </c>
    </row>
    <row r="4" spans="2:3" x14ac:dyDescent="0.2">
      <c r="B4" t="s">
        <v>192</v>
      </c>
      <c r="C4" t="s">
        <v>191</v>
      </c>
    </row>
    <row r="5" spans="2:3" x14ac:dyDescent="0.2">
      <c r="C5" t="s">
        <v>193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0" width="6.7109375" style="1" bestFit="1" customWidth="1"/>
    <col min="11" max="13" width="6.42578125" style="1" bestFit="1" customWidth="1"/>
    <col min="14" max="14" width="2" style="1" customWidth="1"/>
    <col min="15" max="23" width="6.140625" style="1" customWidth="1"/>
    <col min="24" max="16384" width="9.140625" style="1"/>
  </cols>
  <sheetData>
    <row r="1" spans="1:24" x14ac:dyDescent="0.2">
      <c r="A1" s="17" t="s">
        <v>135</v>
      </c>
    </row>
    <row r="2" spans="1:24" x14ac:dyDescent="0.2">
      <c r="B2" s="1" t="s">
        <v>153</v>
      </c>
      <c r="C2" s="1" t="s">
        <v>68</v>
      </c>
    </row>
    <row r="3" spans="1:24" x14ac:dyDescent="0.2">
      <c r="B3" s="1" t="s">
        <v>154</v>
      </c>
      <c r="C3" s="1" t="s">
        <v>218</v>
      </c>
    </row>
    <row r="4" spans="1:24" x14ac:dyDescent="0.2">
      <c r="B4" s="1" t="s">
        <v>0</v>
      </c>
      <c r="C4" s="1" t="s">
        <v>66</v>
      </c>
    </row>
    <row r="5" spans="1:24" x14ac:dyDescent="0.2">
      <c r="B5" s="1" t="s">
        <v>169</v>
      </c>
    </row>
    <row r="6" spans="1:24" x14ac:dyDescent="0.2">
      <c r="C6" s="19" t="s">
        <v>219</v>
      </c>
    </row>
    <row r="7" spans="1:24" x14ac:dyDescent="0.2">
      <c r="C7" s="1" t="s">
        <v>220</v>
      </c>
    </row>
    <row r="10" spans="1:24" s="24" customFormat="1" x14ac:dyDescent="0.2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x14ac:dyDescent="0.2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221</v>
      </c>
    </row>
    <row r="3" spans="1:3" x14ac:dyDescent="0.2">
      <c r="B3" s="1" t="s">
        <v>154</v>
      </c>
      <c r="C3" s="1" t="s">
        <v>222</v>
      </c>
    </row>
    <row r="4" spans="1:3" x14ac:dyDescent="0.2">
      <c r="B4" s="1" t="s">
        <v>0</v>
      </c>
      <c r="C4" s="1" t="s">
        <v>66</v>
      </c>
    </row>
    <row r="5" spans="1:3" x14ac:dyDescent="0.2">
      <c r="B5" s="1" t="s">
        <v>223</v>
      </c>
      <c r="C5" s="1" t="s">
        <v>228</v>
      </c>
    </row>
    <row r="6" spans="1:3" x14ac:dyDescent="0.2">
      <c r="B6" s="1" t="s">
        <v>2</v>
      </c>
      <c r="C6" s="1" t="s">
        <v>224</v>
      </c>
    </row>
    <row r="7" spans="1:3" x14ac:dyDescent="0.2">
      <c r="B7" s="1" t="s">
        <v>225</v>
      </c>
      <c r="C7" s="1" t="s">
        <v>226</v>
      </c>
    </row>
    <row r="8" spans="1:3" x14ac:dyDescent="0.2">
      <c r="B8" s="1" t="s">
        <v>169</v>
      </c>
    </row>
    <row r="9" spans="1:3" x14ac:dyDescent="0.2">
      <c r="C9" s="19" t="s">
        <v>229</v>
      </c>
    </row>
    <row r="10" spans="1:3" x14ac:dyDescent="0.2">
      <c r="C10" s="1" t="s">
        <v>230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ColWidth="8.85546875" defaultRowHeight="12.75" x14ac:dyDescent="0.2"/>
  <cols>
    <col min="1" max="1" width="10.85546875" bestFit="1" customWidth="1"/>
    <col min="2" max="10" width="6.7109375" bestFit="1" customWidth="1"/>
    <col min="11" max="13" width="6.42578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ColWidth="8.85546875" defaultRowHeight="12.75" x14ac:dyDescent="0.2"/>
  <cols>
    <col min="1" max="1" width="10.85546875" bestFit="1" customWidth="1"/>
    <col min="2" max="10" width="6.7109375" bestFit="1" customWidth="1"/>
    <col min="11" max="13" width="6.42578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  <col min="3" max="3" width="10.85546875" bestFit="1" customWidth="1"/>
    <col min="4" max="12" width="6.7109375" bestFit="1" customWidth="1"/>
    <col min="13" max="15" width="6.42578125" bestFit="1" customWidth="1"/>
    <col min="16" max="16" width="2" customWidth="1"/>
    <col min="17" max="25" width="6.140625" customWidth="1"/>
  </cols>
  <sheetData>
    <row r="1" spans="1:25" x14ac:dyDescent="0.2">
      <c r="A1" s="20" t="s">
        <v>135</v>
      </c>
    </row>
    <row r="2" spans="1:25" x14ac:dyDescent="0.2">
      <c r="B2" t="s">
        <v>153</v>
      </c>
      <c r="C2" t="s">
        <v>64</v>
      </c>
    </row>
    <row r="3" spans="1:25" x14ac:dyDescent="0.2">
      <c r="B3" t="s">
        <v>373</v>
      </c>
      <c r="C3" t="s">
        <v>411</v>
      </c>
    </row>
    <row r="6" spans="1:25" s="7" customFormat="1" x14ac:dyDescent="0.2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x14ac:dyDescent="0.2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ColWidth="8.85546875" defaultRowHeight="12.75" x14ac:dyDescent="0.2"/>
  <cols>
    <col min="1" max="1" width="10.85546875" bestFit="1" customWidth="1"/>
    <col min="2" max="10" width="6.7109375" bestFit="1" customWidth="1"/>
    <col min="11" max="13" width="6.42578125" bestFit="1" customWidth="1"/>
    <col min="14" max="14" width="2.42578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ColWidth="8.85546875" defaultRowHeight="12.75" x14ac:dyDescent="0.2"/>
  <cols>
    <col min="1" max="1" width="10.85546875" bestFit="1" customWidth="1"/>
    <col min="2" max="7" width="6.140625" customWidth="1"/>
  </cols>
  <sheetData>
    <row r="2" spans="1:7" s="7" customFormat="1" x14ac:dyDescent="0.2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x14ac:dyDescent="0.2">
      <c r="A6" s="5"/>
      <c r="B6" s="13"/>
      <c r="C6" s="13"/>
      <c r="D6" s="13"/>
      <c r="E6" s="13"/>
      <c r="F6" s="13"/>
      <c r="G6" s="13"/>
    </row>
    <row r="7" spans="1:7" x14ac:dyDescent="0.2">
      <c r="B7" s="14"/>
      <c r="C7" s="14"/>
      <c r="D7" s="14"/>
      <c r="E7" s="14"/>
      <c r="F7" s="14"/>
      <c r="G7" s="14"/>
    </row>
    <row r="8" spans="1:7" x14ac:dyDescent="0.2">
      <c r="A8" s="10" t="s">
        <v>96</v>
      </c>
    </row>
    <row r="9" spans="1:7" x14ac:dyDescent="0.2">
      <c r="A9" t="s">
        <v>97</v>
      </c>
    </row>
    <row r="11" spans="1:7" x14ac:dyDescent="0.2">
      <c r="A11" t="s">
        <v>98</v>
      </c>
    </row>
    <row r="12" spans="1:7" x14ac:dyDescent="0.2">
      <c r="A12" t="s">
        <v>99</v>
      </c>
    </row>
    <row r="14" spans="1:7" x14ac:dyDescent="0.2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225"/>
  <sheetViews>
    <sheetView tabSelected="1" zoomScale="190" zoomScaleNormal="190" workbookViewId="0">
      <pane xSplit="2" ySplit="2" topLeftCell="BV72" activePane="bottomRight" state="frozen"/>
      <selection pane="topRight"/>
      <selection pane="bottomLeft"/>
      <selection pane="bottomRight" activeCell="CA103" sqref="CA103"/>
    </sheetView>
  </sheetViews>
  <sheetFormatPr defaultColWidth="8.140625" defaultRowHeight="12.75" x14ac:dyDescent="0.2"/>
  <cols>
    <col min="1" max="1" width="5" style="65" bestFit="1" customWidth="1"/>
    <col min="2" max="2" width="19.28515625" style="65" customWidth="1"/>
    <col min="3" max="6" width="6.140625" style="151" customWidth="1"/>
    <col min="7" max="14" width="6.140625" style="73" customWidth="1"/>
    <col min="15" max="66" width="6.42578125" style="73" customWidth="1"/>
    <col min="67" max="74" width="7" style="73" customWidth="1"/>
    <col min="75" max="79" width="7.42578125" style="73" customWidth="1"/>
    <col min="80" max="86" width="7.28515625" style="73" customWidth="1"/>
    <col min="87" max="91" width="6.42578125" style="73" customWidth="1"/>
    <col min="92" max="92" width="7.42578125" style="155" customWidth="1"/>
    <col min="93" max="93" width="6.42578125" style="155" customWidth="1"/>
    <col min="94" max="95" width="6.42578125" style="73" customWidth="1"/>
    <col min="96" max="97" width="6.42578125" style="152" customWidth="1" collapsed="1"/>
    <col min="98" max="109" width="6.42578125" style="152" customWidth="1"/>
    <col min="110" max="113" width="6.42578125" style="65" customWidth="1"/>
    <col min="114" max="114" width="7.140625" style="65" customWidth="1"/>
    <col min="115" max="127" width="6.7109375" style="65" customWidth="1"/>
    <col min="128" max="16384" width="8.140625" style="65"/>
  </cols>
  <sheetData>
    <row r="1" spans="1:128" x14ac:dyDescent="0.2">
      <c r="A1" s="130" t="s">
        <v>135</v>
      </c>
    </row>
    <row r="2" spans="1:128" x14ac:dyDescent="0.2">
      <c r="B2" s="65" t="s">
        <v>376</v>
      </c>
      <c r="C2" s="73" t="s">
        <v>802</v>
      </c>
      <c r="D2" s="73" t="s">
        <v>803</v>
      </c>
      <c r="E2" s="73" t="s">
        <v>804</v>
      </c>
      <c r="F2" s="73" t="s">
        <v>805</v>
      </c>
      <c r="G2" s="73" t="s">
        <v>802</v>
      </c>
      <c r="H2" s="73" t="s">
        <v>803</v>
      </c>
      <c r="I2" s="73" t="s">
        <v>804</v>
      </c>
      <c r="J2" s="73" t="s">
        <v>805</v>
      </c>
      <c r="K2" s="73" t="s">
        <v>790</v>
      </c>
      <c r="L2" s="73" t="s">
        <v>787</v>
      </c>
      <c r="M2" s="73" t="s">
        <v>788</v>
      </c>
      <c r="N2" s="73" t="s">
        <v>789</v>
      </c>
      <c r="O2" s="73" t="s">
        <v>786</v>
      </c>
      <c r="P2" s="73" t="s">
        <v>785</v>
      </c>
      <c r="Q2" s="73" t="s">
        <v>784</v>
      </c>
      <c r="R2" s="73" t="s">
        <v>783</v>
      </c>
      <c r="S2" s="73" t="s">
        <v>614</v>
      </c>
      <c r="T2" s="73" t="s">
        <v>615</v>
      </c>
      <c r="U2" s="73" t="s">
        <v>616</v>
      </c>
      <c r="V2" s="73" t="s">
        <v>617</v>
      </c>
      <c r="W2" s="73" t="s">
        <v>618</v>
      </c>
      <c r="X2" s="73" t="s">
        <v>619</v>
      </c>
      <c r="Y2" s="73" t="s">
        <v>620</v>
      </c>
      <c r="Z2" s="73" t="s">
        <v>601</v>
      </c>
      <c r="AA2" s="73" t="s">
        <v>608</v>
      </c>
      <c r="AB2" s="73" t="s">
        <v>621</v>
      </c>
      <c r="AC2" s="73" t="s">
        <v>622</v>
      </c>
      <c r="AD2" s="73" t="s">
        <v>623</v>
      </c>
      <c r="AE2" s="73" t="s">
        <v>806</v>
      </c>
      <c r="AF2" s="73" t="s">
        <v>807</v>
      </c>
      <c r="AG2" s="73" t="s">
        <v>808</v>
      </c>
      <c r="AH2" s="73" t="s">
        <v>809</v>
      </c>
      <c r="AI2" s="162" t="s">
        <v>1325</v>
      </c>
      <c r="AJ2" s="162" t="s">
        <v>1326</v>
      </c>
      <c r="AK2" s="162" t="s">
        <v>1327</v>
      </c>
      <c r="AL2" s="162" t="s">
        <v>1328</v>
      </c>
      <c r="AM2" s="162" t="s">
        <v>1335</v>
      </c>
      <c r="AN2" s="162" t="s">
        <v>1336</v>
      </c>
      <c r="AO2" s="162" t="s">
        <v>1337</v>
      </c>
      <c r="AP2" s="162" t="s">
        <v>1334</v>
      </c>
      <c r="AQ2" s="162" t="s">
        <v>1338</v>
      </c>
      <c r="AR2" s="162" t="s">
        <v>1339</v>
      </c>
      <c r="AS2" s="162" t="s">
        <v>1340</v>
      </c>
      <c r="AT2" s="162" t="s">
        <v>1341</v>
      </c>
      <c r="AU2" s="162" t="s">
        <v>1347</v>
      </c>
      <c r="AV2" s="162" t="s">
        <v>1348</v>
      </c>
      <c r="AW2" s="162" t="s">
        <v>1349</v>
      </c>
      <c r="AX2" s="162" t="s">
        <v>1350</v>
      </c>
      <c r="AY2" s="162" t="s">
        <v>1351</v>
      </c>
      <c r="AZ2" s="162" t="s">
        <v>1352</v>
      </c>
      <c r="BA2" s="162" t="s">
        <v>1353</v>
      </c>
      <c r="BB2" s="162" t="s">
        <v>1354</v>
      </c>
      <c r="BC2" s="162" t="s">
        <v>1355</v>
      </c>
      <c r="BD2" s="162" t="s">
        <v>1356</v>
      </c>
      <c r="BE2" s="162" t="s">
        <v>1357</v>
      </c>
      <c r="BF2" s="162" t="s">
        <v>1358</v>
      </c>
      <c r="BG2" s="162" t="s">
        <v>1359</v>
      </c>
      <c r="BH2" s="162" t="s">
        <v>1360</v>
      </c>
      <c r="BI2" s="162" t="s">
        <v>1361</v>
      </c>
      <c r="BJ2" s="162" t="s">
        <v>1362</v>
      </c>
      <c r="BK2" s="162" t="s">
        <v>1363</v>
      </c>
      <c r="BL2" s="162" t="s">
        <v>1364</v>
      </c>
      <c r="BM2" s="162" t="s">
        <v>1365</v>
      </c>
      <c r="BN2" s="162" t="s">
        <v>1366</v>
      </c>
      <c r="BO2" s="162" t="s">
        <v>1367</v>
      </c>
      <c r="BP2" s="162" t="s">
        <v>1368</v>
      </c>
      <c r="BQ2" s="162" t="s">
        <v>1369</v>
      </c>
      <c r="BR2" s="162" t="s">
        <v>1370</v>
      </c>
      <c r="BS2" s="162" t="s">
        <v>1371</v>
      </c>
      <c r="BT2" s="162" t="s">
        <v>1372</v>
      </c>
      <c r="BU2" s="162" t="s">
        <v>1373</v>
      </c>
      <c r="BV2" s="162" t="s">
        <v>1374</v>
      </c>
      <c r="BW2" s="162" t="s">
        <v>1375</v>
      </c>
      <c r="BX2" s="162" t="s">
        <v>1376</v>
      </c>
      <c r="BY2" s="162" t="s">
        <v>1377</v>
      </c>
      <c r="BZ2" s="162" t="s">
        <v>1378</v>
      </c>
      <c r="CA2" s="162" t="s">
        <v>1424</v>
      </c>
      <c r="CB2" s="162" t="s">
        <v>1425</v>
      </c>
      <c r="CC2" s="162" t="s">
        <v>1426</v>
      </c>
      <c r="CD2" s="162" t="s">
        <v>1427</v>
      </c>
      <c r="CE2" s="162" t="s">
        <v>1484</v>
      </c>
      <c r="CF2" s="162" t="s">
        <v>1485</v>
      </c>
      <c r="CG2" s="162" t="s">
        <v>1486</v>
      </c>
      <c r="CH2" s="162" t="s">
        <v>1487</v>
      </c>
      <c r="CI2" s="162"/>
      <c r="CJ2" s="162"/>
      <c r="CK2" s="162"/>
      <c r="CL2" s="186">
        <v>1998</v>
      </c>
      <c r="CM2" s="186">
        <v>1999</v>
      </c>
      <c r="CN2" s="150">
        <v>2000</v>
      </c>
      <c r="CO2" s="150">
        <v>2001</v>
      </c>
      <c r="CP2" s="150">
        <v>2002</v>
      </c>
      <c r="CQ2" s="150">
        <v>2003</v>
      </c>
      <c r="CR2" s="150">
        <v>2004</v>
      </c>
      <c r="CS2" s="150">
        <v>2005</v>
      </c>
      <c r="CT2" s="150">
        <v>2006</v>
      </c>
      <c r="CU2" s="150">
        <v>2007</v>
      </c>
      <c r="CV2" s="150">
        <f>CU2+1</f>
        <v>2008</v>
      </c>
      <c r="CW2" s="150">
        <f t="shared" ref="CW2:DB2" si="0">CV2+1</f>
        <v>2009</v>
      </c>
      <c r="CX2" s="150">
        <f t="shared" si="0"/>
        <v>2010</v>
      </c>
      <c r="CY2" s="150">
        <f t="shared" si="0"/>
        <v>2011</v>
      </c>
      <c r="CZ2" s="150">
        <f t="shared" si="0"/>
        <v>2012</v>
      </c>
      <c r="DA2" s="150">
        <f t="shared" si="0"/>
        <v>2013</v>
      </c>
      <c r="DB2" s="150">
        <f t="shared" si="0"/>
        <v>2014</v>
      </c>
      <c r="DC2" s="150">
        <v>2015</v>
      </c>
      <c r="DD2" s="150">
        <v>2016</v>
      </c>
      <c r="DE2" s="150">
        <v>2017</v>
      </c>
      <c r="DF2" s="150">
        <v>2018</v>
      </c>
      <c r="DG2" s="150">
        <v>2019</v>
      </c>
      <c r="DH2" s="150">
        <v>2020</v>
      </c>
      <c r="DI2" s="150">
        <v>2021</v>
      </c>
      <c r="DJ2" s="150">
        <v>2022</v>
      </c>
      <c r="DK2" s="150">
        <v>2023</v>
      </c>
      <c r="DL2" s="150">
        <v>2024</v>
      </c>
      <c r="DM2" s="150">
        <v>2025</v>
      </c>
      <c r="DN2" s="150">
        <f>+DM2+1</f>
        <v>2026</v>
      </c>
      <c r="DO2" s="150">
        <f t="shared" ref="DO2:DW2" si="1">+DN2+1</f>
        <v>2027</v>
      </c>
      <c r="DP2" s="150">
        <f t="shared" si="1"/>
        <v>2028</v>
      </c>
      <c r="DQ2" s="150">
        <f t="shared" si="1"/>
        <v>2029</v>
      </c>
      <c r="DR2" s="150">
        <f t="shared" si="1"/>
        <v>2030</v>
      </c>
      <c r="DS2" s="150">
        <f t="shared" si="1"/>
        <v>2031</v>
      </c>
      <c r="DT2" s="150">
        <f t="shared" si="1"/>
        <v>2032</v>
      </c>
      <c r="DU2" s="150">
        <f t="shared" si="1"/>
        <v>2033</v>
      </c>
      <c r="DV2" s="150">
        <f t="shared" si="1"/>
        <v>2034</v>
      </c>
      <c r="DW2" s="150">
        <f t="shared" si="1"/>
        <v>2035</v>
      </c>
      <c r="DX2" s="150"/>
    </row>
    <row r="3" spans="1:128" x14ac:dyDescent="0.2">
      <c r="B3" s="65" t="s">
        <v>657</v>
      </c>
      <c r="C3" s="171">
        <v>577</v>
      </c>
      <c r="D3" s="171">
        <v>598</v>
      </c>
      <c r="E3" s="171">
        <v>604</v>
      </c>
      <c r="F3" s="171">
        <v>662</v>
      </c>
      <c r="G3" s="146">
        <v>689</v>
      </c>
      <c r="H3" s="147">
        <v>725</v>
      </c>
      <c r="I3" s="146">
        <v>737</v>
      </c>
      <c r="J3" s="146">
        <v>851</v>
      </c>
      <c r="K3" s="146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v>330</v>
      </c>
      <c r="CA3" s="73">
        <v>339</v>
      </c>
      <c r="CB3" s="73">
        <v>322</v>
      </c>
      <c r="CC3" s="73">
        <v>202</v>
      </c>
      <c r="CD3" s="73">
        <v>276</v>
      </c>
      <c r="CE3" s="73">
        <v>282</v>
      </c>
      <c r="CF3" s="73">
        <v>298</v>
      </c>
      <c r="CM3" s="73">
        <v>48</v>
      </c>
      <c r="CN3" s="73">
        <v>208</v>
      </c>
      <c r="CP3" s="146">
        <v>1631</v>
      </c>
      <c r="CQ3" s="146">
        <v>2192</v>
      </c>
      <c r="CR3" s="146">
        <v>2441</v>
      </c>
      <c r="CS3" s="146">
        <v>3002</v>
      </c>
      <c r="CT3" s="146">
        <f t="shared" ref="CT3" si="2">SUM(K3:N3)</f>
        <v>3313</v>
      </c>
      <c r="CU3" s="146">
        <f t="shared" ref="CU3" si="3">SUM(O3:R3)</f>
        <v>3499</v>
      </c>
      <c r="CV3" s="146">
        <f>SUM(S3:V3)</f>
        <v>4137</v>
      </c>
      <c r="CW3" s="146">
        <f>SUM(W3:Z3)</f>
        <v>4977</v>
      </c>
      <c r="CX3" s="146">
        <f>SUM(AA3:AD3)</f>
        <v>5139</v>
      </c>
      <c r="CY3" s="146">
        <f>SUM(AE3:AH3)</f>
        <v>5061</v>
      </c>
      <c r="CZ3" s="146">
        <f>+CY3*0.98</f>
        <v>4959.78</v>
      </c>
      <c r="DA3" s="146">
        <f t="shared" ref="DA3:DC3" si="4">+CZ3*0.98</f>
        <v>4860.5843999999997</v>
      </c>
      <c r="DB3" s="146">
        <f t="shared" si="4"/>
        <v>4763.3727119999994</v>
      </c>
      <c r="DC3" s="146">
        <f t="shared" si="4"/>
        <v>4668.1052577599994</v>
      </c>
      <c r="DD3" s="146">
        <f>+DC3*0.96</f>
        <v>4481.3810474495995</v>
      </c>
      <c r="DE3" s="146">
        <f>+DD3*0.95</f>
        <v>4257.3119950771197</v>
      </c>
      <c r="DF3" s="146"/>
      <c r="DG3" s="146"/>
      <c r="DH3" s="146">
        <f>SUM(BO3:BR3)</f>
        <v>1535</v>
      </c>
      <c r="DI3" s="146">
        <f>SUM(BS3:BV3)</f>
        <v>1357</v>
      </c>
      <c r="DJ3" s="146">
        <f>SUM(BW3:BZ3)</f>
        <v>1159</v>
      </c>
      <c r="DK3" s="146">
        <f>SUM(CA3:CD3)</f>
        <v>1139</v>
      </c>
      <c r="DL3" s="146">
        <f t="shared" ref="DL3:DM3" si="5">+DK3*0.95</f>
        <v>1082.05</v>
      </c>
      <c r="DM3" s="146">
        <f t="shared" si="5"/>
        <v>1027.9475</v>
      </c>
      <c r="DN3" s="146">
        <f t="shared" ref="DN3" si="6">+DM3*0.95</f>
        <v>976.55012499999998</v>
      </c>
      <c r="DO3" s="146">
        <f t="shared" ref="DO3" si="7">+DN3*0.95</f>
        <v>927.72261874999992</v>
      </c>
      <c r="DP3" s="146">
        <f t="shared" ref="DP3" si="8">+DO3*0.95</f>
        <v>881.33648781249985</v>
      </c>
      <c r="DQ3" s="146">
        <f t="shared" ref="DQ3" si="9">+DP3*0.95</f>
        <v>837.26966342187484</v>
      </c>
      <c r="DR3" s="146">
        <f t="shared" ref="DR3" si="10">+DQ3*0.95</f>
        <v>795.40618025078106</v>
      </c>
      <c r="DS3" s="146">
        <f t="shared" ref="DS3" si="11">+DR3*0.95</f>
        <v>755.63587123824198</v>
      </c>
      <c r="DT3" s="146">
        <f t="shared" ref="DT3" si="12">+DS3*0.95</f>
        <v>717.85407767632989</v>
      </c>
      <c r="DU3" s="146">
        <f t="shared" ref="DU3" si="13">+DT3*0.95</f>
        <v>681.96137379251331</v>
      </c>
      <c r="DV3" s="146">
        <f t="shared" ref="DV3" si="14">+DU3*0.95</f>
        <v>647.86330510288758</v>
      </c>
      <c r="DW3" s="146">
        <f t="shared" ref="DW3" si="15">+DV3*0.95</f>
        <v>615.47013984774321</v>
      </c>
    </row>
    <row r="4" spans="1:128" x14ac:dyDescent="0.2">
      <c r="B4" s="112" t="s">
        <v>1391</v>
      </c>
      <c r="C4" s="172"/>
      <c r="D4" s="172"/>
      <c r="E4" s="172"/>
      <c r="F4" s="172"/>
      <c r="G4" s="147"/>
      <c r="H4" s="147"/>
      <c r="I4" s="147"/>
      <c r="J4" s="147"/>
      <c r="K4" s="147"/>
      <c r="BO4" s="73">
        <v>647</v>
      </c>
      <c r="BP4" s="73">
        <v>323</v>
      </c>
      <c r="BQ4" s="73">
        <v>374</v>
      </c>
      <c r="BR4" s="73">
        <v>645</v>
      </c>
      <c r="BS4" s="73">
        <v>327</v>
      </c>
      <c r="BT4" s="73">
        <v>295</v>
      </c>
      <c r="BU4" s="73">
        <v>502</v>
      </c>
      <c r="BV4" s="73">
        <v>597</v>
      </c>
      <c r="BW4" s="73">
        <v>698</v>
      </c>
      <c r="BX4" s="73">
        <v>731</v>
      </c>
      <c r="BY4" s="73">
        <v>760</v>
      </c>
      <c r="BZ4" s="73">
        <v>769</v>
      </c>
      <c r="CA4" s="73">
        <v>833</v>
      </c>
      <c r="CB4" s="73">
        <v>880</v>
      </c>
      <c r="CC4" s="73">
        <v>825</v>
      </c>
      <c r="CD4" s="73">
        <v>908</v>
      </c>
      <c r="CE4" s="73">
        <v>945</v>
      </c>
      <c r="CF4" s="73">
        <v>832</v>
      </c>
      <c r="CP4" s="147"/>
      <c r="CQ4" s="147"/>
      <c r="CR4" s="147"/>
      <c r="CS4" s="147"/>
      <c r="CT4" s="146"/>
      <c r="CU4" s="146"/>
      <c r="CV4" s="147"/>
      <c r="CW4" s="146"/>
      <c r="CX4" s="146"/>
      <c r="CY4" s="147"/>
      <c r="CZ4" s="147"/>
      <c r="DA4" s="147"/>
      <c r="DB4" s="147"/>
      <c r="DC4" s="147"/>
      <c r="DD4" s="147"/>
      <c r="DE4" s="147"/>
      <c r="DF4" s="147"/>
      <c r="DG4" s="147"/>
      <c r="DH4" s="146">
        <f t="shared" ref="DH4:DH50" si="16">SUM(BO4:BR4)</f>
        <v>1989</v>
      </c>
      <c r="DI4" s="146">
        <f t="shared" ref="DI4:DI12" si="17">SUM(BS4:BV4)</f>
        <v>1721</v>
      </c>
      <c r="DJ4" s="146">
        <f t="shared" ref="DJ4:DJ12" si="18">SUM(BW4:BZ4)</f>
        <v>2958</v>
      </c>
      <c r="DK4" s="146">
        <f t="shared" ref="DK4:DK12" si="19">SUM(CA4:CD4)</f>
        <v>3446</v>
      </c>
      <c r="DL4" s="147">
        <f>+DK4*1.1</f>
        <v>3790.6000000000004</v>
      </c>
      <c r="DM4" s="147">
        <f>+DL4*1.1</f>
        <v>4169.6600000000008</v>
      </c>
      <c r="DN4" s="147">
        <f>+DM4*1.1</f>
        <v>4586.6260000000011</v>
      </c>
      <c r="DO4" s="147">
        <f>+DN4*1.1</f>
        <v>5045.2886000000017</v>
      </c>
      <c r="DP4" s="147">
        <f t="shared" ref="DP4:DW4" si="20">+DO4*1.03</f>
        <v>5196.6472580000018</v>
      </c>
      <c r="DQ4" s="147">
        <f t="shared" si="20"/>
        <v>5352.5466757400018</v>
      </c>
      <c r="DR4" s="147">
        <f t="shared" si="20"/>
        <v>5513.1230760122016</v>
      </c>
      <c r="DS4" s="147">
        <f t="shared" si="20"/>
        <v>5678.5167682925676</v>
      </c>
      <c r="DT4" s="147">
        <f t="shared" si="20"/>
        <v>5848.8722713413445</v>
      </c>
      <c r="DU4" s="147">
        <f t="shared" si="20"/>
        <v>6024.3384394815848</v>
      </c>
      <c r="DV4" s="147">
        <f t="shared" si="20"/>
        <v>6205.0685926660326</v>
      </c>
      <c r="DW4" s="147">
        <f t="shared" si="20"/>
        <v>6391.2206504460137</v>
      </c>
    </row>
    <row r="5" spans="1:128" x14ac:dyDescent="0.2">
      <c r="B5" s="112" t="s">
        <v>1380</v>
      </c>
      <c r="C5" s="172"/>
      <c r="D5" s="172"/>
      <c r="E5" s="172"/>
      <c r="F5" s="172"/>
      <c r="G5" s="147"/>
      <c r="H5" s="147"/>
      <c r="I5" s="147"/>
      <c r="J5" s="147"/>
      <c r="K5" s="147"/>
      <c r="BO5" s="73">
        <v>563</v>
      </c>
      <c r="BP5" s="73">
        <v>586</v>
      </c>
      <c r="BQ5" s="73">
        <v>577</v>
      </c>
      <c r="BR5" s="73">
        <v>580</v>
      </c>
      <c r="BS5" s="73">
        <v>436</v>
      </c>
      <c r="BT5" s="73">
        <v>466</v>
      </c>
      <c r="BU5" s="73">
        <v>504</v>
      </c>
      <c r="BV5" s="73">
        <v>476</v>
      </c>
      <c r="BW5" s="73">
        <v>392</v>
      </c>
      <c r="BX5" s="73">
        <v>461</v>
      </c>
      <c r="BY5" s="73">
        <v>467</v>
      </c>
      <c r="BZ5" s="73">
        <v>479</v>
      </c>
      <c r="CA5" s="73">
        <v>374</v>
      </c>
      <c r="CB5" s="73">
        <v>392</v>
      </c>
      <c r="CC5" s="73">
        <v>373</v>
      </c>
      <c r="CD5" s="73">
        <v>403</v>
      </c>
      <c r="CE5" s="73">
        <v>310</v>
      </c>
      <c r="CF5" s="73">
        <v>346</v>
      </c>
      <c r="CP5" s="147"/>
      <c r="CQ5" s="147"/>
      <c r="CR5" s="147"/>
      <c r="CS5" s="147"/>
      <c r="CT5" s="146"/>
      <c r="CU5" s="146"/>
      <c r="CV5" s="147"/>
      <c r="CW5" s="146"/>
      <c r="CX5" s="146"/>
      <c r="CY5" s="147"/>
      <c r="CZ5" s="147"/>
      <c r="DA5" s="147"/>
      <c r="DB5" s="147"/>
      <c r="DC5" s="147"/>
      <c r="DD5" s="147"/>
      <c r="DE5" s="147"/>
      <c r="DF5" s="147"/>
      <c r="DG5" s="147"/>
      <c r="DH5" s="146">
        <f>SUM(BO5:BR5)</f>
        <v>2306</v>
      </c>
      <c r="DI5" s="146">
        <f>SUM(BS5:BV5)</f>
        <v>1882</v>
      </c>
      <c r="DJ5" s="146">
        <f>SUM(BW5:BZ5)</f>
        <v>1799</v>
      </c>
      <c r="DK5" s="146">
        <f>SUM(CA5:CD5)</f>
        <v>1542</v>
      </c>
      <c r="DL5" s="147">
        <f t="shared" ref="DL5:DN5" si="21">+DK5*1.01</f>
        <v>1557.42</v>
      </c>
      <c r="DM5" s="147">
        <f t="shared" si="21"/>
        <v>1572.9942000000001</v>
      </c>
      <c r="DN5" s="147">
        <f t="shared" si="21"/>
        <v>1588.724142</v>
      </c>
      <c r="DO5" s="147">
        <f t="shared" ref="DO5:DO6" si="22">DN5*0.8</f>
        <v>1270.9793136000001</v>
      </c>
      <c r="DP5" s="147">
        <f t="shared" ref="DP5:DS6" si="23">DO5*0.1</f>
        <v>127.09793136000002</v>
      </c>
      <c r="DQ5" s="147">
        <f t="shared" si="23"/>
        <v>12.709793136000002</v>
      </c>
      <c r="DR5" s="147">
        <f t="shared" si="23"/>
        <v>1.2709793136000003</v>
      </c>
      <c r="DS5" s="147">
        <f t="shared" si="23"/>
        <v>0.12709793136000003</v>
      </c>
      <c r="DT5" s="147"/>
      <c r="DU5" s="147"/>
      <c r="DV5" s="147"/>
      <c r="DW5" s="147"/>
    </row>
    <row r="6" spans="1:128" x14ac:dyDescent="0.2">
      <c r="B6" s="112" t="s">
        <v>1379</v>
      </c>
      <c r="C6" s="172"/>
      <c r="D6" s="172"/>
      <c r="E6" s="172"/>
      <c r="F6" s="172"/>
      <c r="G6" s="147"/>
      <c r="H6" s="147"/>
      <c r="I6" s="147"/>
      <c r="J6" s="147"/>
      <c r="K6" s="147"/>
      <c r="BO6" s="73">
        <v>412</v>
      </c>
      <c r="BP6" s="73">
        <v>373</v>
      </c>
      <c r="BQ6" s="73">
        <v>377</v>
      </c>
      <c r="BR6" s="73">
        <v>365</v>
      </c>
      <c r="BS6" s="73">
        <v>301</v>
      </c>
      <c r="BT6" s="73">
        <v>407</v>
      </c>
      <c r="BU6" s="73">
        <v>352</v>
      </c>
      <c r="BV6" s="73">
        <v>321</v>
      </c>
      <c r="BW6" s="73">
        <v>320</v>
      </c>
      <c r="BX6" s="73">
        <v>346</v>
      </c>
      <c r="BY6" s="73">
        <v>342</v>
      </c>
      <c r="BZ6" s="73">
        <v>373</v>
      </c>
      <c r="CA6" s="73">
        <v>357</v>
      </c>
      <c r="CB6" s="73">
        <v>340</v>
      </c>
      <c r="CC6" s="73">
        <v>340</v>
      </c>
      <c r="CD6" s="73">
        <v>349</v>
      </c>
      <c r="CE6" s="73">
        <v>354</v>
      </c>
      <c r="CF6" s="73">
        <v>318</v>
      </c>
      <c r="CP6" s="147"/>
      <c r="CQ6" s="147"/>
      <c r="CR6" s="147"/>
      <c r="CS6" s="147"/>
      <c r="CT6" s="146"/>
      <c r="CU6" s="146"/>
      <c r="CV6" s="147"/>
      <c r="CW6" s="146"/>
      <c r="CX6" s="146"/>
      <c r="CY6" s="147"/>
      <c r="CZ6" s="147"/>
      <c r="DA6" s="147"/>
      <c r="DB6" s="147"/>
      <c r="DC6" s="147"/>
      <c r="DD6" s="147"/>
      <c r="DE6" s="147"/>
      <c r="DF6" s="147"/>
      <c r="DG6" s="147"/>
      <c r="DH6" s="146">
        <f t="shared" si="16"/>
        <v>1527</v>
      </c>
      <c r="DI6" s="146">
        <f t="shared" si="17"/>
        <v>1381</v>
      </c>
      <c r="DJ6" s="146">
        <f t="shared" si="18"/>
        <v>1381</v>
      </c>
      <c r="DK6" s="146">
        <f t="shared" si="19"/>
        <v>1386</v>
      </c>
      <c r="DL6" s="147">
        <f t="shared" ref="DL6:DN6" si="24">+DK6*1.01</f>
        <v>1399.86</v>
      </c>
      <c r="DM6" s="147">
        <f t="shared" si="24"/>
        <v>1413.8586</v>
      </c>
      <c r="DN6" s="147">
        <f t="shared" si="24"/>
        <v>1427.9971860000001</v>
      </c>
      <c r="DO6" s="147">
        <f t="shared" si="22"/>
        <v>1142.3977488</v>
      </c>
      <c r="DP6" s="147">
        <f t="shared" si="23"/>
        <v>114.23977488000001</v>
      </c>
      <c r="DQ6" s="147">
        <f t="shared" si="23"/>
        <v>11.423977488000002</v>
      </c>
      <c r="DR6" s="147">
        <f t="shared" si="23"/>
        <v>1.1423977488000003</v>
      </c>
      <c r="DS6" s="147">
        <f t="shared" si="23"/>
        <v>0.11423977488000003</v>
      </c>
      <c r="DT6" s="147"/>
      <c r="DU6" s="147"/>
      <c r="DV6" s="147"/>
      <c r="DW6" s="147"/>
    </row>
    <row r="7" spans="1:128" x14ac:dyDescent="0.2">
      <c r="B7" s="112" t="s">
        <v>1381</v>
      </c>
      <c r="C7" s="172"/>
      <c r="D7" s="172"/>
      <c r="E7" s="172"/>
      <c r="F7" s="172"/>
      <c r="G7" s="147"/>
      <c r="H7" s="147"/>
      <c r="I7" s="147"/>
      <c r="J7" s="147"/>
      <c r="K7" s="147"/>
      <c r="BO7" s="73">
        <v>120</v>
      </c>
      <c r="BP7" s="73">
        <v>113</v>
      </c>
      <c r="BQ7" s="73">
        <v>123</v>
      </c>
      <c r="BR7" s="73">
        <v>139</v>
      </c>
      <c r="BS7" s="73">
        <v>112</v>
      </c>
      <c r="BT7" s="73">
        <v>132</v>
      </c>
      <c r="BU7" s="73">
        <v>130</v>
      </c>
      <c r="BV7" s="73">
        <v>143</v>
      </c>
      <c r="BW7" s="73">
        <v>133</v>
      </c>
      <c r="BX7" s="73">
        <v>152</v>
      </c>
      <c r="BY7" s="73">
        <v>159</v>
      </c>
      <c r="BZ7" s="73">
        <v>192</v>
      </c>
      <c r="CA7" s="73">
        <v>150</v>
      </c>
      <c r="CB7" s="73">
        <v>163</v>
      </c>
      <c r="CC7" s="73">
        <v>171</v>
      </c>
      <c r="CD7" s="73">
        <v>177</v>
      </c>
      <c r="CE7" s="73">
        <v>157</v>
      </c>
      <c r="CF7" s="73">
        <v>176</v>
      </c>
      <c r="CP7" s="147"/>
      <c r="CQ7" s="147"/>
      <c r="CR7" s="147"/>
      <c r="CS7" s="147"/>
      <c r="CT7" s="146"/>
      <c r="CU7" s="146"/>
      <c r="CV7" s="147"/>
      <c r="CW7" s="146"/>
      <c r="CX7" s="146"/>
      <c r="CY7" s="147"/>
      <c r="CZ7" s="147"/>
      <c r="DA7" s="147"/>
      <c r="DB7" s="147"/>
      <c r="DC7" s="147"/>
      <c r="DD7" s="147"/>
      <c r="DE7" s="147"/>
      <c r="DF7" s="147"/>
      <c r="DG7" s="147"/>
      <c r="DH7" s="146">
        <f t="shared" si="16"/>
        <v>495</v>
      </c>
      <c r="DI7" s="146">
        <f t="shared" si="17"/>
        <v>517</v>
      </c>
      <c r="DJ7" s="146">
        <f t="shared" si="18"/>
        <v>636</v>
      </c>
      <c r="DK7" s="146">
        <f t="shared" si="19"/>
        <v>661</v>
      </c>
      <c r="DL7" s="147">
        <f>+DK7*1.01</f>
        <v>667.61</v>
      </c>
      <c r="DM7" s="147">
        <f t="shared" ref="DM7:DN8" si="25">+DL7*1.01</f>
        <v>674.28610000000003</v>
      </c>
      <c r="DN7" s="147">
        <f t="shared" si="25"/>
        <v>681.02896100000009</v>
      </c>
      <c r="DO7" s="147">
        <f>DN7*0.8</f>
        <v>544.82316880000008</v>
      </c>
      <c r="DP7" s="147">
        <f>DO7*0.1</f>
        <v>54.482316880000013</v>
      </c>
      <c r="DQ7" s="147">
        <f t="shared" ref="DQ7:DS7" si="26">DP7*0.1</f>
        <v>5.4482316880000017</v>
      </c>
      <c r="DR7" s="147">
        <f t="shared" si="26"/>
        <v>0.54482316880000015</v>
      </c>
      <c r="DS7" s="147">
        <f t="shared" si="26"/>
        <v>5.448231688000002E-2</v>
      </c>
      <c r="DT7" s="147"/>
      <c r="DU7" s="147"/>
      <c r="DV7" s="147"/>
      <c r="DW7" s="147"/>
    </row>
    <row r="8" spans="1:128" x14ac:dyDescent="0.2">
      <c r="B8" s="112" t="s">
        <v>1382</v>
      </c>
      <c r="C8" s="172"/>
      <c r="D8" s="172"/>
      <c r="E8" s="172"/>
      <c r="F8" s="172"/>
      <c r="G8" s="147"/>
      <c r="H8" s="147"/>
      <c r="I8" s="147"/>
      <c r="J8" s="147"/>
      <c r="K8" s="147"/>
      <c r="BO8" s="73">
        <v>66</v>
      </c>
      <c r="BP8" s="73">
        <v>68</v>
      </c>
      <c r="BQ8" s="73">
        <v>99</v>
      </c>
      <c r="BR8" s="73">
        <v>141</v>
      </c>
      <c r="BS8" s="73">
        <v>141</v>
      </c>
      <c r="BT8" s="73">
        <v>184</v>
      </c>
      <c r="BU8" s="73">
        <v>208</v>
      </c>
      <c r="BV8" s="73">
        <v>254</v>
      </c>
      <c r="BW8" s="73">
        <v>257</v>
      </c>
      <c r="BX8" s="73">
        <v>320</v>
      </c>
      <c r="BY8" s="73">
        <v>360</v>
      </c>
      <c r="BZ8" s="73">
        <v>438</v>
      </c>
      <c r="CA8" s="73">
        <v>396</v>
      </c>
      <c r="CB8" s="73">
        <v>430</v>
      </c>
      <c r="CC8" s="73">
        <v>477</v>
      </c>
      <c r="CD8" s="73">
        <v>516</v>
      </c>
      <c r="CE8" s="73">
        <v>483</v>
      </c>
      <c r="CF8" s="73">
        <v>551</v>
      </c>
      <c r="CP8" s="147"/>
      <c r="CQ8" s="147"/>
      <c r="CR8" s="147"/>
      <c r="CS8" s="147"/>
      <c r="CT8" s="146"/>
      <c r="CU8" s="146"/>
      <c r="CV8" s="147"/>
      <c r="CW8" s="146"/>
      <c r="CX8" s="146"/>
      <c r="CY8" s="147"/>
      <c r="CZ8" s="147"/>
      <c r="DA8" s="147"/>
      <c r="DB8" s="147"/>
      <c r="DC8" s="147"/>
      <c r="DD8" s="147"/>
      <c r="DE8" s="147"/>
      <c r="DF8" s="147"/>
      <c r="DG8" s="147"/>
      <c r="DH8" s="146">
        <f t="shared" si="16"/>
        <v>374</v>
      </c>
      <c r="DI8" s="146">
        <f t="shared" si="17"/>
        <v>787</v>
      </c>
      <c r="DJ8" s="146">
        <f>SUM(BW8:BZ8)</f>
        <v>1375</v>
      </c>
      <c r="DK8" s="146">
        <f t="shared" si="19"/>
        <v>1819</v>
      </c>
      <c r="DL8" s="147">
        <f>+DK8*1.01</f>
        <v>1837.19</v>
      </c>
      <c r="DM8" s="147">
        <f t="shared" si="25"/>
        <v>1855.5619000000002</v>
      </c>
      <c r="DN8" s="147">
        <f t="shared" si="25"/>
        <v>1874.1175190000001</v>
      </c>
      <c r="DO8" s="147">
        <f>DN8*0.8</f>
        <v>1499.2940152000001</v>
      </c>
      <c r="DP8" s="147">
        <f>DO8*0.1</f>
        <v>149.92940152000003</v>
      </c>
      <c r="DQ8" s="147">
        <f t="shared" ref="DQ8:DS8" si="27">DP8*0.1</f>
        <v>14.992940152000003</v>
      </c>
      <c r="DR8" s="147">
        <f t="shared" si="27"/>
        <v>1.4992940152000003</v>
      </c>
      <c r="DS8" s="147">
        <f t="shared" si="27"/>
        <v>0.14992940152000003</v>
      </c>
      <c r="DT8" s="147"/>
      <c r="DU8" s="147"/>
      <c r="DV8" s="147"/>
      <c r="DW8" s="147"/>
    </row>
    <row r="9" spans="1:128" x14ac:dyDescent="0.2">
      <c r="B9" s="65" t="s">
        <v>368</v>
      </c>
      <c r="C9" s="172">
        <v>190</v>
      </c>
      <c r="D9" s="172">
        <v>178</v>
      </c>
      <c r="E9" s="172">
        <v>163</v>
      </c>
      <c r="F9" s="172">
        <v>223</v>
      </c>
      <c r="G9" s="147">
        <v>192</v>
      </c>
      <c r="H9" s="147">
        <v>205</v>
      </c>
      <c r="I9" s="147">
        <v>194</v>
      </c>
      <c r="J9" s="147">
        <v>205</v>
      </c>
      <c r="K9" s="73">
        <f>249-K101</f>
        <v>184</v>
      </c>
      <c r="L9" s="73">
        <f>238-L101</f>
        <v>177</v>
      </c>
      <c r="M9" s="73">
        <f>229-M101</f>
        <v>178</v>
      </c>
      <c r="N9" s="73">
        <f>257-N101</f>
        <v>202</v>
      </c>
      <c r="O9" s="73">
        <f>240-O101</f>
        <v>192</v>
      </c>
      <c r="P9" s="73">
        <f>239-P101</f>
        <v>199</v>
      </c>
      <c r="Q9" s="73">
        <f>207-Q101</f>
        <v>170</v>
      </c>
      <c r="R9" s="73">
        <f>271-43</f>
        <v>228</v>
      </c>
      <c r="S9" s="73">
        <v>284</v>
      </c>
      <c r="T9" s="73">
        <v>228</v>
      </c>
      <c r="U9" s="73">
        <v>210</v>
      </c>
      <c r="V9" s="73">
        <v>259</v>
      </c>
      <c r="W9" s="73">
        <v>233</v>
      </c>
      <c r="X9" s="73">
        <v>261</v>
      </c>
      <c r="Y9" s="73">
        <v>258</v>
      </c>
      <c r="Z9" s="73">
        <v>311</v>
      </c>
      <c r="AA9" s="73">
        <v>211</v>
      </c>
      <c r="AB9" s="73">
        <v>239</v>
      </c>
      <c r="AC9" s="73">
        <v>238</v>
      </c>
      <c r="AD9" s="73">
        <v>306</v>
      </c>
      <c r="AE9" s="73">
        <v>233</v>
      </c>
      <c r="AF9" s="73">
        <v>281</v>
      </c>
      <c r="AG9" s="73">
        <v>239</v>
      </c>
      <c r="AH9" s="73">
        <v>275</v>
      </c>
      <c r="AI9" s="73">
        <f>209-9-33</f>
        <v>167</v>
      </c>
      <c r="AJ9" s="73">
        <f>190-AJ92</f>
        <v>160</v>
      </c>
      <c r="AP9" s="73">
        <v>255</v>
      </c>
      <c r="AR9" s="73">
        <f>175+272+1</f>
        <v>448</v>
      </c>
      <c r="BO9" s="73">
        <v>465</v>
      </c>
      <c r="BP9" s="73">
        <v>423</v>
      </c>
      <c r="BQ9" s="73">
        <v>453</v>
      </c>
      <c r="BR9" s="73">
        <v>455</v>
      </c>
      <c r="BS9" s="73">
        <v>345</v>
      </c>
      <c r="BT9" s="73">
        <v>363</v>
      </c>
      <c r="BU9" s="73">
        <v>383</v>
      </c>
      <c r="BV9" s="73">
        <v>379</v>
      </c>
      <c r="BW9" s="73">
        <v>386</v>
      </c>
      <c r="BX9" s="162">
        <f>399+(861-91-130-81-127-399)</f>
        <v>432</v>
      </c>
      <c r="BY9" s="73">
        <v>457</v>
      </c>
      <c r="BZ9" s="73">
        <v>459</v>
      </c>
      <c r="CA9" s="73">
        <v>412</v>
      </c>
      <c r="CB9" s="73">
        <v>414</v>
      </c>
      <c r="CC9" s="73">
        <v>393</v>
      </c>
      <c r="CD9" s="73">
        <v>405</v>
      </c>
      <c r="CE9" s="73">
        <v>552</v>
      </c>
      <c r="CF9" s="73">
        <v>545</v>
      </c>
      <c r="CP9" s="147">
        <v>0</v>
      </c>
      <c r="CQ9" s="147">
        <v>837</v>
      </c>
      <c r="CR9" s="147">
        <v>754</v>
      </c>
      <c r="CS9" s="147">
        <v>796</v>
      </c>
      <c r="CT9" s="147">
        <f>SUM(K9:N9)</f>
        <v>741</v>
      </c>
      <c r="CU9" s="147">
        <f>SUM(O9:R9)</f>
        <v>789</v>
      </c>
      <c r="CV9" s="147">
        <f>SUM(S9:V9)</f>
        <v>981</v>
      </c>
      <c r="CW9" s="146">
        <f>SUM(W9:Z9)</f>
        <v>1063</v>
      </c>
      <c r="CX9" s="146">
        <f>SUM(AA9:AD9)</f>
        <v>994</v>
      </c>
      <c r="CY9" s="147">
        <f>CX9*0.9</f>
        <v>894.6</v>
      </c>
      <c r="CZ9" s="147">
        <f t="shared" ref="CZ9:DE9" si="28">CY9*0.9</f>
        <v>805.14</v>
      </c>
      <c r="DA9" s="147">
        <f t="shared" si="28"/>
        <v>724.62599999999998</v>
      </c>
      <c r="DB9" s="147">
        <f t="shared" si="28"/>
        <v>652.16340000000002</v>
      </c>
      <c r="DC9" s="147">
        <f t="shared" si="28"/>
        <v>586.94706000000008</v>
      </c>
      <c r="DD9" s="147">
        <f t="shared" si="28"/>
        <v>528.25235400000008</v>
      </c>
      <c r="DE9" s="147">
        <f t="shared" si="28"/>
        <v>475.42711860000009</v>
      </c>
      <c r="DF9" s="147"/>
      <c r="DG9" s="147"/>
      <c r="DH9" s="146">
        <f t="shared" si="16"/>
        <v>1796</v>
      </c>
      <c r="DI9" s="146">
        <f t="shared" si="17"/>
        <v>1470</v>
      </c>
      <c r="DJ9" s="146">
        <f t="shared" si="18"/>
        <v>1734</v>
      </c>
      <c r="DK9" s="146">
        <f t="shared" si="19"/>
        <v>1624</v>
      </c>
      <c r="DL9" s="147">
        <f t="shared" ref="DL9:DM9" si="29">DK9*0.9</f>
        <v>1461.6000000000001</v>
      </c>
      <c r="DM9" s="147">
        <f t="shared" si="29"/>
        <v>1315.44</v>
      </c>
      <c r="DN9" s="147">
        <f t="shared" ref="DN9" si="30">DM9*0.9</f>
        <v>1183.8960000000002</v>
      </c>
      <c r="DO9" s="147">
        <f t="shared" ref="DO9" si="31">DN9*0.9</f>
        <v>1065.5064000000002</v>
      </c>
      <c r="DP9" s="147">
        <f t="shared" ref="DP9" si="32">DO9*0.9</f>
        <v>958.95576000000017</v>
      </c>
      <c r="DQ9" s="147">
        <f t="shared" ref="DQ9" si="33">DP9*0.9</f>
        <v>863.06018400000016</v>
      </c>
      <c r="DR9" s="147">
        <f t="shared" ref="DR9" si="34">DQ9*0.9</f>
        <v>776.75416560000019</v>
      </c>
      <c r="DS9" s="147">
        <f t="shared" ref="DS9" si="35">DR9*0.9</f>
        <v>699.07874904000016</v>
      </c>
      <c r="DT9" s="147">
        <f t="shared" ref="DT9" si="36">DS9*0.9</f>
        <v>629.17087413600018</v>
      </c>
      <c r="DU9" s="147">
        <f t="shared" ref="DU9" si="37">DT9*0.9</f>
        <v>566.25378672240015</v>
      </c>
      <c r="DV9" s="147">
        <f t="shared" ref="DV9" si="38">DU9*0.9</f>
        <v>509.62840805016015</v>
      </c>
      <c r="DW9" s="147">
        <f t="shared" ref="DW9" si="39">DV9*0.9</f>
        <v>458.66556724514413</v>
      </c>
    </row>
    <row r="10" spans="1:128" x14ac:dyDescent="0.2">
      <c r="B10" s="112" t="s">
        <v>1397</v>
      </c>
      <c r="C10" s="172"/>
      <c r="D10" s="172"/>
      <c r="E10" s="172"/>
      <c r="F10" s="172"/>
      <c r="G10" s="147"/>
      <c r="H10" s="147"/>
      <c r="I10" s="147"/>
      <c r="J10" s="147"/>
      <c r="BO10" s="73">
        <v>193</v>
      </c>
      <c r="BP10" s="73">
        <v>194</v>
      </c>
      <c r="BQ10" s="73">
        <v>194</v>
      </c>
      <c r="BR10" s="73">
        <v>238</v>
      </c>
      <c r="BS10" s="73">
        <v>248</v>
      </c>
      <c r="BT10" s="73">
        <v>291</v>
      </c>
      <c r="BU10" s="73">
        <v>326</v>
      </c>
      <c r="BV10" s="73">
        <v>352</v>
      </c>
      <c r="BW10" s="73">
        <v>340</v>
      </c>
      <c r="BX10" s="73">
        <v>467</v>
      </c>
      <c r="BY10" s="73">
        <v>465</v>
      </c>
      <c r="BZ10" s="73">
        <v>457</v>
      </c>
      <c r="CA10" s="73">
        <v>465</v>
      </c>
      <c r="CB10" s="73">
        <v>611</v>
      </c>
      <c r="CC10" s="73">
        <v>537</v>
      </c>
      <c r="CD10" s="73">
        <v>589</v>
      </c>
      <c r="CE10" s="73">
        <v>591</v>
      </c>
      <c r="CF10" s="73">
        <v>842</v>
      </c>
      <c r="CP10" s="147"/>
      <c r="CQ10" s="147"/>
      <c r="CR10" s="147"/>
      <c r="CS10" s="147"/>
      <c r="CT10" s="147"/>
      <c r="CU10" s="147"/>
      <c r="CV10" s="147"/>
      <c r="CW10" s="146"/>
      <c r="CX10" s="146"/>
      <c r="CY10" s="147"/>
      <c r="CZ10" s="147"/>
      <c r="DA10" s="147"/>
      <c r="DB10" s="147"/>
      <c r="DC10" s="147"/>
      <c r="DD10" s="147"/>
      <c r="DE10" s="147"/>
      <c r="DF10" s="147"/>
      <c r="DG10" s="147"/>
      <c r="DH10" s="146">
        <f t="shared" si="16"/>
        <v>819</v>
      </c>
      <c r="DI10" s="146">
        <f t="shared" si="17"/>
        <v>1217</v>
      </c>
      <c r="DJ10" s="146">
        <f t="shared" si="18"/>
        <v>1729</v>
      </c>
      <c r="DK10" s="146">
        <f t="shared" si="19"/>
        <v>2202</v>
      </c>
      <c r="DL10" s="147">
        <f>+DK10*1.03</f>
        <v>2268.06</v>
      </c>
      <c r="DM10" s="147">
        <f t="shared" ref="DM10:DW10" si="40">+DL10*1.03</f>
        <v>2336.1017999999999</v>
      </c>
      <c r="DN10" s="147">
        <f t="shared" si="40"/>
        <v>2406.1848540000001</v>
      </c>
      <c r="DO10" s="147">
        <f t="shared" si="40"/>
        <v>2478.3703996200002</v>
      </c>
      <c r="DP10" s="147">
        <f t="shared" si="40"/>
        <v>2552.7215116086004</v>
      </c>
      <c r="DQ10" s="147">
        <f t="shared" si="40"/>
        <v>2629.3031569568584</v>
      </c>
      <c r="DR10" s="147">
        <f t="shared" si="40"/>
        <v>2708.1822516655643</v>
      </c>
      <c r="DS10" s="147">
        <f t="shared" si="40"/>
        <v>2789.4277192155314</v>
      </c>
      <c r="DT10" s="147">
        <f t="shared" si="40"/>
        <v>2873.1105507919974</v>
      </c>
      <c r="DU10" s="147">
        <f t="shared" si="40"/>
        <v>2959.3038673157575</v>
      </c>
      <c r="DV10" s="147">
        <f t="shared" si="40"/>
        <v>3048.0829833352304</v>
      </c>
      <c r="DW10" s="147">
        <f t="shared" si="40"/>
        <v>3139.5254728352875</v>
      </c>
    </row>
    <row r="11" spans="1:128" x14ac:dyDescent="0.2">
      <c r="B11" s="112" t="s">
        <v>1389</v>
      </c>
      <c r="C11" s="172"/>
      <c r="D11" s="172"/>
      <c r="E11" s="172"/>
      <c r="F11" s="172"/>
      <c r="G11" s="147"/>
      <c r="H11" s="147"/>
      <c r="I11" s="147"/>
      <c r="J11" s="147"/>
      <c r="BO11" s="73">
        <v>210</v>
      </c>
      <c r="BP11" s="73">
        <v>241</v>
      </c>
      <c r="BQ11" s="73">
        <v>251</v>
      </c>
      <c r="BR11" s="73">
        <v>292</v>
      </c>
      <c r="BS11" s="73">
        <v>254</v>
      </c>
      <c r="BT11" s="73">
        <v>292</v>
      </c>
      <c r="BU11" s="73">
        <v>285</v>
      </c>
      <c r="BV11" s="73">
        <v>311</v>
      </c>
      <c r="BW11" s="73">
        <v>295</v>
      </c>
      <c r="BX11" s="73">
        <v>367</v>
      </c>
      <c r="BY11" s="73">
        <v>366</v>
      </c>
      <c r="BZ11" s="73">
        <v>395</v>
      </c>
      <c r="CA11" s="73">
        <v>347</v>
      </c>
      <c r="CB11" s="73">
        <v>424</v>
      </c>
      <c r="CC11" s="73">
        <v>413</v>
      </c>
      <c r="CD11" s="73">
        <v>471</v>
      </c>
      <c r="CE11" s="73">
        <v>374</v>
      </c>
      <c r="CF11" s="73">
        <v>482</v>
      </c>
      <c r="CP11" s="147"/>
      <c r="CQ11" s="147"/>
      <c r="CR11" s="147"/>
      <c r="CS11" s="146"/>
      <c r="CT11" s="146"/>
      <c r="CU11" s="147"/>
      <c r="CV11" s="147"/>
      <c r="CW11" s="146"/>
      <c r="CX11" s="167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>
        <f t="shared" si="16"/>
        <v>994</v>
      </c>
      <c r="DI11" s="146">
        <f t="shared" si="17"/>
        <v>1142</v>
      </c>
      <c r="DJ11" s="146">
        <f t="shared" si="18"/>
        <v>1423</v>
      </c>
      <c r="DK11" s="146">
        <f t="shared" si="19"/>
        <v>1655</v>
      </c>
      <c r="DL11" s="146">
        <f>+DK11*1.05</f>
        <v>1737.75</v>
      </c>
      <c r="DM11" s="146">
        <f t="shared" ref="DM11:DW11" si="41">+DL11*1.05</f>
        <v>1824.6375</v>
      </c>
      <c r="DN11" s="146">
        <f t="shared" si="41"/>
        <v>1915.8693750000002</v>
      </c>
      <c r="DO11" s="146">
        <f t="shared" si="41"/>
        <v>2011.6628437500003</v>
      </c>
      <c r="DP11" s="146">
        <f t="shared" si="41"/>
        <v>2112.2459859375003</v>
      </c>
      <c r="DQ11" s="146">
        <f t="shared" si="41"/>
        <v>2217.8582852343757</v>
      </c>
      <c r="DR11" s="146">
        <f t="shared" si="41"/>
        <v>2328.7511994960946</v>
      </c>
      <c r="DS11" s="146">
        <f t="shared" si="41"/>
        <v>2445.1887594708996</v>
      </c>
      <c r="DT11" s="146">
        <f t="shared" si="41"/>
        <v>2567.4481974444448</v>
      </c>
      <c r="DU11" s="146">
        <f t="shared" si="41"/>
        <v>2695.8206073166671</v>
      </c>
      <c r="DV11" s="146">
        <f t="shared" si="41"/>
        <v>2830.6116376825007</v>
      </c>
      <c r="DW11" s="146">
        <f t="shared" si="41"/>
        <v>2972.142219566626</v>
      </c>
    </row>
    <row r="12" spans="1:128" x14ac:dyDescent="0.2">
      <c r="B12" s="112" t="s">
        <v>1343</v>
      </c>
      <c r="C12" s="172"/>
      <c r="D12" s="172"/>
      <c r="E12" s="172"/>
      <c r="F12" s="172"/>
      <c r="G12" s="147"/>
      <c r="H12" s="147"/>
      <c r="I12" s="147"/>
      <c r="J12" s="147"/>
      <c r="AR12" s="73">
        <v>11</v>
      </c>
      <c r="BO12" s="73">
        <v>285</v>
      </c>
      <c r="BP12" s="73">
        <v>242</v>
      </c>
      <c r="BQ12" s="73">
        <v>323</v>
      </c>
      <c r="BR12" s="73">
        <v>274</v>
      </c>
      <c r="BS12" s="73">
        <v>268</v>
      </c>
      <c r="BT12" s="73">
        <v>312</v>
      </c>
      <c r="BU12" s="73">
        <v>261</v>
      </c>
      <c r="BV12" s="73">
        <v>280</v>
      </c>
      <c r="BW12" s="73">
        <v>275</v>
      </c>
      <c r="BX12" s="73">
        <v>309</v>
      </c>
      <c r="BY12" s="73">
        <v>312</v>
      </c>
      <c r="BZ12" s="73">
        <v>249</v>
      </c>
      <c r="CA12" s="73">
        <v>274</v>
      </c>
      <c r="CB12" s="73">
        <v>288</v>
      </c>
      <c r="CC12" s="73">
        <v>239</v>
      </c>
      <c r="CD12" s="73">
        <v>302</v>
      </c>
      <c r="CE12" s="73">
        <v>270</v>
      </c>
      <c r="CF12" s="73">
        <v>281</v>
      </c>
      <c r="CP12" s="147"/>
      <c r="CQ12" s="147"/>
      <c r="CR12" s="147"/>
      <c r="CS12" s="146"/>
      <c r="CT12" s="146"/>
      <c r="CU12" s="147"/>
      <c r="CV12" s="147"/>
      <c r="CW12" s="146"/>
      <c r="CX12" s="146"/>
      <c r="CY12" s="146"/>
      <c r="CZ12" s="146"/>
      <c r="DA12" s="146"/>
      <c r="DB12" s="146"/>
      <c r="DC12" s="146"/>
      <c r="DD12" s="146"/>
      <c r="DH12" s="146">
        <f t="shared" si="16"/>
        <v>1124</v>
      </c>
      <c r="DI12" s="146">
        <f t="shared" si="17"/>
        <v>1121</v>
      </c>
      <c r="DJ12" s="146">
        <f t="shared" si="18"/>
        <v>1145</v>
      </c>
      <c r="DK12" s="146">
        <f t="shared" si="19"/>
        <v>1103</v>
      </c>
      <c r="DL12" s="151">
        <f>+DK12*1.03</f>
        <v>1136.0899999999999</v>
      </c>
      <c r="DM12" s="151">
        <f t="shared" ref="DM12:DW12" si="42">+DL12*1.03</f>
        <v>1170.1726999999998</v>
      </c>
      <c r="DN12" s="151">
        <f t="shared" si="42"/>
        <v>1205.277881</v>
      </c>
      <c r="DO12" s="151">
        <f t="shared" si="42"/>
        <v>1241.4362174299999</v>
      </c>
      <c r="DP12" s="151">
        <f t="shared" si="42"/>
        <v>1278.6793039529</v>
      </c>
      <c r="DQ12" s="151">
        <f t="shared" si="42"/>
        <v>1317.0396830714869</v>
      </c>
      <c r="DR12" s="151">
        <f t="shared" si="42"/>
        <v>1356.5508735636315</v>
      </c>
      <c r="DS12" s="151">
        <f t="shared" si="42"/>
        <v>1397.2473997705406</v>
      </c>
      <c r="DT12" s="151">
        <f t="shared" si="42"/>
        <v>1439.1648217636568</v>
      </c>
      <c r="DU12" s="151">
        <f t="shared" si="42"/>
        <v>1482.3397664165666</v>
      </c>
      <c r="DV12" s="151">
        <f t="shared" si="42"/>
        <v>1526.8099594090636</v>
      </c>
      <c r="DW12" s="151">
        <f t="shared" si="42"/>
        <v>1572.6142581913355</v>
      </c>
    </row>
    <row r="13" spans="1:128" x14ac:dyDescent="0.2">
      <c r="B13" s="65" t="s">
        <v>569</v>
      </c>
      <c r="C13" s="172"/>
      <c r="D13" s="172"/>
      <c r="E13" s="172"/>
      <c r="F13" s="172"/>
      <c r="G13" s="147"/>
      <c r="H13" s="147"/>
      <c r="I13" s="147"/>
      <c r="J13" s="147"/>
      <c r="AF13" s="73">
        <v>0</v>
      </c>
      <c r="AG13" s="73">
        <v>0</v>
      </c>
      <c r="AH13" s="73">
        <v>0</v>
      </c>
      <c r="AI13" s="73">
        <v>9</v>
      </c>
      <c r="AJ13" s="73">
        <v>12</v>
      </c>
      <c r="AP13" s="73">
        <v>37</v>
      </c>
      <c r="AR13" s="73">
        <v>41</v>
      </c>
      <c r="BO13" s="73">
        <v>151</v>
      </c>
      <c r="BP13" s="73">
        <v>177</v>
      </c>
      <c r="BQ13" s="73">
        <v>186</v>
      </c>
      <c r="BR13" s="73">
        <v>205</v>
      </c>
      <c r="BS13" s="73">
        <v>178</v>
      </c>
      <c r="BT13" s="73">
        <v>214</v>
      </c>
      <c r="BU13" s="73">
        <v>238</v>
      </c>
      <c r="BV13" s="73">
        <v>244</v>
      </c>
      <c r="BW13" s="73">
        <v>215</v>
      </c>
      <c r="BX13" s="73">
        <v>297</v>
      </c>
      <c r="BY13" s="73">
        <v>308</v>
      </c>
      <c r="BZ13" s="73">
        <v>326</v>
      </c>
      <c r="CA13" s="73">
        <v>253</v>
      </c>
      <c r="CB13" s="73">
        <v>358</v>
      </c>
      <c r="CC13" s="73">
        <v>349</v>
      </c>
      <c r="CD13" s="73">
        <v>389</v>
      </c>
      <c r="CE13" s="73">
        <v>260</v>
      </c>
      <c r="CF13" s="73">
        <v>418</v>
      </c>
      <c r="CP13" s="147"/>
      <c r="CQ13" s="147"/>
      <c r="CR13" s="147"/>
      <c r="CS13" s="146"/>
      <c r="CT13" s="146"/>
      <c r="CU13" s="147" t="s">
        <v>449</v>
      </c>
      <c r="CV13" s="147" t="s">
        <v>449</v>
      </c>
      <c r="CW13" s="146" t="s">
        <v>449</v>
      </c>
      <c r="CX13" s="167" t="s">
        <v>449</v>
      </c>
      <c r="CY13" s="146">
        <v>300</v>
      </c>
      <c r="CZ13" s="146">
        <v>800</v>
      </c>
      <c r="DA13" s="146">
        <v>1100</v>
      </c>
      <c r="DB13" s="146">
        <v>1400</v>
      </c>
      <c r="DC13" s="146">
        <v>1500</v>
      </c>
      <c r="DD13" s="146">
        <v>1600</v>
      </c>
      <c r="DE13" s="146">
        <v>1700</v>
      </c>
      <c r="DF13" s="146"/>
      <c r="DG13" s="146"/>
      <c r="DH13" s="146">
        <f t="shared" si="16"/>
        <v>719</v>
      </c>
      <c r="DI13" s="146">
        <f t="shared" ref="DI13" si="43">SUM(BS13:BV13)</f>
        <v>874</v>
      </c>
      <c r="DJ13" s="146">
        <f t="shared" ref="DJ13" si="44">SUM(BW13:BZ13)</f>
        <v>1146</v>
      </c>
      <c r="DK13" s="146">
        <f t="shared" ref="DK13" si="45">SUM(CA13:CD13)</f>
        <v>1349</v>
      </c>
      <c r="DL13" s="146">
        <f>+DK13*1.05</f>
        <v>1416.45</v>
      </c>
      <c r="DM13" s="146">
        <f t="shared" ref="DM13:DW13" si="46">+DL13*1.05</f>
        <v>1487.2725</v>
      </c>
      <c r="DN13" s="146">
        <f t="shared" si="46"/>
        <v>1561.636125</v>
      </c>
      <c r="DO13" s="146">
        <f t="shared" si="46"/>
        <v>1639.71793125</v>
      </c>
      <c r="DP13" s="146">
        <f t="shared" si="46"/>
        <v>1721.7038278125001</v>
      </c>
      <c r="DQ13" s="146">
        <f t="shared" si="46"/>
        <v>1807.7890192031252</v>
      </c>
      <c r="DR13" s="146">
        <f t="shared" si="46"/>
        <v>1898.1784701632816</v>
      </c>
      <c r="DS13" s="146">
        <f t="shared" si="46"/>
        <v>1993.0873936714459</v>
      </c>
      <c r="DT13" s="146">
        <f t="shared" si="46"/>
        <v>2092.7417633550181</v>
      </c>
      <c r="DU13" s="146">
        <f t="shared" si="46"/>
        <v>2197.3788515227689</v>
      </c>
      <c r="DV13" s="146">
        <f t="shared" si="46"/>
        <v>2307.2477940989074</v>
      </c>
      <c r="DW13" s="146">
        <f t="shared" si="46"/>
        <v>2422.610183803853</v>
      </c>
    </row>
    <row r="14" spans="1:128" x14ac:dyDescent="0.2">
      <c r="B14" s="112" t="s">
        <v>1488</v>
      </c>
      <c r="C14" s="172"/>
      <c r="D14" s="172"/>
      <c r="E14" s="172"/>
      <c r="F14" s="172"/>
      <c r="G14" s="147"/>
      <c r="H14" s="147"/>
      <c r="I14" s="147"/>
      <c r="J14" s="147"/>
      <c r="CC14" s="73">
        <v>709</v>
      </c>
      <c r="CD14" s="73">
        <v>529</v>
      </c>
      <c r="CE14" s="73">
        <v>182</v>
      </c>
      <c r="CF14" s="73">
        <v>62</v>
      </c>
      <c r="CP14" s="147"/>
      <c r="CQ14" s="147"/>
      <c r="CR14" s="147"/>
      <c r="CS14" s="146"/>
      <c r="CT14" s="146"/>
      <c r="CU14" s="147"/>
      <c r="CV14" s="147"/>
      <c r="CW14" s="146"/>
      <c r="CX14" s="167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</row>
    <row r="15" spans="1:128" x14ac:dyDescent="0.2">
      <c r="B15" s="65" t="s">
        <v>590</v>
      </c>
      <c r="C15" s="171"/>
      <c r="D15" s="171"/>
      <c r="E15" s="171"/>
      <c r="F15" s="171"/>
      <c r="G15" s="147"/>
      <c r="H15" s="147"/>
      <c r="I15" s="147"/>
      <c r="J15" s="147"/>
      <c r="K15" s="147"/>
      <c r="W15" s="73">
        <v>116</v>
      </c>
      <c r="X15" s="73">
        <v>112</v>
      </c>
      <c r="Y15" s="73">
        <v>110</v>
      </c>
      <c r="Z15" s="73">
        <v>139</v>
      </c>
      <c r="AA15" s="73">
        <v>116</v>
      </c>
      <c r="AB15" s="73">
        <v>134</v>
      </c>
      <c r="AC15" s="73">
        <v>130</v>
      </c>
      <c r="AD15" s="73">
        <v>142</v>
      </c>
      <c r="AE15" s="73">
        <v>146</v>
      </c>
      <c r="AF15" s="73">
        <v>149</v>
      </c>
      <c r="AG15" s="73">
        <v>136</v>
      </c>
      <c r="AH15" s="73">
        <v>171</v>
      </c>
      <c r="AI15" s="73">
        <v>155</v>
      </c>
      <c r="AJ15" s="73">
        <v>147</v>
      </c>
      <c r="AK15" s="73">
        <v>152</v>
      </c>
      <c r="AP15" s="73">
        <v>175</v>
      </c>
      <c r="AR15" s="73">
        <v>155</v>
      </c>
      <c r="BO15" s="73">
        <v>253</v>
      </c>
      <c r="BP15" s="73">
        <v>144</v>
      </c>
      <c r="BQ15" s="73">
        <v>177</v>
      </c>
      <c r="BR15" s="73">
        <v>211</v>
      </c>
      <c r="BS15" s="73">
        <v>189</v>
      </c>
      <c r="BT15" s="73">
        <v>167</v>
      </c>
      <c r="BU15" s="73">
        <v>178</v>
      </c>
      <c r="BV15" s="73">
        <v>184</v>
      </c>
      <c r="BW15" s="73">
        <v>201</v>
      </c>
      <c r="BX15" s="73">
        <v>174</v>
      </c>
      <c r="BY15" s="73">
        <v>190</v>
      </c>
      <c r="BZ15" s="73">
        <v>206</v>
      </c>
      <c r="CA15" s="73">
        <v>205</v>
      </c>
      <c r="CB15" s="73">
        <v>171</v>
      </c>
      <c r="CC15" s="73">
        <v>175</v>
      </c>
      <c r="CD15" s="73">
        <v>198</v>
      </c>
      <c r="CE15" s="73">
        <v>168</v>
      </c>
      <c r="CF15" s="73">
        <v>188</v>
      </c>
      <c r="CP15" s="146">
        <v>0</v>
      </c>
      <c r="CQ15" s="146"/>
      <c r="CR15" s="146"/>
      <c r="CS15" s="146"/>
      <c r="CT15" s="147"/>
      <c r="CU15" s="147"/>
      <c r="CV15" s="147"/>
      <c r="CW15" s="146">
        <f>SUM(W15:AA15)</f>
        <v>593</v>
      </c>
      <c r="CX15" s="146">
        <f>SUM(AA15:AD15)</f>
        <v>522</v>
      </c>
      <c r="CY15" s="147">
        <f>+CX15*1.05</f>
        <v>548.1</v>
      </c>
      <c r="CZ15" s="147">
        <f t="shared" ref="CZ15:DE15" si="47">+CY15*1.05</f>
        <v>575.505</v>
      </c>
      <c r="DA15" s="147">
        <f t="shared" si="47"/>
        <v>604.28025000000002</v>
      </c>
      <c r="DB15" s="147">
        <f t="shared" si="47"/>
        <v>634.4942625000001</v>
      </c>
      <c r="DC15" s="147">
        <f t="shared" si="47"/>
        <v>666.2189756250001</v>
      </c>
      <c r="DD15" s="147">
        <f t="shared" si="47"/>
        <v>699.52992440625019</v>
      </c>
      <c r="DE15" s="147">
        <f t="shared" si="47"/>
        <v>734.50642062656277</v>
      </c>
      <c r="DF15" s="147"/>
      <c r="DG15" s="147"/>
      <c r="DH15" s="146">
        <f t="shared" si="16"/>
        <v>785</v>
      </c>
      <c r="DI15" s="146">
        <f t="shared" ref="DI15:DI17" si="48">SUM(BS15:BV15)</f>
        <v>718</v>
      </c>
      <c r="DJ15" s="146">
        <f t="shared" ref="DJ15:DJ17" si="49">SUM(BW15:BZ15)</f>
        <v>771</v>
      </c>
      <c r="DK15" s="146">
        <f t="shared" ref="DK15:DK17" si="50">SUM(CA15:CD15)</f>
        <v>749</v>
      </c>
      <c r="DL15" s="147">
        <f t="shared" ref="DL15:DM15" si="51">+DK15*1.05</f>
        <v>786.45</v>
      </c>
      <c r="DM15" s="147">
        <f t="shared" si="51"/>
        <v>825.77250000000004</v>
      </c>
      <c r="DN15" s="147">
        <f>+DM15*0.9</f>
        <v>743.1952500000001</v>
      </c>
      <c r="DO15" s="147">
        <f t="shared" ref="DO15:DW15" si="52">+DN15*0.9</f>
        <v>668.8757250000001</v>
      </c>
      <c r="DP15" s="147">
        <f t="shared" si="52"/>
        <v>601.98815250000007</v>
      </c>
      <c r="DQ15" s="147">
        <f t="shared" si="52"/>
        <v>541.78933725000013</v>
      </c>
      <c r="DR15" s="147">
        <f t="shared" si="52"/>
        <v>487.61040352500015</v>
      </c>
      <c r="DS15" s="147">
        <f t="shared" si="52"/>
        <v>438.84936317250015</v>
      </c>
      <c r="DT15" s="147">
        <f t="shared" si="52"/>
        <v>394.96442685525017</v>
      </c>
      <c r="DU15" s="147">
        <f t="shared" si="52"/>
        <v>355.46798416972518</v>
      </c>
      <c r="DV15" s="147">
        <f t="shared" si="52"/>
        <v>319.92118575275265</v>
      </c>
      <c r="DW15" s="147">
        <f t="shared" si="52"/>
        <v>287.92906717747741</v>
      </c>
    </row>
    <row r="16" spans="1:128" x14ac:dyDescent="0.2">
      <c r="B16" s="65" t="s">
        <v>364</v>
      </c>
      <c r="C16" s="171">
        <v>76</v>
      </c>
      <c r="D16" s="171">
        <v>86</v>
      </c>
      <c r="E16" s="171">
        <v>95</v>
      </c>
      <c r="F16" s="171">
        <v>99</v>
      </c>
      <c r="G16" s="147">
        <v>83</v>
      </c>
      <c r="H16" s="147">
        <v>102</v>
      </c>
      <c r="I16" s="147">
        <v>140</v>
      </c>
      <c r="J16" s="147">
        <v>121</v>
      </c>
      <c r="K16" s="147">
        <v>124</v>
      </c>
      <c r="L16" s="73">
        <v>129</v>
      </c>
      <c r="M16" s="73">
        <v>122</v>
      </c>
      <c r="N16" s="73">
        <v>136</v>
      </c>
      <c r="O16" s="73">
        <v>134</v>
      </c>
      <c r="P16" s="73">
        <v>135</v>
      </c>
      <c r="Q16" s="73">
        <v>137</v>
      </c>
      <c r="R16" s="73">
        <v>137</v>
      </c>
      <c r="S16" s="73">
        <v>153</v>
      </c>
      <c r="T16" s="73">
        <v>167</v>
      </c>
      <c r="U16" s="73">
        <v>168</v>
      </c>
      <c r="V16" s="73">
        <v>194</v>
      </c>
      <c r="W16" s="73">
        <v>175</v>
      </c>
      <c r="X16" s="73">
        <v>154</v>
      </c>
      <c r="Y16" s="73">
        <v>167</v>
      </c>
      <c r="Z16" s="73">
        <v>153</v>
      </c>
      <c r="AA16" s="73">
        <v>166</v>
      </c>
      <c r="AB16" s="73">
        <v>176</v>
      </c>
      <c r="AC16" s="73">
        <v>168</v>
      </c>
      <c r="AD16" s="73">
        <v>190</v>
      </c>
      <c r="AE16" s="73">
        <v>161</v>
      </c>
      <c r="AF16" s="73">
        <v>156</v>
      </c>
      <c r="AG16" s="73">
        <v>192</v>
      </c>
      <c r="AH16" s="73">
        <v>181</v>
      </c>
      <c r="AI16" s="73">
        <v>161</v>
      </c>
      <c r="AJ16" s="73">
        <v>179</v>
      </c>
      <c r="AK16" s="73">
        <v>200</v>
      </c>
      <c r="AP16" s="73">
        <v>208</v>
      </c>
      <c r="AR16" s="73">
        <v>202</v>
      </c>
      <c r="BO16" s="73">
        <v>180</v>
      </c>
      <c r="BP16" s="73">
        <v>119</v>
      </c>
      <c r="BQ16" s="73">
        <v>158</v>
      </c>
      <c r="BR16" s="73">
        <v>172</v>
      </c>
      <c r="BS16" s="73">
        <v>136</v>
      </c>
      <c r="BT16" s="73">
        <v>136</v>
      </c>
      <c r="BU16" s="73">
        <v>156</v>
      </c>
      <c r="BV16" s="73">
        <v>115</v>
      </c>
      <c r="BW16" s="73">
        <v>175</v>
      </c>
      <c r="BX16" s="73">
        <v>120</v>
      </c>
      <c r="BY16" s="73">
        <v>188</v>
      </c>
      <c r="BZ16" s="73">
        <v>111</v>
      </c>
      <c r="CA16" s="73">
        <v>177</v>
      </c>
      <c r="CB16" s="73">
        <v>85</v>
      </c>
      <c r="CC16" s="73">
        <v>145</v>
      </c>
      <c r="CD16" s="73">
        <v>147</v>
      </c>
      <c r="CE16" s="73">
        <v>145</v>
      </c>
      <c r="CF16" s="73">
        <v>94</v>
      </c>
      <c r="CP16" s="146">
        <v>254</v>
      </c>
      <c r="CQ16" s="146">
        <v>336</v>
      </c>
      <c r="CR16" s="146">
        <v>356</v>
      </c>
      <c r="CS16" s="146">
        <v>431</v>
      </c>
      <c r="CT16" s="147">
        <f>SUM(K16:N16)</f>
        <v>511</v>
      </c>
      <c r="CU16" s="147">
        <f>SUM(O16:R16)</f>
        <v>543</v>
      </c>
      <c r="CV16" s="147">
        <f>SUM(S16:V16)</f>
        <v>682</v>
      </c>
      <c r="CW16" s="146">
        <f>SUM(W16:Z16)</f>
        <v>649</v>
      </c>
      <c r="CX16" s="146">
        <f>SUM(AA16:AD16)</f>
        <v>700</v>
      </c>
      <c r="CY16" s="147">
        <f>SUM(AE16:AH16)</f>
        <v>690</v>
      </c>
      <c r="CZ16" s="147">
        <f>CY16*0.99</f>
        <v>683.1</v>
      </c>
      <c r="DA16" s="147">
        <f t="shared" ref="DA16:DM16" si="53">CZ16*0.99</f>
        <v>676.26900000000001</v>
      </c>
      <c r="DB16" s="147">
        <f t="shared" si="53"/>
        <v>669.50630999999998</v>
      </c>
      <c r="DC16" s="147">
        <f t="shared" si="53"/>
        <v>662.81124690000001</v>
      </c>
      <c r="DD16" s="147">
        <f t="shared" si="53"/>
        <v>656.18313443099998</v>
      </c>
      <c r="DE16" s="147">
        <f t="shared" si="53"/>
        <v>649.62130308668998</v>
      </c>
      <c r="DF16" s="147"/>
      <c r="DG16" s="147"/>
      <c r="DH16" s="146">
        <f t="shared" si="16"/>
        <v>629</v>
      </c>
      <c r="DI16" s="146">
        <f t="shared" si="48"/>
        <v>543</v>
      </c>
      <c r="DJ16" s="146">
        <f t="shared" si="49"/>
        <v>594</v>
      </c>
      <c r="DK16" s="146">
        <f t="shared" si="50"/>
        <v>554</v>
      </c>
      <c r="DL16" s="147">
        <f t="shared" si="53"/>
        <v>548.46</v>
      </c>
      <c r="DM16" s="147">
        <f t="shared" si="53"/>
        <v>542.97540000000004</v>
      </c>
      <c r="DN16" s="147">
        <f t="shared" ref="DN16:DW16" si="54">+DM16*0.9</f>
        <v>488.67786000000007</v>
      </c>
      <c r="DO16" s="147">
        <f t="shared" si="54"/>
        <v>439.81007400000004</v>
      </c>
      <c r="DP16" s="147">
        <f t="shared" si="54"/>
        <v>395.82906660000003</v>
      </c>
      <c r="DQ16" s="147">
        <f t="shared" si="54"/>
        <v>356.24615994000004</v>
      </c>
      <c r="DR16" s="147">
        <f t="shared" si="54"/>
        <v>320.62154394600003</v>
      </c>
      <c r="DS16" s="147">
        <f t="shared" si="54"/>
        <v>288.55938955140005</v>
      </c>
      <c r="DT16" s="147">
        <f t="shared" si="54"/>
        <v>259.70345059626004</v>
      </c>
      <c r="DU16" s="147">
        <f t="shared" si="54"/>
        <v>233.73310553663404</v>
      </c>
      <c r="DV16" s="147">
        <f t="shared" si="54"/>
        <v>210.35979498297064</v>
      </c>
      <c r="DW16" s="147">
        <f t="shared" si="54"/>
        <v>189.32381548467359</v>
      </c>
    </row>
    <row r="17" spans="2:127" x14ac:dyDescent="0.2">
      <c r="B17" s="112" t="s">
        <v>1392</v>
      </c>
      <c r="C17" s="171"/>
      <c r="D17" s="171"/>
      <c r="E17" s="171"/>
      <c r="F17" s="171"/>
      <c r="G17" s="147"/>
      <c r="H17" s="147"/>
      <c r="I17" s="147"/>
      <c r="J17" s="147"/>
      <c r="K17" s="147"/>
      <c r="BO17" s="73">
        <v>164</v>
      </c>
      <c r="BP17" s="73">
        <v>108</v>
      </c>
      <c r="BQ17" s="73">
        <v>219</v>
      </c>
      <c r="BR17" s="73">
        <v>159</v>
      </c>
      <c r="BS17" s="73">
        <v>134</v>
      </c>
      <c r="BT17" s="73">
        <v>165</v>
      </c>
      <c r="BU17" s="73">
        <v>224</v>
      </c>
      <c r="BV17" s="73">
        <v>127</v>
      </c>
      <c r="BW17" s="73">
        <v>163</v>
      </c>
      <c r="BX17" s="73">
        <v>165</v>
      </c>
      <c r="BY17" s="73">
        <v>275</v>
      </c>
      <c r="BZ17" s="73">
        <v>150</v>
      </c>
      <c r="CA17" s="73">
        <v>218</v>
      </c>
      <c r="CB17" s="73">
        <v>194</v>
      </c>
      <c r="CC17" s="73">
        <v>266</v>
      </c>
      <c r="CD17" s="73">
        <v>171</v>
      </c>
      <c r="CE17" s="73">
        <v>217</v>
      </c>
      <c r="CF17" s="73">
        <v>232</v>
      </c>
      <c r="CP17" s="146"/>
      <c r="CQ17" s="146"/>
      <c r="CR17" s="146"/>
      <c r="CS17" s="146"/>
      <c r="CT17" s="147"/>
      <c r="CU17" s="147"/>
      <c r="CV17" s="147"/>
      <c r="CW17" s="146"/>
      <c r="CX17" s="146"/>
      <c r="CY17" s="147"/>
      <c r="CZ17" s="147"/>
      <c r="DA17" s="147"/>
      <c r="DB17" s="147"/>
      <c r="DC17" s="147"/>
      <c r="DD17" s="147"/>
      <c r="DE17" s="147"/>
      <c r="DF17" s="147"/>
      <c r="DG17" s="147"/>
      <c r="DH17" s="146">
        <f t="shared" si="16"/>
        <v>650</v>
      </c>
      <c r="DI17" s="146">
        <f t="shared" si="48"/>
        <v>650</v>
      </c>
      <c r="DJ17" s="146">
        <f t="shared" si="49"/>
        <v>753</v>
      </c>
      <c r="DK17" s="146">
        <f t="shared" si="50"/>
        <v>849</v>
      </c>
      <c r="DL17" s="147">
        <f>+DK17*0.9</f>
        <v>764.1</v>
      </c>
      <c r="DM17" s="147">
        <f>+DL17*0.9</f>
        <v>687.69</v>
      </c>
      <c r="DN17" s="147">
        <f t="shared" ref="DN17:DW17" si="55">+DM17*0.9</f>
        <v>618.92100000000005</v>
      </c>
      <c r="DO17" s="147">
        <f t="shared" si="55"/>
        <v>557.02890000000002</v>
      </c>
      <c r="DP17" s="147">
        <f t="shared" si="55"/>
        <v>501.32601000000005</v>
      </c>
      <c r="DQ17" s="147">
        <f t="shared" si="55"/>
        <v>451.19340900000003</v>
      </c>
      <c r="DR17" s="147">
        <f t="shared" si="55"/>
        <v>406.07406810000003</v>
      </c>
      <c r="DS17" s="147">
        <f t="shared" si="55"/>
        <v>365.46666129000005</v>
      </c>
      <c r="DT17" s="147">
        <f t="shared" si="55"/>
        <v>328.91999516100003</v>
      </c>
      <c r="DU17" s="147">
        <f t="shared" si="55"/>
        <v>296.02799564490005</v>
      </c>
      <c r="DV17" s="147">
        <f t="shared" si="55"/>
        <v>266.42519608041005</v>
      </c>
      <c r="DW17" s="147">
        <f t="shared" si="55"/>
        <v>239.78267647236905</v>
      </c>
    </row>
    <row r="18" spans="2:127" x14ac:dyDescent="0.2">
      <c r="B18" s="65" t="s">
        <v>77</v>
      </c>
      <c r="C18" s="171">
        <v>0</v>
      </c>
      <c r="D18" s="171">
        <v>0</v>
      </c>
      <c r="E18" s="171">
        <v>0</v>
      </c>
      <c r="F18" s="171">
        <v>0</v>
      </c>
      <c r="G18" s="147">
        <v>0</v>
      </c>
      <c r="H18" s="147">
        <v>0</v>
      </c>
      <c r="I18" s="147">
        <v>11</v>
      </c>
      <c r="J18" s="147">
        <v>0</v>
      </c>
      <c r="K18" s="146">
        <v>10</v>
      </c>
      <c r="L18" s="73">
        <v>15</v>
      </c>
      <c r="M18" s="73">
        <v>18</v>
      </c>
      <c r="N18" s="73">
        <v>18</v>
      </c>
      <c r="O18" s="73">
        <v>13</v>
      </c>
      <c r="P18" s="73">
        <v>14</v>
      </c>
      <c r="Q18" s="73">
        <v>26</v>
      </c>
      <c r="R18" s="73">
        <v>13</v>
      </c>
      <c r="S18" s="73">
        <v>13</v>
      </c>
      <c r="T18" s="73">
        <v>18</v>
      </c>
      <c r="U18" s="73">
        <v>22</v>
      </c>
      <c r="V18" s="73">
        <v>17</v>
      </c>
      <c r="W18" s="73">
        <v>26</v>
      </c>
      <c r="X18" s="73">
        <v>39</v>
      </c>
      <c r="Y18" s="73">
        <v>39</v>
      </c>
      <c r="Z18" s="73">
        <v>35</v>
      </c>
      <c r="AA18" s="73">
        <v>30</v>
      </c>
      <c r="AB18" s="73">
        <v>43</v>
      </c>
      <c r="AC18" s="73">
        <v>59</v>
      </c>
      <c r="AD18" s="73">
        <v>49</v>
      </c>
      <c r="AE18" s="73">
        <v>32</v>
      </c>
      <c r="AF18" s="73">
        <v>53</v>
      </c>
      <c r="AG18" s="73">
        <v>62</v>
      </c>
      <c r="AH18" s="73">
        <v>45</v>
      </c>
      <c r="AI18" s="73">
        <v>47</v>
      </c>
      <c r="AJ18" s="73">
        <v>58</v>
      </c>
      <c r="AP18" s="73">
        <v>91</v>
      </c>
      <c r="AR18" s="73">
        <v>94</v>
      </c>
      <c r="BO18" s="73">
        <v>112</v>
      </c>
      <c r="BP18" s="73">
        <v>76</v>
      </c>
      <c r="BQ18" s="73">
        <v>163</v>
      </c>
      <c r="BR18" s="73">
        <v>125</v>
      </c>
      <c r="BS18" s="73">
        <v>94</v>
      </c>
      <c r="BT18" s="73">
        <v>146</v>
      </c>
      <c r="BU18" s="73">
        <v>167</v>
      </c>
      <c r="BV18" s="73">
        <v>114</v>
      </c>
      <c r="BW18" s="73">
        <v>126</v>
      </c>
      <c r="BX18" s="73">
        <v>158</v>
      </c>
      <c r="BY18" s="73">
        <v>179</v>
      </c>
      <c r="BZ18" s="73">
        <v>131</v>
      </c>
      <c r="CA18" s="73">
        <v>139</v>
      </c>
      <c r="CB18" s="73">
        <v>164</v>
      </c>
      <c r="CC18" s="73">
        <v>169</v>
      </c>
      <c r="CD18" s="73">
        <v>142</v>
      </c>
      <c r="CE18" s="73">
        <v>138</v>
      </c>
      <c r="CF18" s="73">
        <v>183</v>
      </c>
      <c r="CP18" s="146"/>
      <c r="CQ18" s="146">
        <v>0</v>
      </c>
      <c r="CR18" s="146">
        <v>0</v>
      </c>
      <c r="CS18" s="146">
        <v>11</v>
      </c>
      <c r="CT18" s="147">
        <f>SUM(K18:N18)</f>
        <v>61</v>
      </c>
      <c r="CU18" s="147">
        <f>SUM(O18:R18)</f>
        <v>66</v>
      </c>
      <c r="CV18" s="147">
        <f>SUM(S18:V18)</f>
        <v>70</v>
      </c>
      <c r="CW18" s="146">
        <f>SUM(W18:Z18)</f>
        <v>139</v>
      </c>
      <c r="CX18" s="146">
        <f t="shared" ref="CX18:DD18" si="56">CW18*1.05</f>
        <v>145.95000000000002</v>
      </c>
      <c r="CY18" s="146">
        <f>CX18*1.05</f>
        <v>153.24750000000003</v>
      </c>
      <c r="CZ18" s="146">
        <f t="shared" si="56"/>
        <v>160.90987500000003</v>
      </c>
      <c r="DA18" s="146">
        <f t="shared" si="56"/>
        <v>168.95536875000005</v>
      </c>
      <c r="DB18" s="146">
        <f t="shared" si="56"/>
        <v>177.40313718750005</v>
      </c>
      <c r="DC18" s="146">
        <f t="shared" si="56"/>
        <v>186.27329404687507</v>
      </c>
      <c r="DD18" s="146">
        <f t="shared" si="56"/>
        <v>195.58695874921884</v>
      </c>
      <c r="DE18" s="146">
        <f>DD18*1.05</f>
        <v>205.36630668667979</v>
      </c>
      <c r="DF18" s="146">
        <f>DE18*1.05</f>
        <v>215.6346220210138</v>
      </c>
      <c r="DG18" s="146"/>
      <c r="DH18" s="146">
        <f t="shared" si="16"/>
        <v>476</v>
      </c>
      <c r="DI18" s="146">
        <f t="shared" ref="DI18:DI26" si="57">SUM(BS18:BV18)</f>
        <v>521</v>
      </c>
      <c r="DJ18" s="146">
        <f t="shared" ref="DJ18:DJ26" si="58">SUM(BW18:BZ18)</f>
        <v>594</v>
      </c>
      <c r="DK18" s="146">
        <f t="shared" ref="DK18:DK26" si="59">SUM(CA18:CD18)</f>
        <v>614</v>
      </c>
      <c r="DL18" s="146">
        <f t="shared" ref="DL18:DM18" si="60">DK18*1.05</f>
        <v>644.70000000000005</v>
      </c>
      <c r="DM18" s="146">
        <f t="shared" si="60"/>
        <v>676.93500000000006</v>
      </c>
      <c r="DN18" s="147">
        <f t="shared" ref="DN18:DW18" si="61">+DM18*0.9</f>
        <v>609.24150000000009</v>
      </c>
      <c r="DO18" s="147">
        <f t="shared" si="61"/>
        <v>548.31735000000015</v>
      </c>
      <c r="DP18" s="147">
        <f t="shared" si="61"/>
        <v>493.48561500000017</v>
      </c>
      <c r="DQ18" s="147">
        <f t="shared" si="61"/>
        <v>444.13705350000015</v>
      </c>
      <c r="DR18" s="147">
        <f t="shared" si="61"/>
        <v>399.72334815000016</v>
      </c>
      <c r="DS18" s="147">
        <f t="shared" si="61"/>
        <v>359.75101333500015</v>
      </c>
      <c r="DT18" s="147">
        <f t="shared" si="61"/>
        <v>323.77591200150016</v>
      </c>
      <c r="DU18" s="147">
        <f t="shared" si="61"/>
        <v>291.39832080135017</v>
      </c>
      <c r="DV18" s="147">
        <f t="shared" si="61"/>
        <v>262.25848872121514</v>
      </c>
      <c r="DW18" s="147">
        <f t="shared" si="61"/>
        <v>236.03263984909364</v>
      </c>
    </row>
    <row r="19" spans="2:127" x14ac:dyDescent="0.2">
      <c r="B19" s="65" t="s">
        <v>361</v>
      </c>
      <c r="C19" s="171">
        <v>90</v>
      </c>
      <c r="D19" s="171">
        <v>105</v>
      </c>
      <c r="E19" s="171">
        <v>101</v>
      </c>
      <c r="F19" s="171">
        <v>109</v>
      </c>
      <c r="G19" s="147">
        <v>94</v>
      </c>
      <c r="H19" s="147">
        <v>116</v>
      </c>
      <c r="I19" s="147">
        <v>121</v>
      </c>
      <c r="J19" s="147">
        <v>113</v>
      </c>
      <c r="K19" s="147">
        <v>116</v>
      </c>
      <c r="L19" s="73">
        <v>121</v>
      </c>
      <c r="M19" s="73">
        <v>114</v>
      </c>
      <c r="N19" s="73">
        <v>128</v>
      </c>
      <c r="O19" s="73">
        <v>113</v>
      </c>
      <c r="P19" s="73">
        <v>128</v>
      </c>
      <c r="Q19" s="73">
        <v>141</v>
      </c>
      <c r="R19" s="73">
        <v>147</v>
      </c>
      <c r="S19" s="73">
        <v>139</v>
      </c>
      <c r="T19" s="73">
        <v>167</v>
      </c>
      <c r="U19" s="73">
        <v>174</v>
      </c>
      <c r="V19" s="73">
        <v>185</v>
      </c>
      <c r="W19" s="73">
        <v>149</v>
      </c>
      <c r="X19" s="73">
        <v>195</v>
      </c>
      <c r="Y19" s="73">
        <v>170</v>
      </c>
      <c r="Z19" s="73">
        <v>151</v>
      </c>
      <c r="AA19" s="73">
        <v>197</v>
      </c>
      <c r="AB19" s="73">
        <v>170</v>
      </c>
      <c r="AC19" s="73">
        <v>189</v>
      </c>
      <c r="AD19" s="73">
        <v>164</v>
      </c>
      <c r="AE19" s="73">
        <v>158</v>
      </c>
      <c r="AF19" s="73">
        <v>191</v>
      </c>
      <c r="AG19" s="73">
        <v>178</v>
      </c>
      <c r="AH19" s="73">
        <v>161</v>
      </c>
      <c r="AI19" s="73">
        <v>153</v>
      </c>
      <c r="AJ19" s="73">
        <v>165</v>
      </c>
      <c r="AK19" s="73">
        <v>168</v>
      </c>
      <c r="AP19" s="73">
        <v>152</v>
      </c>
      <c r="AR19" s="73">
        <v>142</v>
      </c>
      <c r="BO19" s="73">
        <v>213</v>
      </c>
      <c r="BP19" s="73">
        <v>86</v>
      </c>
      <c r="BQ19" s="73">
        <v>138</v>
      </c>
      <c r="BR19" s="73">
        <v>139</v>
      </c>
      <c r="BS19" s="73">
        <v>95</v>
      </c>
      <c r="BT19" s="73">
        <v>110</v>
      </c>
      <c r="BU19" s="73">
        <v>142</v>
      </c>
      <c r="BV19" s="73">
        <v>113</v>
      </c>
      <c r="BW19" s="73">
        <v>122</v>
      </c>
      <c r="BX19" s="73">
        <v>159</v>
      </c>
      <c r="BY19" s="73">
        <v>164</v>
      </c>
      <c r="BZ19" s="73">
        <v>126</v>
      </c>
      <c r="CA19" s="73">
        <v>170</v>
      </c>
      <c r="CB19" s="73">
        <v>158</v>
      </c>
      <c r="CC19" s="73">
        <v>157</v>
      </c>
      <c r="CD19" s="73">
        <v>126</v>
      </c>
      <c r="CE19" s="73">
        <v>175</v>
      </c>
      <c r="CF19" s="73">
        <v>163</v>
      </c>
      <c r="CP19" s="146">
        <v>483</v>
      </c>
      <c r="CQ19" s="146">
        <v>417</v>
      </c>
      <c r="CR19" s="146">
        <v>406</v>
      </c>
      <c r="CS19" s="146">
        <v>444</v>
      </c>
      <c r="CT19" s="147">
        <f>SUM(K19:N19)</f>
        <v>479</v>
      </c>
      <c r="CU19" s="147">
        <f>SUM(O19:R19)</f>
        <v>529</v>
      </c>
      <c r="CV19" s="147">
        <f>SUM(S19:V19)</f>
        <v>665</v>
      </c>
      <c r="CW19" s="146">
        <f>SUM(W19:Z19)</f>
        <v>665</v>
      </c>
      <c r="CX19" s="146">
        <f>SUM(AA19:AD19)</f>
        <v>720</v>
      </c>
      <c r="CY19" s="147">
        <f>CX19*0.99</f>
        <v>712.8</v>
      </c>
      <c r="CZ19" s="147">
        <f t="shared" ref="CZ19:DE19" si="62">CY19*0.99</f>
        <v>705.67199999999991</v>
      </c>
      <c r="DA19" s="147">
        <f t="shared" si="62"/>
        <v>698.61527999999987</v>
      </c>
      <c r="DB19" s="147">
        <f t="shared" si="62"/>
        <v>691.62912719999986</v>
      </c>
      <c r="DC19" s="147">
        <f t="shared" si="62"/>
        <v>684.71283592799989</v>
      </c>
      <c r="DD19" s="147">
        <f t="shared" si="62"/>
        <v>677.86570756871993</v>
      </c>
      <c r="DE19" s="147">
        <f t="shared" si="62"/>
        <v>671.08705049303273</v>
      </c>
      <c r="DF19" s="147">
        <f>DE19*0.99</f>
        <v>664.37617998810242</v>
      </c>
      <c r="DG19" s="147"/>
      <c r="DH19" s="146">
        <f t="shared" si="16"/>
        <v>576</v>
      </c>
      <c r="DI19" s="146">
        <f t="shared" si="57"/>
        <v>460</v>
      </c>
      <c r="DJ19" s="146">
        <f t="shared" si="58"/>
        <v>571</v>
      </c>
      <c r="DK19" s="146">
        <f t="shared" si="59"/>
        <v>611</v>
      </c>
      <c r="DL19" s="147">
        <f t="shared" ref="DL19:DM19" si="63">DK19*0.99</f>
        <v>604.89</v>
      </c>
      <c r="DM19" s="147">
        <f t="shared" si="63"/>
        <v>598.84109999999998</v>
      </c>
      <c r="DN19" s="147">
        <f t="shared" ref="DN19:DW19" si="64">+DM19*0.9</f>
        <v>538.95699000000002</v>
      </c>
      <c r="DO19" s="147">
        <f t="shared" si="64"/>
        <v>485.06129100000004</v>
      </c>
      <c r="DP19" s="147">
        <f t="shared" si="64"/>
        <v>436.55516190000003</v>
      </c>
      <c r="DQ19" s="147">
        <f t="shared" si="64"/>
        <v>392.89964571000002</v>
      </c>
      <c r="DR19" s="147">
        <f t="shared" si="64"/>
        <v>353.60968113900003</v>
      </c>
      <c r="DS19" s="147">
        <f t="shared" si="64"/>
        <v>318.24871302510002</v>
      </c>
      <c r="DT19" s="147">
        <f t="shared" si="64"/>
        <v>286.42384172259</v>
      </c>
      <c r="DU19" s="147">
        <f t="shared" si="64"/>
        <v>257.78145755033103</v>
      </c>
      <c r="DV19" s="147">
        <f t="shared" si="64"/>
        <v>232.00331179529792</v>
      </c>
      <c r="DW19" s="147">
        <f t="shared" si="64"/>
        <v>208.80298061576812</v>
      </c>
    </row>
    <row r="20" spans="2:127" x14ac:dyDescent="0.2">
      <c r="B20" s="65" t="s">
        <v>25</v>
      </c>
      <c r="C20" s="172"/>
      <c r="D20" s="172"/>
      <c r="E20" s="172"/>
      <c r="F20" s="172"/>
      <c r="G20" s="147"/>
      <c r="H20" s="147"/>
      <c r="I20" s="147"/>
      <c r="J20" s="147"/>
      <c r="W20" s="73">
        <v>57</v>
      </c>
      <c r="X20" s="73">
        <v>71</v>
      </c>
      <c r="Y20" s="73">
        <v>84</v>
      </c>
      <c r="Z20" s="73">
        <f>+Y20+5</f>
        <v>89</v>
      </c>
      <c r="AA20" s="73">
        <v>65</v>
      </c>
      <c r="AB20" s="73">
        <v>39</v>
      </c>
      <c r="AC20" s="73">
        <v>52</v>
      </c>
      <c r="AD20" s="73">
        <v>79</v>
      </c>
      <c r="AE20" s="73">
        <v>77</v>
      </c>
      <c r="AF20" s="73">
        <v>75</v>
      </c>
      <c r="AG20" s="73">
        <v>75</v>
      </c>
      <c r="AH20" s="73">
        <v>73</v>
      </c>
      <c r="AI20" s="73">
        <v>76</v>
      </c>
      <c r="AJ20" s="73">
        <v>93</v>
      </c>
      <c r="AK20" s="73">
        <v>103</v>
      </c>
      <c r="AP20" s="73">
        <v>100</v>
      </c>
      <c r="AR20" s="73">
        <v>103</v>
      </c>
      <c r="BO20" s="73">
        <v>151</v>
      </c>
      <c r="BP20" s="73">
        <v>128</v>
      </c>
      <c r="BQ20" s="73">
        <v>132</v>
      </c>
      <c r="BR20" s="73">
        <v>148</v>
      </c>
      <c r="BS20" s="73">
        <v>114</v>
      </c>
      <c r="BT20" s="73">
        <v>132</v>
      </c>
      <c r="BU20" s="73">
        <v>153</v>
      </c>
      <c r="BV20" s="73">
        <v>142</v>
      </c>
      <c r="BW20" s="73">
        <v>117</v>
      </c>
      <c r="BX20" s="73">
        <v>120</v>
      </c>
      <c r="BY20" s="73">
        <v>143</v>
      </c>
      <c r="BZ20" s="73">
        <v>147</v>
      </c>
      <c r="CA20" s="73">
        <v>138</v>
      </c>
      <c r="CB20" s="73">
        <v>184</v>
      </c>
      <c r="CC20" s="73">
        <v>144</v>
      </c>
      <c r="CD20" s="73">
        <v>148</v>
      </c>
      <c r="CE20" s="73">
        <v>154</v>
      </c>
      <c r="CF20" s="73">
        <v>124</v>
      </c>
      <c r="CP20" s="147" t="s">
        <v>449</v>
      </c>
      <c r="CQ20" s="147" t="s">
        <v>449</v>
      </c>
      <c r="CR20" s="147" t="s">
        <v>449</v>
      </c>
      <c r="CS20" s="146" t="s">
        <v>449</v>
      </c>
      <c r="CT20" s="146" t="s">
        <v>449</v>
      </c>
      <c r="CU20" s="147" t="s">
        <v>449</v>
      </c>
      <c r="CV20" s="147" t="s">
        <v>449</v>
      </c>
      <c r="CW20" s="146">
        <f>SUM(W20:AA20)</f>
        <v>366</v>
      </c>
      <c r="CX20" s="146">
        <f t="shared" ref="CX20" si="65">SUM(AA20:AD20)</f>
        <v>235</v>
      </c>
      <c r="CY20" s="146">
        <f>CW20</f>
        <v>366</v>
      </c>
      <c r="CZ20" s="146">
        <f t="shared" ref="CZ20:DE20" si="66">+CY20*1.05</f>
        <v>384.3</v>
      </c>
      <c r="DA20" s="146">
        <f t="shared" si="66"/>
        <v>403.51500000000004</v>
      </c>
      <c r="DB20" s="146">
        <f t="shared" si="66"/>
        <v>423.69075000000004</v>
      </c>
      <c r="DC20" s="146">
        <f t="shared" si="66"/>
        <v>444.87528750000007</v>
      </c>
      <c r="DD20" s="146">
        <f t="shared" si="66"/>
        <v>467.11905187500008</v>
      </c>
      <c r="DE20" s="146">
        <f t="shared" si="66"/>
        <v>490.47500446875011</v>
      </c>
      <c r="DF20" s="146">
        <f>+DE20*1.05</f>
        <v>514.99875469218762</v>
      </c>
      <c r="DG20" s="146"/>
      <c r="DH20" s="146">
        <f t="shared" si="16"/>
        <v>559</v>
      </c>
      <c r="DI20" s="146">
        <f t="shared" si="57"/>
        <v>541</v>
      </c>
      <c r="DJ20" s="146">
        <f t="shared" si="58"/>
        <v>527</v>
      </c>
      <c r="DK20" s="146">
        <f t="shared" si="59"/>
        <v>614</v>
      </c>
      <c r="DL20" s="146">
        <f t="shared" ref="DL20:DM20" si="67">+DK20*1.05</f>
        <v>644.70000000000005</v>
      </c>
      <c r="DM20" s="146">
        <f t="shared" si="67"/>
        <v>676.93500000000006</v>
      </c>
      <c r="DN20" s="147">
        <f t="shared" ref="DN20:DW20" si="68">+DM20*0.9</f>
        <v>609.24150000000009</v>
      </c>
      <c r="DO20" s="147">
        <f t="shared" si="68"/>
        <v>548.31735000000015</v>
      </c>
      <c r="DP20" s="147">
        <f t="shared" si="68"/>
        <v>493.48561500000017</v>
      </c>
      <c r="DQ20" s="147">
        <f t="shared" si="68"/>
        <v>444.13705350000015</v>
      </c>
      <c r="DR20" s="147">
        <f t="shared" si="68"/>
        <v>399.72334815000016</v>
      </c>
      <c r="DS20" s="147">
        <f t="shared" si="68"/>
        <v>359.75101333500015</v>
      </c>
      <c r="DT20" s="147">
        <f t="shared" si="68"/>
        <v>323.77591200150016</v>
      </c>
      <c r="DU20" s="147">
        <f t="shared" si="68"/>
        <v>291.39832080135017</v>
      </c>
      <c r="DV20" s="147">
        <f t="shared" si="68"/>
        <v>262.25848872121514</v>
      </c>
      <c r="DW20" s="147">
        <f t="shared" si="68"/>
        <v>236.03263984909364</v>
      </c>
    </row>
    <row r="21" spans="2:127" x14ac:dyDescent="0.2">
      <c r="B21" s="112" t="s">
        <v>1384</v>
      </c>
      <c r="C21" s="172"/>
      <c r="D21" s="172"/>
      <c r="E21" s="172"/>
      <c r="F21" s="172"/>
      <c r="G21" s="147"/>
      <c r="H21" s="147"/>
      <c r="I21" s="147"/>
      <c r="J21" s="147"/>
      <c r="K21" s="147"/>
      <c r="BO21" s="73">
        <v>0</v>
      </c>
      <c r="BP21" s="73">
        <v>0</v>
      </c>
      <c r="BQ21" s="73">
        <v>0</v>
      </c>
      <c r="BR21" s="73">
        <v>0</v>
      </c>
      <c r="BS21" s="73">
        <v>2</v>
      </c>
      <c r="BT21" s="73">
        <v>4</v>
      </c>
      <c r="BU21" s="73">
        <v>12</v>
      </c>
      <c r="BV21" s="73">
        <v>20</v>
      </c>
      <c r="BW21" s="73">
        <v>38</v>
      </c>
      <c r="BX21" s="73">
        <v>72</v>
      </c>
      <c r="BY21" s="73">
        <v>101</v>
      </c>
      <c r="BZ21" s="73">
        <v>129</v>
      </c>
      <c r="CA21" s="73">
        <v>127</v>
      </c>
      <c r="CB21" s="73">
        <v>176</v>
      </c>
      <c r="CC21" s="73">
        <v>182</v>
      </c>
      <c r="CD21" s="73">
        <v>223</v>
      </c>
      <c r="CE21" s="73">
        <v>213</v>
      </c>
      <c r="CF21" s="73">
        <v>245</v>
      </c>
      <c r="CP21" s="147"/>
      <c r="CQ21" s="147"/>
      <c r="CR21" s="147"/>
      <c r="CS21" s="147"/>
      <c r="CT21" s="146"/>
      <c r="CU21" s="146"/>
      <c r="CV21" s="147"/>
      <c r="CW21" s="146"/>
      <c r="CX21" s="146"/>
      <c r="CY21" s="147"/>
      <c r="CZ21" s="147"/>
      <c r="DA21" s="147"/>
      <c r="DB21" s="147"/>
      <c r="DC21" s="147"/>
      <c r="DD21" s="147"/>
      <c r="DE21" s="147"/>
      <c r="DF21" s="147"/>
      <c r="DG21" s="147"/>
      <c r="DH21" s="146">
        <f>SUM(BO21:BR21)</f>
        <v>0</v>
      </c>
      <c r="DI21" s="146">
        <f>SUM(BS21:BV21)</f>
        <v>38</v>
      </c>
      <c r="DJ21" s="146">
        <f>SUM(BW21:BZ21)</f>
        <v>340</v>
      </c>
      <c r="DK21" s="146">
        <f>SUM(CA21:CD21)</f>
        <v>708</v>
      </c>
      <c r="DL21" s="147">
        <f>+DK21*1.01</f>
        <v>715.08</v>
      </c>
      <c r="DM21" s="147">
        <f t="shared" ref="DM21:DN21" si="69">+DL21*1.01</f>
        <v>722.23080000000004</v>
      </c>
      <c r="DN21" s="147">
        <f t="shared" si="69"/>
        <v>729.45310800000004</v>
      </c>
      <c r="DO21" s="147">
        <f>DN21*0.8</f>
        <v>583.56248640000001</v>
      </c>
      <c r="DP21" s="147">
        <f>DO21*0.1</f>
        <v>58.356248640000004</v>
      </c>
      <c r="DQ21" s="147">
        <f t="shared" ref="DQ21:DS21" si="70">DP21*0.1</f>
        <v>5.8356248640000006</v>
      </c>
      <c r="DR21" s="147">
        <f t="shared" si="70"/>
        <v>0.58356248640000008</v>
      </c>
      <c r="DS21" s="147">
        <f t="shared" si="70"/>
        <v>5.8356248640000011E-2</v>
      </c>
    </row>
    <row r="22" spans="2:127" x14ac:dyDescent="0.2">
      <c r="B22" s="65" t="s">
        <v>332</v>
      </c>
      <c r="C22" s="171">
        <v>154</v>
      </c>
      <c r="D22" s="171">
        <v>156</v>
      </c>
      <c r="E22" s="171">
        <v>141</v>
      </c>
      <c r="F22" s="171">
        <v>167</v>
      </c>
      <c r="G22" s="146">
        <v>154</v>
      </c>
      <c r="H22" s="146">
        <v>159</v>
      </c>
      <c r="I22" s="146">
        <v>151</v>
      </c>
      <c r="J22" s="146">
        <v>174</v>
      </c>
      <c r="K22" s="146">
        <v>178</v>
      </c>
      <c r="L22" s="73">
        <v>164</v>
      </c>
      <c r="M22" s="73">
        <v>145</v>
      </c>
      <c r="N22" s="73">
        <v>172</v>
      </c>
      <c r="O22" s="73">
        <v>155</v>
      </c>
      <c r="P22" s="73">
        <v>151</v>
      </c>
      <c r="Q22" s="73">
        <v>140</v>
      </c>
      <c r="R22" s="73">
        <v>175</v>
      </c>
      <c r="S22" s="73">
        <v>162</v>
      </c>
      <c r="T22" s="73">
        <v>158</v>
      </c>
      <c r="U22" s="73">
        <v>149</v>
      </c>
      <c r="V22" s="73">
        <v>208</v>
      </c>
      <c r="W22" s="73">
        <v>195</v>
      </c>
      <c r="X22" s="73">
        <v>189</v>
      </c>
      <c r="Y22" s="73">
        <v>169</v>
      </c>
      <c r="Z22" s="73">
        <v>222</v>
      </c>
      <c r="AA22" s="73">
        <v>196</v>
      </c>
      <c r="AB22" s="73">
        <v>201</v>
      </c>
      <c r="AC22" s="73">
        <f>105+33+10+39</f>
        <v>187</v>
      </c>
      <c r="AD22" s="73">
        <v>220</v>
      </c>
      <c r="AE22" s="73">
        <v>202</v>
      </c>
      <c r="AF22" s="73">
        <v>196</v>
      </c>
      <c r="AG22" s="73">
        <v>183</v>
      </c>
      <c r="AH22" s="73">
        <v>232</v>
      </c>
      <c r="AI22" s="73">
        <v>199</v>
      </c>
      <c r="AJ22" s="73">
        <v>189</v>
      </c>
      <c r="AK22" s="73">
        <v>185</v>
      </c>
      <c r="AP22" s="73">
        <v>209</v>
      </c>
      <c r="AR22" s="73">
        <v>172</v>
      </c>
      <c r="BO22" s="73">
        <v>123</v>
      </c>
      <c r="BP22" s="73">
        <v>117</v>
      </c>
      <c r="BQ22" s="73">
        <v>92</v>
      </c>
      <c r="BR22" s="73">
        <v>87</v>
      </c>
      <c r="BS22" s="73">
        <v>117</v>
      </c>
      <c r="BT22" s="73">
        <v>105</v>
      </c>
      <c r="BU22" s="73">
        <v>115</v>
      </c>
      <c r="BV22" s="73">
        <v>107</v>
      </c>
      <c r="BW22" s="73">
        <v>127</v>
      </c>
      <c r="BX22" s="73">
        <v>143</v>
      </c>
      <c r="BY22" s="73">
        <v>141</v>
      </c>
      <c r="BZ22" s="73">
        <v>134</v>
      </c>
      <c r="CA22" s="73">
        <v>157</v>
      </c>
      <c r="CB22" s="73">
        <v>96</v>
      </c>
      <c r="CC22" s="73">
        <v>98</v>
      </c>
      <c r="CD22" s="73">
        <v>100</v>
      </c>
      <c r="CE22" s="73">
        <v>139</v>
      </c>
      <c r="CF22" s="73">
        <v>132</v>
      </c>
      <c r="CP22" s="146">
        <v>783</v>
      </c>
      <c r="CQ22" s="146">
        <v>704</v>
      </c>
      <c r="CR22" s="146">
        <v>618</v>
      </c>
      <c r="CS22" s="146">
        <v>638</v>
      </c>
      <c r="CT22" s="147">
        <f>SUM(K22:N22)</f>
        <v>659</v>
      </c>
      <c r="CU22" s="146">
        <f>SUM(O22:R22)</f>
        <v>621</v>
      </c>
      <c r="CV22" s="147">
        <f t="shared" ref="CV22" si="71">SUM(S22:V22)</f>
        <v>677</v>
      </c>
      <c r="CW22" s="146">
        <f>SUM(W22:Z22)</f>
        <v>775</v>
      </c>
      <c r="CX22" s="146">
        <f>SUM(AA22:AD22)</f>
        <v>804</v>
      </c>
      <c r="CY22" s="146">
        <f>CX22*1</f>
        <v>804</v>
      </c>
      <c r="CZ22" s="146">
        <f t="shared" ref="CZ22:DE22" si="72">CY22*0.9</f>
        <v>723.6</v>
      </c>
      <c r="DA22" s="146">
        <f t="shared" si="72"/>
        <v>651.24</v>
      </c>
      <c r="DB22" s="146">
        <f t="shared" si="72"/>
        <v>586.11599999999999</v>
      </c>
      <c r="DC22" s="146">
        <f t="shared" si="72"/>
        <v>527.50440000000003</v>
      </c>
      <c r="DD22" s="146">
        <f t="shared" si="72"/>
        <v>474.75396000000006</v>
      </c>
      <c r="DE22" s="146">
        <f t="shared" si="72"/>
        <v>427.27856400000007</v>
      </c>
      <c r="DF22" s="146">
        <f t="shared" ref="DF22" si="73">DE22*0.9</f>
        <v>384.55070760000007</v>
      </c>
      <c r="DG22" s="146"/>
      <c r="DH22" s="146">
        <f t="shared" si="16"/>
        <v>419</v>
      </c>
      <c r="DI22" s="146">
        <f t="shared" si="57"/>
        <v>444</v>
      </c>
      <c r="DJ22" s="146">
        <f t="shared" si="58"/>
        <v>545</v>
      </c>
      <c r="DK22" s="146">
        <f t="shared" si="59"/>
        <v>451</v>
      </c>
      <c r="DL22" s="146">
        <f t="shared" ref="DL22:DM22" si="74">DK22*0.9</f>
        <v>405.90000000000003</v>
      </c>
      <c r="DM22" s="146">
        <f t="shared" si="74"/>
        <v>365.31000000000006</v>
      </c>
      <c r="DN22" s="147">
        <f t="shared" ref="DN22:DW22" si="75">+DM22*0.9</f>
        <v>328.77900000000005</v>
      </c>
      <c r="DO22" s="147">
        <f t="shared" si="75"/>
        <v>295.90110000000004</v>
      </c>
      <c r="DP22" s="147">
        <f t="shared" si="75"/>
        <v>266.31099000000006</v>
      </c>
      <c r="DQ22" s="147">
        <f t="shared" si="75"/>
        <v>239.67989100000005</v>
      </c>
      <c r="DR22" s="147">
        <f t="shared" si="75"/>
        <v>215.71190190000004</v>
      </c>
      <c r="DS22" s="147">
        <f t="shared" si="75"/>
        <v>194.14071171000003</v>
      </c>
      <c r="DT22" s="147">
        <f t="shared" si="75"/>
        <v>174.72664053900004</v>
      </c>
      <c r="DU22" s="147">
        <f t="shared" si="75"/>
        <v>157.25397648510005</v>
      </c>
      <c r="DV22" s="147">
        <f t="shared" si="75"/>
        <v>141.52857883659004</v>
      </c>
      <c r="DW22" s="147">
        <f t="shared" si="75"/>
        <v>127.37572095293105</v>
      </c>
    </row>
    <row r="23" spans="2:127" x14ac:dyDescent="0.2">
      <c r="B23" s="65" t="s">
        <v>75</v>
      </c>
      <c r="C23" s="171">
        <v>204</v>
      </c>
      <c r="D23" s="171">
        <v>178</v>
      </c>
      <c r="E23" s="171">
        <v>156</v>
      </c>
      <c r="F23" s="171">
        <v>170</v>
      </c>
      <c r="G23" s="147">
        <v>192</v>
      </c>
      <c r="H23" s="147">
        <v>155</v>
      </c>
      <c r="I23" s="147">
        <v>149</v>
      </c>
      <c r="J23" s="147">
        <v>170</v>
      </c>
      <c r="K23" s="147">
        <v>170</v>
      </c>
      <c r="L23" s="73">
        <v>134</v>
      </c>
      <c r="M23" s="73">
        <v>121</v>
      </c>
      <c r="N23" s="73">
        <v>145</v>
      </c>
      <c r="O23" s="73">
        <v>147</v>
      </c>
      <c r="P23" s="73">
        <v>120</v>
      </c>
      <c r="Q23" s="73">
        <v>117</v>
      </c>
      <c r="R23" s="73">
        <v>146</v>
      </c>
      <c r="S23" s="73">
        <v>156</v>
      </c>
      <c r="T23" s="73">
        <v>129</v>
      </c>
      <c r="U23" s="73">
        <v>143</v>
      </c>
      <c r="V23" s="73">
        <v>159</v>
      </c>
      <c r="W23" s="73">
        <v>186</v>
      </c>
      <c r="X23" s="73">
        <f>11+61+74</f>
        <v>146</v>
      </c>
      <c r="Y23" s="73">
        <v>162</v>
      </c>
      <c r="Z23" s="73">
        <v>173</v>
      </c>
      <c r="AA23" s="73">
        <v>160</v>
      </c>
      <c r="AB23" s="73">
        <v>144</v>
      </c>
      <c r="AC23" s="73">
        <v>153</v>
      </c>
      <c r="AD23" s="73">
        <v>168</v>
      </c>
      <c r="AE23" s="73">
        <v>187</v>
      </c>
      <c r="AF23" s="73">
        <v>142</v>
      </c>
      <c r="AG23" s="73">
        <v>139</v>
      </c>
      <c r="AH23" s="73">
        <v>173</v>
      </c>
      <c r="AI23" s="73">
        <v>153</v>
      </c>
      <c r="AJ23" s="73">
        <v>149</v>
      </c>
      <c r="AK23" s="73">
        <v>139</v>
      </c>
      <c r="AP23" s="73">
        <v>165</v>
      </c>
      <c r="AR23" s="73">
        <v>147</v>
      </c>
      <c r="BO23" s="73">
        <v>169</v>
      </c>
      <c r="BP23" s="73">
        <v>100</v>
      </c>
      <c r="BQ23" s="73">
        <v>106</v>
      </c>
      <c r="BR23" s="73">
        <v>115</v>
      </c>
      <c r="BS23" s="73">
        <v>91</v>
      </c>
      <c r="BT23" s="73">
        <v>91</v>
      </c>
      <c r="BU23" s="73">
        <v>114</v>
      </c>
      <c r="BV23" s="73">
        <v>130</v>
      </c>
      <c r="BW23" s="73">
        <v>129</v>
      </c>
      <c r="BX23" s="73">
        <v>130</v>
      </c>
      <c r="BY23" s="73">
        <v>150</v>
      </c>
      <c r="BZ23" s="73">
        <v>167</v>
      </c>
      <c r="CA23" s="73">
        <v>177</v>
      </c>
      <c r="CB23" s="73">
        <v>134</v>
      </c>
      <c r="CC23" s="73">
        <v>158</v>
      </c>
      <c r="CD23" s="73">
        <v>159</v>
      </c>
      <c r="CE23" s="73">
        <v>186</v>
      </c>
      <c r="CF23" s="73">
        <v>142</v>
      </c>
      <c r="CP23" s="146">
        <v>1191</v>
      </c>
      <c r="CQ23" s="146">
        <v>825</v>
      </c>
      <c r="CR23" s="146">
        <v>708</v>
      </c>
      <c r="CS23" s="146">
        <v>666</v>
      </c>
      <c r="CT23" s="147">
        <f>SUM(K23:N23)</f>
        <v>570</v>
      </c>
      <c r="CU23" s="147">
        <f>SUM(O23:R23)</f>
        <v>530</v>
      </c>
      <c r="CV23" s="147">
        <f>SUM(S23:V23)</f>
        <v>587</v>
      </c>
      <c r="CW23" s="146">
        <f>SUM(W23:Z23)</f>
        <v>667</v>
      </c>
      <c r="CX23" s="146">
        <f t="shared" ref="CX23" si="76">SUM(AA23:AD23)</f>
        <v>625</v>
      </c>
      <c r="CY23" s="147">
        <f>+CX23*0.8</f>
        <v>500</v>
      </c>
      <c r="CZ23" s="147">
        <f t="shared" ref="CZ23:DE23" si="77">+CY23*0.8</f>
        <v>400</v>
      </c>
      <c r="DA23" s="147">
        <f t="shared" si="77"/>
        <v>320</v>
      </c>
      <c r="DB23" s="147">
        <f t="shared" si="77"/>
        <v>256</v>
      </c>
      <c r="DC23" s="147">
        <f t="shared" si="77"/>
        <v>204.8</v>
      </c>
      <c r="DD23" s="147">
        <f t="shared" si="77"/>
        <v>163.84000000000003</v>
      </c>
      <c r="DE23" s="147">
        <f t="shared" si="77"/>
        <v>131.07200000000003</v>
      </c>
      <c r="DF23" s="147">
        <f>+DE23*0.8</f>
        <v>104.85760000000003</v>
      </c>
      <c r="DG23" s="147"/>
      <c r="DH23" s="146">
        <f t="shared" si="16"/>
        <v>490</v>
      </c>
      <c r="DI23" s="146">
        <f t="shared" si="57"/>
        <v>426</v>
      </c>
      <c r="DJ23" s="146">
        <f t="shared" si="58"/>
        <v>576</v>
      </c>
      <c r="DK23" s="146">
        <f t="shared" si="59"/>
        <v>628</v>
      </c>
      <c r="DL23" s="147">
        <f t="shared" ref="DL23:DM23" si="78">+DK23*0.8</f>
        <v>502.40000000000003</v>
      </c>
      <c r="DM23" s="147">
        <f t="shared" si="78"/>
        <v>401.92000000000007</v>
      </c>
      <c r="DN23" s="147">
        <f t="shared" ref="DN23:DW23" si="79">+DM23*0.9</f>
        <v>361.72800000000007</v>
      </c>
      <c r="DO23" s="147">
        <f t="shared" si="79"/>
        <v>325.55520000000007</v>
      </c>
      <c r="DP23" s="147">
        <f t="shared" si="79"/>
        <v>292.99968000000007</v>
      </c>
      <c r="DQ23" s="147">
        <f t="shared" si="79"/>
        <v>263.69971200000009</v>
      </c>
      <c r="DR23" s="147">
        <f t="shared" si="79"/>
        <v>237.32974080000008</v>
      </c>
      <c r="DS23" s="147">
        <f t="shared" si="79"/>
        <v>213.59676672000009</v>
      </c>
      <c r="DT23" s="147">
        <f t="shared" si="79"/>
        <v>192.23709004800008</v>
      </c>
      <c r="DU23" s="147">
        <f t="shared" si="79"/>
        <v>173.01338104320007</v>
      </c>
      <c r="DV23" s="147">
        <f t="shared" si="79"/>
        <v>155.71204293888007</v>
      </c>
      <c r="DW23" s="147">
        <f t="shared" si="79"/>
        <v>140.14083864499207</v>
      </c>
    </row>
    <row r="24" spans="2:127" x14ac:dyDescent="0.2">
      <c r="B24" s="65" t="s">
        <v>63</v>
      </c>
      <c r="C24" s="171">
        <v>153</v>
      </c>
      <c r="D24" s="171">
        <v>171</v>
      </c>
      <c r="E24" s="171">
        <v>172</v>
      </c>
      <c r="F24" s="171">
        <v>181</v>
      </c>
      <c r="G24" s="147">
        <v>195</v>
      </c>
      <c r="H24" s="147">
        <v>216</v>
      </c>
      <c r="I24" s="147">
        <v>210</v>
      </c>
      <c r="J24" s="147">
        <v>228</v>
      </c>
      <c r="K24" s="147">
        <v>237</v>
      </c>
      <c r="L24" s="73">
        <v>245</v>
      </c>
      <c r="M24" s="73">
        <v>257</v>
      </c>
      <c r="N24" s="73">
        <v>257</v>
      </c>
      <c r="O24" s="73">
        <v>250</v>
      </c>
      <c r="P24" s="73">
        <v>271</v>
      </c>
      <c r="Q24" s="73">
        <v>275</v>
      </c>
      <c r="R24" s="73">
        <v>301</v>
      </c>
      <c r="S24" s="73">
        <v>290</v>
      </c>
      <c r="T24" s="73">
        <v>323</v>
      </c>
      <c r="U24" s="73">
        <v>136</v>
      </c>
      <c r="V24" s="73">
        <v>177</v>
      </c>
      <c r="W24" s="73">
        <v>144</v>
      </c>
      <c r="X24" s="73">
        <v>103</v>
      </c>
      <c r="Y24" s="73">
        <v>121</v>
      </c>
      <c r="Z24" s="73">
        <v>132</v>
      </c>
      <c r="AA24" s="73">
        <v>120</v>
      </c>
      <c r="AB24" s="73">
        <v>123</v>
      </c>
      <c r="AC24" s="73">
        <v>131</v>
      </c>
      <c r="AD24" s="73">
        <v>130</v>
      </c>
      <c r="AE24" s="73">
        <v>114</v>
      </c>
      <c r="AF24" s="73">
        <v>128</v>
      </c>
      <c r="AG24" s="73">
        <v>153</v>
      </c>
      <c r="AH24" s="73">
        <v>141</v>
      </c>
      <c r="AI24" s="73">
        <v>148</v>
      </c>
      <c r="AJ24" s="73">
        <v>147</v>
      </c>
      <c r="AK24" s="73">
        <v>151</v>
      </c>
      <c r="AP24" s="73">
        <v>152</v>
      </c>
      <c r="AR24" s="73">
        <v>124</v>
      </c>
      <c r="BO24" s="73">
        <v>137</v>
      </c>
      <c r="BP24" s="73">
        <v>135</v>
      </c>
      <c r="BQ24" s="73">
        <v>125</v>
      </c>
      <c r="BR24" s="73">
        <v>140</v>
      </c>
      <c r="BS24" s="73">
        <v>116</v>
      </c>
      <c r="BT24" s="73">
        <v>116</v>
      </c>
      <c r="BU24" s="73">
        <v>124</v>
      </c>
      <c r="BV24" s="73">
        <v>122</v>
      </c>
      <c r="BW24" s="73">
        <v>120</v>
      </c>
      <c r="BX24" s="73">
        <v>127</v>
      </c>
      <c r="BY24" s="73">
        <v>132</v>
      </c>
      <c r="BZ24" s="73">
        <v>132</v>
      </c>
      <c r="CA24" s="73">
        <v>129</v>
      </c>
      <c r="CB24" s="73">
        <v>115</v>
      </c>
      <c r="CC24" s="73">
        <v>83</v>
      </c>
      <c r="CD24" s="73">
        <v>108</v>
      </c>
      <c r="CE24" s="73">
        <v>101</v>
      </c>
      <c r="CF24" s="73">
        <v>109</v>
      </c>
      <c r="CP24" s="146">
        <v>438</v>
      </c>
      <c r="CQ24" s="146">
        <v>549</v>
      </c>
      <c r="CR24" s="146">
        <v>677</v>
      </c>
      <c r="CS24" s="146">
        <v>849</v>
      </c>
      <c r="CT24" s="147">
        <f>SUM(K24:N24)</f>
        <v>996</v>
      </c>
      <c r="CU24" s="147">
        <f>SUM(O24:R24)</f>
        <v>1097</v>
      </c>
      <c r="CV24" s="147">
        <f>SUM(S24:V24)</f>
        <v>926</v>
      </c>
      <c r="CW24" s="147">
        <f>SUM(W24:Z24)</f>
        <v>500</v>
      </c>
      <c r="CX24" s="146">
        <f>SUM(AA24:AD24)</f>
        <v>504</v>
      </c>
      <c r="CY24" s="147">
        <f>CX24*1.06</f>
        <v>534.24</v>
      </c>
      <c r="CZ24" s="147">
        <f>CY24*1.06</f>
        <v>566.2944</v>
      </c>
      <c r="DA24" s="147">
        <f>CZ24*1.06</f>
        <v>600.272064</v>
      </c>
      <c r="DB24" s="147">
        <f t="shared" ref="DB24:DF24" si="80">DA24*0.5</f>
        <v>300.136032</v>
      </c>
      <c r="DC24" s="147">
        <f t="shared" si="80"/>
        <v>150.068016</v>
      </c>
      <c r="DD24" s="147">
        <f t="shared" si="80"/>
        <v>75.034008</v>
      </c>
      <c r="DE24" s="147">
        <f t="shared" si="80"/>
        <v>37.517004</v>
      </c>
      <c r="DF24" s="147">
        <f t="shared" si="80"/>
        <v>18.758502</v>
      </c>
      <c r="DG24" s="147"/>
      <c r="DH24" s="146">
        <f t="shared" si="16"/>
        <v>537</v>
      </c>
      <c r="DI24" s="146">
        <f t="shared" si="57"/>
        <v>478</v>
      </c>
      <c r="DJ24" s="146">
        <f t="shared" si="58"/>
        <v>511</v>
      </c>
      <c r="DK24" s="146">
        <f t="shared" si="59"/>
        <v>435</v>
      </c>
      <c r="DL24" s="147">
        <f t="shared" ref="DL24" si="81">DK24*0.5</f>
        <v>217.5</v>
      </c>
      <c r="DM24" s="147">
        <f t="shared" ref="DM24" si="82">DL24*0.5</f>
        <v>108.75</v>
      </c>
      <c r="DN24" s="147">
        <f t="shared" ref="DN24:DW24" si="83">+DM24*0.9</f>
        <v>97.875</v>
      </c>
      <c r="DO24" s="147">
        <f t="shared" si="83"/>
        <v>88.087500000000006</v>
      </c>
      <c r="DP24" s="147">
        <f t="shared" si="83"/>
        <v>79.278750000000002</v>
      </c>
      <c r="DQ24" s="147">
        <f t="shared" si="83"/>
        <v>71.350875000000002</v>
      </c>
      <c r="DR24" s="147">
        <f t="shared" si="83"/>
        <v>64.215787500000005</v>
      </c>
      <c r="DS24" s="147">
        <f t="shared" si="83"/>
        <v>57.794208750000003</v>
      </c>
      <c r="DT24" s="147">
        <f t="shared" si="83"/>
        <v>52.014787875000003</v>
      </c>
      <c r="DU24" s="147">
        <f t="shared" si="83"/>
        <v>46.813309087500002</v>
      </c>
      <c r="DV24" s="147">
        <f t="shared" si="83"/>
        <v>42.131978178750003</v>
      </c>
      <c r="DW24" s="147">
        <f t="shared" si="83"/>
        <v>37.918780360875004</v>
      </c>
    </row>
    <row r="25" spans="2:127" x14ac:dyDescent="0.2">
      <c r="B25" s="112" t="s">
        <v>1386</v>
      </c>
      <c r="C25" s="172"/>
      <c r="D25" s="172"/>
      <c r="E25" s="172"/>
      <c r="F25" s="172"/>
      <c r="G25" s="147"/>
      <c r="H25" s="147"/>
      <c r="I25" s="147"/>
      <c r="J25" s="147"/>
      <c r="K25" s="147"/>
      <c r="BO25" s="73">
        <v>81</v>
      </c>
      <c r="BP25" s="73">
        <v>77</v>
      </c>
      <c r="BQ25" s="73">
        <v>92</v>
      </c>
      <c r="BR25" s="73">
        <v>89</v>
      </c>
      <c r="BS25" s="73">
        <v>88</v>
      </c>
      <c r="BT25" s="73">
        <v>98</v>
      </c>
      <c r="BU25" s="73">
        <v>101</v>
      </c>
      <c r="BV25" s="73">
        <v>108</v>
      </c>
      <c r="BW25" s="73">
        <v>98</v>
      </c>
      <c r="BX25" s="73">
        <v>120</v>
      </c>
      <c r="BY25" s="73">
        <v>120</v>
      </c>
      <c r="BZ25" s="73">
        <v>125</v>
      </c>
      <c r="CA25" s="73">
        <v>114</v>
      </c>
      <c r="CB25" s="73">
        <v>117</v>
      </c>
      <c r="CC25" s="73">
        <v>140</v>
      </c>
      <c r="CD25" s="73">
        <v>152</v>
      </c>
      <c r="CE25" s="73">
        <v>141</v>
      </c>
      <c r="CF25" s="73">
        <v>165</v>
      </c>
      <c r="CP25" s="147"/>
      <c r="CQ25" s="147"/>
      <c r="CR25" s="147"/>
      <c r="CS25" s="147"/>
      <c r="CT25" s="146"/>
      <c r="CU25" s="146"/>
      <c r="CV25" s="147"/>
      <c r="CW25" s="146"/>
      <c r="CX25" s="146"/>
      <c r="CY25" s="147"/>
      <c r="CZ25" s="147"/>
      <c r="DA25" s="147"/>
      <c r="DB25" s="147"/>
      <c r="DC25" s="147"/>
      <c r="DD25" s="147"/>
      <c r="DE25" s="147"/>
      <c r="DF25" s="147"/>
      <c r="DG25" s="147"/>
      <c r="DH25" s="146">
        <f t="shared" si="16"/>
        <v>339</v>
      </c>
      <c r="DI25" s="146">
        <f t="shared" si="57"/>
        <v>395</v>
      </c>
      <c r="DJ25" s="146">
        <f t="shared" si="58"/>
        <v>463</v>
      </c>
      <c r="DK25" s="146">
        <f t="shared" si="59"/>
        <v>523</v>
      </c>
      <c r="DL25" s="147">
        <f>+DK25*1.03</f>
        <v>538.69000000000005</v>
      </c>
      <c r="DM25" s="147">
        <f>+DL25*1.03</f>
        <v>554.85070000000007</v>
      </c>
      <c r="DN25" s="147">
        <f>+DM25*1.1</f>
        <v>610.33577000000014</v>
      </c>
      <c r="DO25" s="147">
        <f t="shared" ref="DO25:DS25" si="84">+DN25*1.1</f>
        <v>671.36934700000018</v>
      </c>
      <c r="DP25" s="147">
        <f t="shared" si="84"/>
        <v>738.50628170000027</v>
      </c>
      <c r="DQ25" s="147">
        <f t="shared" si="84"/>
        <v>812.35690987000032</v>
      </c>
      <c r="DR25" s="147">
        <f t="shared" si="84"/>
        <v>893.59260085700043</v>
      </c>
      <c r="DS25" s="147">
        <f t="shared" si="84"/>
        <v>982.95186094270059</v>
      </c>
      <c r="DT25" s="147">
        <f>+DS25*0.1</f>
        <v>98.295186094270065</v>
      </c>
      <c r="DU25" s="147">
        <f t="shared" ref="DU25:DW25" si="85">+DT25*0.1</f>
        <v>9.8295186094270068</v>
      </c>
      <c r="DV25" s="147">
        <f t="shared" si="85"/>
        <v>0.98295186094270071</v>
      </c>
      <c r="DW25" s="147">
        <f t="shared" si="85"/>
        <v>9.8295186094270071E-2</v>
      </c>
    </row>
    <row r="26" spans="2:127" x14ac:dyDescent="0.2">
      <c r="B26" s="112" t="s">
        <v>1394</v>
      </c>
      <c r="C26" s="171"/>
      <c r="D26" s="171"/>
      <c r="E26" s="171"/>
      <c r="F26" s="171"/>
      <c r="G26" s="147"/>
      <c r="H26" s="147"/>
      <c r="I26" s="147"/>
      <c r="J26" s="147"/>
      <c r="K26" s="147"/>
      <c r="BO26" s="73">
        <v>117</v>
      </c>
      <c r="BP26" s="73">
        <v>139</v>
      </c>
      <c r="BQ26" s="73">
        <v>140</v>
      </c>
      <c r="BR26" s="73">
        <v>151</v>
      </c>
      <c r="BS26" s="73">
        <v>117</v>
      </c>
      <c r="BT26" s="73">
        <v>134</v>
      </c>
      <c r="BU26" s="73">
        <v>130</v>
      </c>
      <c r="BV26" s="73">
        <v>123</v>
      </c>
      <c r="BW26" s="73">
        <v>98</v>
      </c>
      <c r="BX26" s="73">
        <v>118</v>
      </c>
      <c r="BY26" s="73">
        <v>129</v>
      </c>
      <c r="BZ26" s="73">
        <v>138</v>
      </c>
      <c r="CA26" s="73">
        <v>120</v>
      </c>
      <c r="CB26" s="73">
        <v>140</v>
      </c>
      <c r="CC26" s="73">
        <v>142</v>
      </c>
      <c r="CD26" s="73">
        <v>155</v>
      </c>
      <c r="CE26" s="73">
        <v>119</v>
      </c>
      <c r="CF26" s="73">
        <v>160</v>
      </c>
      <c r="CP26" s="146"/>
      <c r="CQ26" s="146"/>
      <c r="CR26" s="146"/>
      <c r="CS26" s="146"/>
      <c r="CT26" s="147"/>
      <c r="CU26" s="147"/>
      <c r="CV26" s="147"/>
      <c r="CW26" s="147"/>
      <c r="CX26" s="146"/>
      <c r="CY26" s="147"/>
      <c r="CZ26" s="147"/>
      <c r="DA26" s="147"/>
      <c r="DB26" s="147"/>
      <c r="DC26" s="147"/>
      <c r="DD26" s="147"/>
      <c r="DE26" s="147"/>
      <c r="DF26" s="147"/>
      <c r="DG26" s="147"/>
      <c r="DH26" s="146">
        <f t="shared" si="16"/>
        <v>547</v>
      </c>
      <c r="DI26" s="146">
        <f t="shared" si="57"/>
        <v>504</v>
      </c>
      <c r="DJ26" s="146">
        <f t="shared" si="58"/>
        <v>483</v>
      </c>
      <c r="DK26" s="146">
        <f t="shared" si="59"/>
        <v>557</v>
      </c>
      <c r="DL26" s="146">
        <f>+DK26*0.9</f>
        <v>501.3</v>
      </c>
      <c r="DM26" s="146">
        <f t="shared" ref="DM26:DW37" si="86">+DL26*0.9</f>
        <v>451.17</v>
      </c>
      <c r="DN26" s="146">
        <f t="shared" si="86"/>
        <v>406.053</v>
      </c>
      <c r="DO26" s="146">
        <f t="shared" si="86"/>
        <v>365.4477</v>
      </c>
      <c r="DP26" s="146">
        <f t="shared" si="86"/>
        <v>328.90293000000003</v>
      </c>
      <c r="DQ26" s="146">
        <f t="shared" si="86"/>
        <v>296.01263700000004</v>
      </c>
      <c r="DR26" s="146">
        <f t="shared" si="86"/>
        <v>266.41137330000004</v>
      </c>
      <c r="DS26" s="146">
        <f t="shared" si="86"/>
        <v>239.77023597000004</v>
      </c>
      <c r="DT26" s="146">
        <f t="shared" si="86"/>
        <v>215.79321237300005</v>
      </c>
      <c r="DU26" s="146">
        <f t="shared" si="86"/>
        <v>194.21389113570004</v>
      </c>
      <c r="DV26" s="146">
        <f t="shared" si="86"/>
        <v>174.79250202213004</v>
      </c>
      <c r="DW26" s="146">
        <f t="shared" si="86"/>
        <v>157.31325181991704</v>
      </c>
    </row>
    <row r="27" spans="2:127" x14ac:dyDescent="0.2">
      <c r="B27" s="112" t="s">
        <v>1489</v>
      </c>
      <c r="C27" s="171"/>
      <c r="D27" s="171"/>
      <c r="E27" s="171"/>
      <c r="F27" s="171"/>
      <c r="G27" s="147"/>
      <c r="H27" s="147"/>
      <c r="I27" s="147"/>
      <c r="J27" s="147"/>
      <c r="K27" s="147"/>
      <c r="CC27" s="73">
        <v>4</v>
      </c>
      <c r="CD27" s="73">
        <v>29</v>
      </c>
      <c r="CE27" s="73">
        <v>52</v>
      </c>
      <c r="CF27" s="73">
        <v>85</v>
      </c>
      <c r="CP27" s="146"/>
      <c r="CQ27" s="146"/>
      <c r="CR27" s="146"/>
      <c r="CS27" s="146"/>
      <c r="CT27" s="147"/>
      <c r="CU27" s="147"/>
      <c r="CV27" s="147"/>
      <c r="CW27" s="147"/>
      <c r="CX27" s="146"/>
      <c r="CY27" s="147"/>
      <c r="CZ27" s="147"/>
      <c r="DA27" s="147"/>
      <c r="DB27" s="147"/>
      <c r="DC27" s="147"/>
      <c r="DD27" s="147"/>
      <c r="DE27" s="147"/>
      <c r="DF27" s="147"/>
      <c r="DG27" s="147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</row>
    <row r="28" spans="2:127" s="151" customFormat="1" x14ac:dyDescent="0.2">
      <c r="B28" s="180" t="s">
        <v>1388</v>
      </c>
      <c r="C28" s="172"/>
      <c r="D28" s="172"/>
      <c r="E28" s="172"/>
      <c r="F28" s="172"/>
      <c r="G28" s="147"/>
      <c r="H28" s="147"/>
      <c r="I28" s="147"/>
      <c r="J28" s="147"/>
      <c r="K28" s="147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>
        <v>0</v>
      </c>
      <c r="BP28" s="73">
        <v>0</v>
      </c>
      <c r="BQ28" s="73">
        <v>0</v>
      </c>
      <c r="BR28" s="73">
        <v>0</v>
      </c>
      <c r="BS28" s="73">
        <v>0</v>
      </c>
      <c r="BT28" s="73">
        <v>1</v>
      </c>
      <c r="BU28" s="73">
        <v>2</v>
      </c>
      <c r="BV28" s="73">
        <v>2</v>
      </c>
      <c r="BW28" s="73">
        <v>4</v>
      </c>
      <c r="BX28" s="73">
        <v>4</v>
      </c>
      <c r="BY28" s="73">
        <v>8</v>
      </c>
      <c r="BZ28" s="73">
        <v>5</v>
      </c>
      <c r="CA28" s="73">
        <v>11</v>
      </c>
      <c r="CB28" s="73">
        <v>25</v>
      </c>
      <c r="CC28" s="73">
        <v>45</v>
      </c>
      <c r="CD28" s="73">
        <v>60</v>
      </c>
      <c r="CE28" s="73">
        <v>80</v>
      </c>
      <c r="CF28" s="73">
        <v>108</v>
      </c>
      <c r="CG28" s="73"/>
      <c r="CH28" s="73"/>
      <c r="CI28" s="73"/>
      <c r="CJ28" s="73"/>
      <c r="CK28" s="73"/>
      <c r="CL28" s="73"/>
      <c r="CM28" s="73"/>
      <c r="CN28" s="155"/>
      <c r="CO28" s="155"/>
      <c r="CP28" s="147"/>
      <c r="CQ28" s="147"/>
      <c r="CR28" s="147"/>
      <c r="CS28" s="147"/>
      <c r="CT28" s="146"/>
      <c r="CU28" s="146"/>
      <c r="CV28" s="147"/>
      <c r="CW28" s="146"/>
      <c r="CX28" s="146"/>
      <c r="CY28" s="147"/>
      <c r="CZ28" s="147"/>
      <c r="DA28" s="147"/>
      <c r="DB28" s="147"/>
      <c r="DC28" s="147"/>
      <c r="DD28" s="147"/>
      <c r="DE28" s="147"/>
      <c r="DF28" s="147"/>
      <c r="DG28" s="147"/>
      <c r="DH28" s="146">
        <f>SUM(BO28:BR28)</f>
        <v>0</v>
      </c>
      <c r="DI28" s="146">
        <f>SUM(BS28:BV28)</f>
        <v>5</v>
      </c>
      <c r="DJ28" s="146">
        <f>SUM(BW28:BZ28)</f>
        <v>21</v>
      </c>
      <c r="DK28" s="146">
        <f>SUM(CA28:CD28)</f>
        <v>141</v>
      </c>
      <c r="DL28" s="147">
        <f>+DK28*2</f>
        <v>282</v>
      </c>
      <c r="DM28" s="147">
        <f>+DL28*2</f>
        <v>564</v>
      </c>
      <c r="DN28" s="147">
        <f>+DM28*1.5</f>
        <v>846</v>
      </c>
      <c r="DO28" s="147">
        <f>+DN28*1.5</f>
        <v>1269</v>
      </c>
      <c r="DP28" s="151">
        <f>+DO28*1.3</f>
        <v>1649.7</v>
      </c>
      <c r="DQ28" s="151">
        <f>+DP28*1.2</f>
        <v>1979.6399999999999</v>
      </c>
      <c r="DR28" s="151">
        <f>+DQ28*1.01</f>
        <v>1999.4363999999998</v>
      </c>
      <c r="DS28" s="151">
        <f t="shared" ref="DS28:DW28" si="87">+DR28*1.01</f>
        <v>2019.4307639999997</v>
      </c>
      <c r="DT28" s="151">
        <f t="shared" si="87"/>
        <v>2039.6250716399998</v>
      </c>
      <c r="DU28" s="151">
        <f t="shared" si="87"/>
        <v>2060.0213223563997</v>
      </c>
      <c r="DV28" s="151">
        <f t="shared" si="87"/>
        <v>2080.6215355799636</v>
      </c>
      <c r="DW28" s="151">
        <f t="shared" si="87"/>
        <v>2101.4277509357635</v>
      </c>
    </row>
    <row r="29" spans="2:127" x14ac:dyDescent="0.2">
      <c r="B29" s="112" t="s">
        <v>1385</v>
      </c>
      <c r="C29" s="172"/>
      <c r="D29" s="172"/>
      <c r="E29" s="172"/>
      <c r="F29" s="172"/>
      <c r="G29" s="147"/>
      <c r="H29" s="147"/>
      <c r="I29" s="147"/>
      <c r="J29" s="147"/>
      <c r="K29" s="147"/>
      <c r="BO29" s="73">
        <v>0</v>
      </c>
      <c r="BP29" s="73">
        <v>0</v>
      </c>
      <c r="BQ29" s="73">
        <v>0</v>
      </c>
      <c r="BR29" s="73">
        <v>0</v>
      </c>
      <c r="BS29" s="73">
        <v>0</v>
      </c>
      <c r="BT29" s="73">
        <v>0</v>
      </c>
      <c r="BU29" s="73">
        <v>0</v>
      </c>
      <c r="BV29" s="73">
        <v>0</v>
      </c>
      <c r="BW29" s="73">
        <v>2</v>
      </c>
      <c r="BX29" s="73">
        <v>8</v>
      </c>
      <c r="BY29" s="73">
        <v>10</v>
      </c>
      <c r="BZ29" s="73">
        <v>21</v>
      </c>
      <c r="CA29" s="73">
        <v>24</v>
      </c>
      <c r="CB29" s="73">
        <v>36</v>
      </c>
      <c r="CC29" s="73">
        <v>37</v>
      </c>
      <c r="CD29" s="73">
        <v>52</v>
      </c>
      <c r="CE29" s="73">
        <v>54</v>
      </c>
      <c r="CF29" s="73">
        <v>72</v>
      </c>
      <c r="CP29" s="147"/>
      <c r="CQ29" s="147"/>
      <c r="CR29" s="147"/>
      <c r="CS29" s="147"/>
      <c r="CT29" s="146"/>
      <c r="CU29" s="146"/>
      <c r="CV29" s="147"/>
      <c r="CW29" s="146"/>
      <c r="CX29" s="146"/>
      <c r="CY29" s="147"/>
      <c r="CZ29" s="147"/>
      <c r="DA29" s="147"/>
      <c r="DB29" s="147"/>
      <c r="DC29" s="147"/>
      <c r="DD29" s="147"/>
      <c r="DE29" s="147"/>
      <c r="DF29" s="147"/>
      <c r="DG29" s="147"/>
      <c r="DH29" s="146">
        <f>SUM(BO29:BR29)</f>
        <v>0</v>
      </c>
      <c r="DI29" s="146">
        <f>SUM(BS29:BV29)</f>
        <v>0</v>
      </c>
      <c r="DJ29" s="146">
        <f>SUM(BW29:BZ29)</f>
        <v>41</v>
      </c>
      <c r="DK29" s="146">
        <f>SUM(CA29:CD29)</f>
        <v>149</v>
      </c>
      <c r="DL29" s="147">
        <f>+DK29*1.2</f>
        <v>178.79999999999998</v>
      </c>
      <c r="DM29" s="147">
        <f t="shared" ref="DM29:DN29" si="88">+DL29*1.2</f>
        <v>214.55999999999997</v>
      </c>
      <c r="DN29" s="147">
        <f t="shared" si="88"/>
        <v>257.47199999999998</v>
      </c>
      <c r="DO29" s="151">
        <f>+DN29*1.1</f>
        <v>283.2192</v>
      </c>
      <c r="DP29" s="151">
        <f t="shared" ref="DP29:DQ29" si="89">+DO29*1.1</f>
        <v>311.54112000000003</v>
      </c>
      <c r="DQ29" s="151">
        <f t="shared" si="89"/>
        <v>342.69523200000009</v>
      </c>
      <c r="DR29" s="151">
        <f>+DQ29*0.9</f>
        <v>308.42570880000011</v>
      </c>
      <c r="DS29" s="151">
        <f t="shared" ref="DS29:DW29" si="90">+DR29*0.9</f>
        <v>277.58313792000013</v>
      </c>
      <c r="DT29" s="151">
        <f t="shared" si="90"/>
        <v>249.82482412800013</v>
      </c>
      <c r="DU29" s="151">
        <f t="shared" si="90"/>
        <v>224.84234171520012</v>
      </c>
      <c r="DV29" s="151">
        <f t="shared" si="90"/>
        <v>202.35810754368012</v>
      </c>
      <c r="DW29" s="151">
        <f t="shared" si="90"/>
        <v>182.12229678931212</v>
      </c>
    </row>
    <row r="30" spans="2:127" x14ac:dyDescent="0.2">
      <c r="B30" s="112" t="s">
        <v>1395</v>
      </c>
      <c r="C30" s="171"/>
      <c r="D30" s="171"/>
      <c r="E30" s="171"/>
      <c r="F30" s="171"/>
      <c r="G30" s="147"/>
      <c r="H30" s="147"/>
      <c r="I30" s="147"/>
      <c r="J30" s="147"/>
      <c r="K30" s="146"/>
      <c r="S30" s="73">
        <v>13</v>
      </c>
      <c r="T30" s="73">
        <v>17</v>
      </c>
      <c r="U30" s="73">
        <v>17</v>
      </c>
      <c r="V30" s="73">
        <v>25</v>
      </c>
      <c r="W30" s="73">
        <v>31</v>
      </c>
      <c r="X30" s="73">
        <v>47</v>
      </c>
      <c r="Y30" s="73">
        <v>31</v>
      </c>
      <c r="Z30" s="73">
        <v>33</v>
      </c>
      <c r="AA30" s="73">
        <v>46</v>
      </c>
      <c r="AB30" s="73">
        <v>57</v>
      </c>
      <c r="AC30" s="73">
        <v>40</v>
      </c>
      <c r="AD30" s="73">
        <v>50</v>
      </c>
      <c r="AE30" s="73">
        <v>72</v>
      </c>
      <c r="AF30" s="73">
        <v>64</v>
      </c>
      <c r="AG30" s="73">
        <v>50</v>
      </c>
      <c r="AH30" s="73">
        <v>55</v>
      </c>
      <c r="AI30" s="73">
        <v>69</v>
      </c>
      <c r="AJ30" s="73">
        <v>64</v>
      </c>
      <c r="AK30" s="73">
        <v>53</v>
      </c>
      <c r="AP30" s="73">
        <v>54</v>
      </c>
      <c r="AR30" s="73">
        <v>58</v>
      </c>
      <c r="BO30" s="73">
        <v>109</v>
      </c>
      <c r="BP30" s="73">
        <v>62</v>
      </c>
      <c r="BQ30" s="73">
        <v>56</v>
      </c>
      <c r="BR30" s="73">
        <v>70</v>
      </c>
      <c r="BS30" s="73">
        <v>103</v>
      </c>
      <c r="BT30" s="73">
        <v>63</v>
      </c>
      <c r="BU30" s="73">
        <v>61</v>
      </c>
      <c r="BV30" s="73">
        <v>71</v>
      </c>
      <c r="BW30" s="73">
        <v>94</v>
      </c>
      <c r="BX30" s="73">
        <v>74</v>
      </c>
      <c r="BY30" s="73">
        <v>71</v>
      </c>
      <c r="BZ30" s="73">
        <v>82</v>
      </c>
      <c r="CA30" s="73">
        <v>124</v>
      </c>
      <c r="CB30" s="73">
        <v>74</v>
      </c>
      <c r="CC30" s="73">
        <v>52</v>
      </c>
      <c r="CD30" s="73">
        <v>49</v>
      </c>
      <c r="CP30" s="146"/>
      <c r="CQ30" s="146"/>
      <c r="CR30" s="146"/>
      <c r="CS30" s="146"/>
      <c r="CT30" s="147"/>
      <c r="CU30" s="147"/>
      <c r="CV30" s="147"/>
      <c r="CW30" s="146">
        <f>SUM(W30:Z30)</f>
        <v>142</v>
      </c>
      <c r="CX30" s="146">
        <f>SUM(AA30:AD30)</f>
        <v>193</v>
      </c>
      <c r="CY30" s="146">
        <v>350</v>
      </c>
      <c r="CZ30" s="146">
        <f t="shared" ref="CZ30:DE30" si="91">CY30*1.1</f>
        <v>385.00000000000006</v>
      </c>
      <c r="DA30" s="146">
        <f t="shared" si="91"/>
        <v>423.50000000000011</v>
      </c>
      <c r="DB30" s="146">
        <f t="shared" si="91"/>
        <v>465.85000000000014</v>
      </c>
      <c r="DC30" s="146">
        <f t="shared" si="91"/>
        <v>512.43500000000017</v>
      </c>
      <c r="DD30" s="146">
        <f t="shared" si="91"/>
        <v>563.67850000000021</v>
      </c>
      <c r="DE30" s="146">
        <f t="shared" si="91"/>
        <v>620.0463500000003</v>
      </c>
      <c r="DF30" s="146">
        <v>200</v>
      </c>
      <c r="DG30" s="146"/>
      <c r="DH30" s="146">
        <f t="shared" si="16"/>
        <v>297</v>
      </c>
      <c r="DI30" s="146">
        <f t="shared" ref="DI30:DI34" si="92">SUM(BS30:BV30)</f>
        <v>298</v>
      </c>
      <c r="DJ30" s="146">
        <f t="shared" ref="DJ30:DJ34" si="93">SUM(BW30:BZ30)</f>
        <v>321</v>
      </c>
      <c r="DK30" s="146">
        <f t="shared" ref="DK30:DK34" si="94">SUM(CA30:CD30)</f>
        <v>299</v>
      </c>
      <c r="DL30" s="146">
        <f>+DK30*0.9</f>
        <v>269.10000000000002</v>
      </c>
      <c r="DM30" s="146">
        <f t="shared" si="86"/>
        <v>242.19000000000003</v>
      </c>
      <c r="DN30" s="146">
        <f t="shared" si="86"/>
        <v>217.97100000000003</v>
      </c>
      <c r="DO30" s="146">
        <f t="shared" si="86"/>
        <v>196.17390000000003</v>
      </c>
      <c r="DP30" s="146">
        <f t="shared" si="86"/>
        <v>176.55651000000003</v>
      </c>
      <c r="DQ30" s="146">
        <f t="shared" si="86"/>
        <v>158.90085900000003</v>
      </c>
      <c r="DR30" s="146">
        <f t="shared" si="86"/>
        <v>143.01077310000002</v>
      </c>
      <c r="DS30" s="146">
        <f t="shared" si="86"/>
        <v>128.70969579000001</v>
      </c>
      <c r="DT30" s="146">
        <f t="shared" si="86"/>
        <v>115.83872621100001</v>
      </c>
      <c r="DU30" s="146">
        <f t="shared" si="86"/>
        <v>104.25485358990001</v>
      </c>
      <c r="DV30" s="146">
        <f t="shared" si="86"/>
        <v>93.829368230910006</v>
      </c>
      <c r="DW30" s="146">
        <f t="shared" si="86"/>
        <v>84.446431407819006</v>
      </c>
    </row>
    <row r="31" spans="2:127" x14ac:dyDescent="0.2">
      <c r="B31" s="112" t="s">
        <v>1409</v>
      </c>
      <c r="C31" s="171"/>
      <c r="D31" s="171"/>
      <c r="E31" s="171"/>
      <c r="F31" s="171"/>
      <c r="G31" s="147"/>
      <c r="H31" s="147"/>
      <c r="I31" s="147"/>
      <c r="J31" s="147"/>
      <c r="K31" s="147"/>
      <c r="W31" s="162" t="s">
        <v>449</v>
      </c>
      <c r="X31" s="162" t="s">
        <v>449</v>
      </c>
      <c r="Y31" s="73">
        <v>111</v>
      </c>
      <c r="Z31" s="73">
        <v>137</v>
      </c>
      <c r="AA31" s="73">
        <f>265-AA81</f>
        <v>216</v>
      </c>
      <c r="AB31" s="73">
        <f>262-AB81</f>
        <v>229</v>
      </c>
      <c r="AC31" s="73">
        <f>272-AC81</f>
        <v>241</v>
      </c>
      <c r="AD31" s="73">
        <f>288-AD81</f>
        <v>249</v>
      </c>
      <c r="AE31" s="73">
        <f>273-36</f>
        <v>237</v>
      </c>
      <c r="AF31" s="73">
        <v>265</v>
      </c>
      <c r="AG31" s="73">
        <v>283</v>
      </c>
      <c r="AH31" s="73">
        <v>266</v>
      </c>
      <c r="AI31" s="73">
        <v>213</v>
      </c>
      <c r="AJ31" s="73">
        <v>210</v>
      </c>
      <c r="AP31" s="73">
        <v>171</v>
      </c>
      <c r="AR31" s="73">
        <v>122</v>
      </c>
      <c r="BO31" s="73">
        <v>111</v>
      </c>
      <c r="BP31" s="73">
        <v>95</v>
      </c>
      <c r="BQ31" s="73">
        <v>110</v>
      </c>
      <c r="BR31" s="73">
        <v>109</v>
      </c>
      <c r="BS31" s="73">
        <v>100</v>
      </c>
      <c r="BT31" s="73">
        <v>102</v>
      </c>
      <c r="BU31" s="73">
        <v>96</v>
      </c>
      <c r="BV31" s="73">
        <v>101</v>
      </c>
      <c r="BW31" s="73">
        <v>92</v>
      </c>
      <c r="BX31" s="73">
        <v>91</v>
      </c>
      <c r="BY31" s="73">
        <v>94</v>
      </c>
      <c r="BZ31" s="73">
        <v>99</v>
      </c>
      <c r="CA31" s="73">
        <v>97</v>
      </c>
      <c r="CB31" s="73">
        <v>88</v>
      </c>
      <c r="CC31" s="73">
        <v>93</v>
      </c>
      <c r="CD31" s="73">
        <v>85</v>
      </c>
      <c r="CP31" s="146" t="s">
        <v>449</v>
      </c>
      <c r="CQ31" s="146" t="s">
        <v>449</v>
      </c>
      <c r="CR31" s="146" t="s">
        <v>449</v>
      </c>
      <c r="CS31" s="146" t="s">
        <v>449</v>
      </c>
      <c r="CT31" s="147" t="s">
        <v>449</v>
      </c>
      <c r="CU31" s="147" t="s">
        <v>449</v>
      </c>
      <c r="CV31" s="147" t="s">
        <v>449</v>
      </c>
      <c r="CW31" s="146">
        <f>SUM(W31:Z31)</f>
        <v>248</v>
      </c>
      <c r="CX31" s="146">
        <f>SUM(AA31:AD31)</f>
        <v>935</v>
      </c>
      <c r="CY31" s="147">
        <f>+CX31*1.03</f>
        <v>963.05000000000007</v>
      </c>
      <c r="CZ31" s="147">
        <f>+CY31*1.01</f>
        <v>972.68050000000005</v>
      </c>
      <c r="DA31" s="147">
        <f>+CZ31*1.01</f>
        <v>982.40730500000006</v>
      </c>
      <c r="DB31" s="147">
        <f>+DA31*1.01</f>
        <v>992.2313780500001</v>
      </c>
      <c r="DC31" s="147">
        <f>+DB31*1.01</f>
        <v>1002.1536918305001</v>
      </c>
      <c r="DD31" s="147">
        <f>+DC31*1.03</f>
        <v>1032.2183025854151</v>
      </c>
      <c r="DE31" s="147">
        <f>+DD31*1.03</f>
        <v>1063.1848516629775</v>
      </c>
      <c r="DF31" s="147">
        <f>+DE31*1.03</f>
        <v>1095.080397212867</v>
      </c>
      <c r="DG31" s="147"/>
      <c r="DH31" s="146">
        <f t="shared" si="16"/>
        <v>425</v>
      </c>
      <c r="DI31" s="146">
        <f t="shared" si="92"/>
        <v>399</v>
      </c>
      <c r="DJ31" s="146">
        <f t="shared" si="93"/>
        <v>376</v>
      </c>
      <c r="DK31" s="146">
        <f t="shared" si="94"/>
        <v>363</v>
      </c>
      <c r="DL31" s="146">
        <f t="shared" ref="DL31" si="95">+DK31*0.9</f>
        <v>326.7</v>
      </c>
      <c r="DM31" s="146">
        <f t="shared" si="86"/>
        <v>294.02999999999997</v>
      </c>
      <c r="DN31" s="146">
        <f t="shared" si="86"/>
        <v>264.62700000000001</v>
      </c>
      <c r="DO31" s="146">
        <f t="shared" si="86"/>
        <v>238.16430000000003</v>
      </c>
      <c r="DP31" s="146">
        <f t="shared" si="86"/>
        <v>214.34787000000003</v>
      </c>
      <c r="DQ31" s="146">
        <f t="shared" si="86"/>
        <v>192.91308300000003</v>
      </c>
      <c r="DR31" s="146">
        <f t="shared" si="86"/>
        <v>173.62177470000003</v>
      </c>
      <c r="DS31" s="146">
        <f t="shared" si="86"/>
        <v>156.25959723000003</v>
      </c>
      <c r="DT31" s="146">
        <f t="shared" si="86"/>
        <v>140.63363750700003</v>
      </c>
      <c r="DU31" s="146">
        <f t="shared" si="86"/>
        <v>126.57027375630003</v>
      </c>
      <c r="DV31" s="146">
        <f t="shared" si="86"/>
        <v>113.91324638067003</v>
      </c>
      <c r="DW31" s="146">
        <f t="shared" si="86"/>
        <v>102.52192174260303</v>
      </c>
    </row>
    <row r="32" spans="2:127" x14ac:dyDescent="0.2">
      <c r="B32" s="65" t="s">
        <v>81</v>
      </c>
      <c r="C32" s="171">
        <v>10</v>
      </c>
      <c r="D32" s="171">
        <v>14</v>
      </c>
      <c r="E32" s="171">
        <v>17</v>
      </c>
      <c r="F32" s="171">
        <v>23</v>
      </c>
      <c r="G32" s="147">
        <v>26</v>
      </c>
      <c r="H32" s="147">
        <v>28</v>
      </c>
      <c r="I32" s="147">
        <v>36</v>
      </c>
      <c r="J32" s="147">
        <v>39</v>
      </c>
      <c r="K32" s="147">
        <v>47</v>
      </c>
      <c r="L32" s="73">
        <v>51</v>
      </c>
      <c r="M32" s="73">
        <v>57</v>
      </c>
      <c r="N32" s="73">
        <v>61</v>
      </c>
      <c r="O32" s="73">
        <v>63</v>
      </c>
      <c r="P32" s="73">
        <v>67</v>
      </c>
      <c r="Q32" s="73">
        <v>72</v>
      </c>
      <c r="R32" s="73">
        <v>83</v>
      </c>
      <c r="S32" s="73">
        <v>85</v>
      </c>
      <c r="T32" s="73">
        <v>92</v>
      </c>
      <c r="U32" s="73">
        <v>102</v>
      </c>
      <c r="V32" s="73">
        <v>120</v>
      </c>
      <c r="W32" s="73">
        <v>122</v>
      </c>
      <c r="X32" s="73">
        <v>134</v>
      </c>
      <c r="Y32" s="73">
        <v>131</v>
      </c>
      <c r="Z32" s="73">
        <v>143</v>
      </c>
      <c r="AA32" s="73">
        <v>139</v>
      </c>
      <c r="AB32" s="73">
        <v>157</v>
      </c>
      <c r="AC32" s="73">
        <v>156</v>
      </c>
      <c r="AD32" s="73">
        <v>177</v>
      </c>
      <c r="AE32" s="73">
        <v>166</v>
      </c>
      <c r="AF32" s="73">
        <v>188</v>
      </c>
      <c r="AG32" s="73">
        <v>188</v>
      </c>
      <c r="AH32" s="73">
        <v>206</v>
      </c>
      <c r="AI32" s="73">
        <v>186</v>
      </c>
      <c r="AJ32" s="73">
        <v>197</v>
      </c>
      <c r="AK32" s="73">
        <v>199</v>
      </c>
      <c r="AP32" s="73">
        <v>226</v>
      </c>
      <c r="AR32" s="73">
        <v>199</v>
      </c>
      <c r="BO32" s="73">
        <v>141</v>
      </c>
      <c r="BP32" s="73">
        <v>134</v>
      </c>
      <c r="BQ32" s="73">
        <v>95</v>
      </c>
      <c r="BR32" s="73">
        <v>96</v>
      </c>
      <c r="BS32" s="73">
        <v>83</v>
      </c>
      <c r="BT32" s="73">
        <v>85</v>
      </c>
      <c r="BU32" s="73">
        <v>85</v>
      </c>
      <c r="BV32" s="73">
        <v>79</v>
      </c>
      <c r="BW32" s="73">
        <v>81</v>
      </c>
      <c r="BX32" s="73">
        <v>81</v>
      </c>
      <c r="BY32" s="73">
        <v>86</v>
      </c>
      <c r="BZ32" s="73">
        <v>82</v>
      </c>
      <c r="CA32" s="73">
        <v>92</v>
      </c>
      <c r="CB32" s="73">
        <v>90</v>
      </c>
      <c r="CC32" s="73">
        <v>90</v>
      </c>
      <c r="CD32" s="73">
        <v>73</v>
      </c>
      <c r="CP32" s="146" t="s">
        <v>449</v>
      </c>
      <c r="CQ32" s="146">
        <v>19</v>
      </c>
      <c r="CR32" s="146">
        <v>64</v>
      </c>
      <c r="CS32" s="146">
        <v>129</v>
      </c>
      <c r="CT32" s="147">
        <f>SUM(K32:N32)</f>
        <v>216</v>
      </c>
      <c r="CU32" s="147">
        <f>SUM(O32:R32)</f>
        <v>285</v>
      </c>
      <c r="CV32" s="147">
        <f>SUM(S32:V32)</f>
        <v>399</v>
      </c>
      <c r="CW32" s="146">
        <f>SUM(W32:Z32)</f>
        <v>530</v>
      </c>
      <c r="CX32" s="146">
        <f>SUM(AA32:AD32)</f>
        <v>629</v>
      </c>
      <c r="CY32" s="147">
        <f>CX32*1.05</f>
        <v>660.45</v>
      </c>
      <c r="CZ32" s="147">
        <f>CY32*1.05</f>
        <v>693.47250000000008</v>
      </c>
      <c r="DA32" s="147">
        <f>CZ32*1.02</f>
        <v>707.34195000000011</v>
      </c>
      <c r="DB32" s="147">
        <f>+DA32*1</f>
        <v>707.34195000000011</v>
      </c>
      <c r="DC32" s="147">
        <f>+DB32*0.5</f>
        <v>353.67097500000006</v>
      </c>
      <c r="DD32" s="147">
        <f>+DC32*0.9</f>
        <v>318.30387750000006</v>
      </c>
      <c r="DE32" s="147">
        <f t="shared" ref="DE32:DF32" si="96">+DD32*0.9</f>
        <v>286.47348975000006</v>
      </c>
      <c r="DF32" s="147">
        <f t="shared" si="96"/>
        <v>257.82614077500006</v>
      </c>
      <c r="DG32" s="147"/>
      <c r="DH32" s="146">
        <f t="shared" si="16"/>
        <v>466</v>
      </c>
      <c r="DI32" s="146">
        <f t="shared" si="92"/>
        <v>332</v>
      </c>
      <c r="DJ32" s="146">
        <f t="shared" si="93"/>
        <v>330</v>
      </c>
      <c r="DK32" s="146">
        <f t="shared" si="94"/>
        <v>345</v>
      </c>
      <c r="DL32" s="146">
        <f t="shared" ref="DL32" si="97">+DK32*0.9</f>
        <v>310.5</v>
      </c>
      <c r="DM32" s="146">
        <f t="shared" si="86"/>
        <v>279.45</v>
      </c>
      <c r="DN32" s="146">
        <f t="shared" si="86"/>
        <v>251.505</v>
      </c>
      <c r="DO32" s="146">
        <f t="shared" si="86"/>
        <v>226.3545</v>
      </c>
      <c r="DP32" s="146">
        <f t="shared" si="86"/>
        <v>203.71905000000001</v>
      </c>
      <c r="DQ32" s="146">
        <f t="shared" si="86"/>
        <v>183.34714500000001</v>
      </c>
      <c r="DR32" s="146">
        <f t="shared" si="86"/>
        <v>165.01243050000002</v>
      </c>
      <c r="DS32" s="146">
        <f t="shared" si="86"/>
        <v>148.51118745000002</v>
      </c>
      <c r="DT32" s="146">
        <f t="shared" si="86"/>
        <v>133.66006870500001</v>
      </c>
      <c r="DU32" s="146">
        <f t="shared" si="86"/>
        <v>120.29406183450001</v>
      </c>
      <c r="DV32" s="146">
        <f t="shared" si="86"/>
        <v>108.26465565105002</v>
      </c>
      <c r="DW32" s="146">
        <f t="shared" si="86"/>
        <v>97.438190085945024</v>
      </c>
    </row>
    <row r="33" spans="2:127" x14ac:dyDescent="0.2">
      <c r="B33" s="65" t="s">
        <v>571</v>
      </c>
      <c r="C33" s="172"/>
      <c r="D33" s="172"/>
      <c r="E33" s="172"/>
      <c r="F33" s="172"/>
      <c r="G33" s="147"/>
      <c r="H33" s="147"/>
      <c r="I33" s="147"/>
      <c r="J33" s="147"/>
      <c r="K33" s="146"/>
      <c r="X33" s="73">
        <v>12</v>
      </c>
      <c r="Y33" s="73">
        <v>13</v>
      </c>
      <c r="Z33" s="73">
        <v>48</v>
      </c>
      <c r="AA33" s="73">
        <v>45</v>
      </c>
      <c r="AB33" s="73">
        <v>38</v>
      </c>
      <c r="AC33" s="73">
        <v>90</v>
      </c>
      <c r="AD33" s="73">
        <v>48</v>
      </c>
      <c r="AE33" s="73">
        <v>77</v>
      </c>
      <c r="AF33" s="73">
        <v>99</v>
      </c>
      <c r="AG33" s="73">
        <v>107</v>
      </c>
      <c r="AH33" s="73">
        <v>67</v>
      </c>
      <c r="AI33" s="73">
        <v>73</v>
      </c>
      <c r="AJ33" s="73">
        <v>101</v>
      </c>
      <c r="AK33" s="73">
        <v>106</v>
      </c>
      <c r="AP33" s="73">
        <v>161</v>
      </c>
      <c r="AR33" s="73">
        <v>105</v>
      </c>
      <c r="BO33" s="73">
        <v>123</v>
      </c>
      <c r="BP33" s="73">
        <v>103</v>
      </c>
      <c r="BQ33" s="73">
        <v>83</v>
      </c>
      <c r="BR33" s="73">
        <v>93</v>
      </c>
      <c r="BS33" s="73">
        <v>102</v>
      </c>
      <c r="BT33" s="73">
        <v>97</v>
      </c>
      <c r="BU33" s="73">
        <v>66</v>
      </c>
      <c r="BV33" s="73">
        <v>92</v>
      </c>
      <c r="BW33" s="73">
        <v>81</v>
      </c>
      <c r="BX33" s="73">
        <v>84</v>
      </c>
      <c r="BY33" s="73">
        <v>72</v>
      </c>
      <c r="BZ33" s="73">
        <v>68</v>
      </c>
      <c r="CA33" s="73">
        <v>62</v>
      </c>
      <c r="CB33" s="73">
        <v>76</v>
      </c>
      <c r="CC33" s="73">
        <v>89</v>
      </c>
      <c r="CD33" s="73">
        <v>48</v>
      </c>
      <c r="CE33" s="73">
        <v>45</v>
      </c>
      <c r="CF33" s="73">
        <v>62</v>
      </c>
      <c r="CP33" s="147"/>
      <c r="CQ33" s="147"/>
      <c r="CR33" s="147"/>
      <c r="CS33" s="146"/>
      <c r="CT33" s="147"/>
      <c r="CU33" s="147"/>
      <c r="CV33" s="147"/>
      <c r="CW33" s="146">
        <f>SUM(W33:AA33)</f>
        <v>118</v>
      </c>
      <c r="CX33" s="146">
        <f>SUM(AA33:AD33)</f>
        <v>221</v>
      </c>
      <c r="CY33" s="146">
        <v>100</v>
      </c>
      <c r="CZ33" s="146">
        <v>125</v>
      </c>
      <c r="DA33" s="146">
        <v>150</v>
      </c>
      <c r="DB33" s="146">
        <v>175</v>
      </c>
      <c r="DC33" s="146">
        <v>200</v>
      </c>
      <c r="DD33" s="146">
        <v>225</v>
      </c>
      <c r="DE33" s="152">
        <v>250</v>
      </c>
      <c r="DF33" s="152">
        <v>250</v>
      </c>
      <c r="DG33" s="152"/>
      <c r="DH33" s="146">
        <f t="shared" si="16"/>
        <v>402</v>
      </c>
      <c r="DI33" s="146">
        <f t="shared" si="92"/>
        <v>357</v>
      </c>
      <c r="DJ33" s="146">
        <f t="shared" si="93"/>
        <v>305</v>
      </c>
      <c r="DK33" s="146">
        <f t="shared" si="94"/>
        <v>275</v>
      </c>
      <c r="DL33" s="146">
        <f t="shared" ref="DL33" si="98">+DK33*0.9</f>
        <v>247.5</v>
      </c>
      <c r="DM33" s="146">
        <f t="shared" si="86"/>
        <v>222.75</v>
      </c>
      <c r="DN33" s="146">
        <f t="shared" si="86"/>
        <v>200.47499999999999</v>
      </c>
      <c r="DO33" s="146">
        <f t="shared" si="86"/>
        <v>180.42750000000001</v>
      </c>
      <c r="DP33" s="146">
        <f t="shared" si="86"/>
        <v>162.38475000000003</v>
      </c>
      <c r="DQ33" s="146">
        <f t="shared" si="86"/>
        <v>146.14627500000003</v>
      </c>
      <c r="DR33" s="146">
        <f t="shared" si="86"/>
        <v>131.53164750000002</v>
      </c>
      <c r="DS33" s="146">
        <f t="shared" si="86"/>
        <v>118.37848275000002</v>
      </c>
      <c r="DT33" s="146">
        <f t="shared" si="86"/>
        <v>106.54063447500002</v>
      </c>
      <c r="DU33" s="146">
        <f t="shared" si="86"/>
        <v>95.886571027500025</v>
      </c>
      <c r="DV33" s="146">
        <f t="shared" si="86"/>
        <v>86.29791392475002</v>
      </c>
      <c r="DW33" s="146">
        <f t="shared" si="86"/>
        <v>77.668122532275021</v>
      </c>
    </row>
    <row r="34" spans="2:127" x14ac:dyDescent="0.2">
      <c r="B34" s="65" t="s">
        <v>365</v>
      </c>
      <c r="C34" s="171">
        <v>73</v>
      </c>
      <c r="D34" s="171">
        <v>87</v>
      </c>
      <c r="E34" s="171">
        <v>132</v>
      </c>
      <c r="F34" s="171">
        <v>141</v>
      </c>
      <c r="G34" s="147">
        <v>70</v>
      </c>
      <c r="H34" s="147">
        <v>104</v>
      </c>
      <c r="I34" s="147">
        <v>127</v>
      </c>
      <c r="J34" s="147">
        <v>186</v>
      </c>
      <c r="K34" s="73">
        <f>366-K19-K43-K16-K18</f>
        <v>116</v>
      </c>
      <c r="L34" s="73">
        <f>387-L19-L43-L16-L18</f>
        <v>122</v>
      </c>
      <c r="M34" s="73">
        <f>412-M19-M43-M16-M18</f>
        <v>158</v>
      </c>
      <c r="N34" s="73">
        <f>527-N19-N43-N16-N18</f>
        <v>138</v>
      </c>
      <c r="O34" s="73">
        <f>368-O19-O43-O16-O18</f>
        <v>107</v>
      </c>
      <c r="P34" s="73">
        <f>398-P19-P43-P16-P18</f>
        <v>117</v>
      </c>
      <c r="Q34" s="73">
        <f>593-Q19-Q43-Q16-Q18</f>
        <v>148</v>
      </c>
      <c r="R34" s="73">
        <f>634-R19-R43-R16-R18</f>
        <v>163</v>
      </c>
      <c r="S34" s="73">
        <f>436-S19-S43-S16-S18-S42</f>
        <v>114</v>
      </c>
      <c r="T34" s="73">
        <f>577-T19-T43-T16-T18-T42</f>
        <v>171</v>
      </c>
      <c r="U34" s="73">
        <f>730-U19-U43-U16-U18-U42-U89</f>
        <v>169</v>
      </c>
      <c r="V34" s="73">
        <f>796-V19-V43-V16-V18-V42-V89</f>
        <v>262</v>
      </c>
      <c r="W34" s="73">
        <f>625-W19-W43-W16-W18-W42-W89-W20</f>
        <v>158</v>
      </c>
      <c r="X34" s="73">
        <f>756-X19-X43-X16-X18-X42-X89-X33-X20</f>
        <v>168</v>
      </c>
      <c r="Y34" s="73">
        <f>802-Y19-Y43-Y16-Y18-Y42-Y89-Y33-Y20</f>
        <v>143</v>
      </c>
      <c r="Z34" s="73">
        <f>1523-Z19-Z43-Z16-Z18-Z42-Z89-Z33-Z20</f>
        <v>136</v>
      </c>
      <c r="AA34" s="73">
        <f>1411-AA19-AA43-AA16-AA18-AA42-AA89-AA33-AA20</f>
        <v>128</v>
      </c>
      <c r="AB34" s="73">
        <f>939-AB19-AB43-AB16-AB18-AB42-AB89-AB33-AB20</f>
        <v>148</v>
      </c>
      <c r="AC34" s="73">
        <f>982-AC19-AC43-AC16-AC18-AC42-AC89-AC33-AC20</f>
        <v>151</v>
      </c>
      <c r="AD34" s="73">
        <f>994-AD19-AD43-AD16-AD18-AD42-AD89-AD33-AD20</f>
        <v>167</v>
      </c>
      <c r="AE34" s="73">
        <f>758-AE19-AE43-AE16-AE18-AE42-AE89-AE33-AE20</f>
        <v>130</v>
      </c>
      <c r="AF34" s="73">
        <f>787-53-65-8-4-191-156-75-99</f>
        <v>136</v>
      </c>
      <c r="AG34" s="73">
        <f>1142-62-232-159-1-178-192-75-107</f>
        <v>136</v>
      </c>
      <c r="AH34" s="73">
        <f>810-45-100-54-8-161-181-73-67</f>
        <v>121</v>
      </c>
      <c r="AI34" s="73">
        <f>758-47-131-7-153-161-76-73</f>
        <v>110</v>
      </c>
      <c r="AJ34" s="73">
        <v>112</v>
      </c>
      <c r="AK34" s="73">
        <v>101</v>
      </c>
      <c r="AP34" s="73">
        <v>123</v>
      </c>
      <c r="AR34" s="73">
        <v>92</v>
      </c>
      <c r="BO34" s="73">
        <f>64+21</f>
        <v>85</v>
      </c>
      <c r="BP34" s="73">
        <v>28</v>
      </c>
      <c r="BQ34" s="73">
        <v>55</v>
      </c>
      <c r="BR34" s="73">
        <v>42</v>
      </c>
      <c r="BS34" s="73">
        <v>40</v>
      </c>
      <c r="BT34" s="73">
        <v>47</v>
      </c>
      <c r="BU34" s="73">
        <v>34</v>
      </c>
      <c r="BV34" s="73">
        <f>19+29</f>
        <v>48</v>
      </c>
      <c r="BW34" s="73">
        <f>44+7</f>
        <v>51</v>
      </c>
      <c r="BX34" s="162">
        <f>14+1</f>
        <v>15</v>
      </c>
      <c r="BY34" s="73">
        <v>47</v>
      </c>
      <c r="BZ34" s="73">
        <v>84</v>
      </c>
      <c r="CA34" s="73">
        <f>3+49</f>
        <v>52</v>
      </c>
      <c r="CB34" s="73">
        <f>6+39</f>
        <v>45</v>
      </c>
      <c r="CC34" s="73">
        <f>51+7</f>
        <v>58</v>
      </c>
      <c r="CD34" s="73">
        <f>74+15</f>
        <v>89</v>
      </c>
      <c r="CE34" s="73">
        <f>71+2</f>
        <v>73</v>
      </c>
      <c r="CF34" s="73">
        <f>54+7</f>
        <v>61</v>
      </c>
      <c r="CP34" s="146">
        <v>343</v>
      </c>
      <c r="CQ34" s="146">
        <v>368</v>
      </c>
      <c r="CR34" s="146">
        <v>433</v>
      </c>
      <c r="CS34" s="147">
        <v>487</v>
      </c>
      <c r="CT34" s="147">
        <f>SUM(K34:N34)</f>
        <v>534</v>
      </c>
      <c r="CU34" s="147">
        <f>SUM(O34:R34)</f>
        <v>535</v>
      </c>
      <c r="CV34" s="147">
        <f>SUM(S34:V34)</f>
        <v>716</v>
      </c>
      <c r="CW34" s="146">
        <f t="shared" ref="CW34" si="99">SUM(W34:Z34)</f>
        <v>605</v>
      </c>
      <c r="CX34" s="146">
        <f t="shared" ref="CX34" si="100">SUM(AA34:AD34)</f>
        <v>594</v>
      </c>
      <c r="CY34" s="147">
        <f>CX34</f>
        <v>594</v>
      </c>
      <c r="CZ34" s="147">
        <f t="shared" ref="CZ34:DE34" si="101">CY34</f>
        <v>594</v>
      </c>
      <c r="DA34" s="147">
        <f t="shared" si="101"/>
        <v>594</v>
      </c>
      <c r="DB34" s="147">
        <f t="shared" si="101"/>
        <v>594</v>
      </c>
      <c r="DC34" s="147">
        <f t="shared" si="101"/>
        <v>594</v>
      </c>
      <c r="DD34" s="147">
        <f t="shared" si="101"/>
        <v>594</v>
      </c>
      <c r="DE34" s="147">
        <f t="shared" si="101"/>
        <v>594</v>
      </c>
      <c r="DF34" s="147">
        <f>DE34</f>
        <v>594</v>
      </c>
      <c r="DG34" s="147"/>
      <c r="DH34" s="146">
        <f t="shared" si="16"/>
        <v>210</v>
      </c>
      <c r="DI34" s="146">
        <f t="shared" si="92"/>
        <v>169</v>
      </c>
      <c r="DJ34" s="146">
        <f t="shared" si="93"/>
        <v>197</v>
      </c>
      <c r="DK34" s="146">
        <f t="shared" si="94"/>
        <v>244</v>
      </c>
      <c r="DL34" s="146">
        <f t="shared" ref="DL34" si="102">+DK34*0.9</f>
        <v>219.6</v>
      </c>
      <c r="DM34" s="146">
        <f t="shared" si="86"/>
        <v>197.64</v>
      </c>
      <c r="DN34" s="146">
        <f t="shared" si="86"/>
        <v>177.876</v>
      </c>
      <c r="DO34" s="146">
        <f t="shared" si="86"/>
        <v>160.08840000000001</v>
      </c>
      <c r="DP34" s="146">
        <f t="shared" si="86"/>
        <v>144.07956000000001</v>
      </c>
      <c r="DQ34" s="146">
        <f t="shared" si="86"/>
        <v>129.67160400000003</v>
      </c>
      <c r="DR34" s="146">
        <f t="shared" si="86"/>
        <v>116.70444360000003</v>
      </c>
      <c r="DS34" s="146">
        <f t="shared" si="86"/>
        <v>105.03399924000003</v>
      </c>
      <c r="DT34" s="146">
        <f t="shared" si="86"/>
        <v>94.530599316000021</v>
      </c>
      <c r="DU34" s="146">
        <f t="shared" si="86"/>
        <v>85.077539384400026</v>
      </c>
      <c r="DV34" s="146">
        <f t="shared" si="86"/>
        <v>76.569785445960022</v>
      </c>
      <c r="DW34" s="146">
        <f t="shared" si="86"/>
        <v>68.912806901364021</v>
      </c>
    </row>
    <row r="35" spans="2:127" x14ac:dyDescent="0.2">
      <c r="B35" s="112" t="s">
        <v>1396</v>
      </c>
      <c r="C35" s="171"/>
      <c r="D35" s="171"/>
      <c r="E35" s="171"/>
      <c r="F35" s="171"/>
      <c r="G35" s="147"/>
      <c r="H35" s="147"/>
      <c r="I35" s="147"/>
      <c r="J35" s="147"/>
      <c r="BO35" s="73">
        <v>57</v>
      </c>
      <c r="BP35" s="73">
        <v>59</v>
      </c>
      <c r="BQ35" s="73">
        <v>56</v>
      </c>
      <c r="BR35" s="73">
        <v>48</v>
      </c>
      <c r="BS35" s="73">
        <v>52</v>
      </c>
      <c r="BT35" s="73">
        <v>53</v>
      </c>
      <c r="BU35" s="73">
        <v>51</v>
      </c>
      <c r="BV35" s="73">
        <v>49</v>
      </c>
      <c r="BW35" s="73">
        <v>50</v>
      </c>
      <c r="BX35" s="73">
        <v>51</v>
      </c>
      <c r="BY35" s="73">
        <v>56</v>
      </c>
      <c r="BZ35" s="73">
        <v>39</v>
      </c>
      <c r="CA35" s="73">
        <v>35</v>
      </c>
      <c r="CB35" s="73">
        <v>44</v>
      </c>
      <c r="CC35" s="73">
        <v>43</v>
      </c>
      <c r="CD35" s="73">
        <v>40</v>
      </c>
      <c r="CP35" s="146"/>
      <c r="CQ35" s="146"/>
      <c r="CR35" s="146"/>
      <c r="CS35" s="147"/>
      <c r="CT35" s="147"/>
      <c r="CU35" s="147"/>
      <c r="CV35" s="147"/>
      <c r="CW35" s="146"/>
      <c r="CX35" s="146"/>
      <c r="CY35" s="147"/>
      <c r="CZ35" s="147"/>
      <c r="DA35" s="147"/>
      <c r="DB35" s="147"/>
      <c r="DC35" s="147"/>
      <c r="DD35" s="147"/>
      <c r="DE35" s="147"/>
      <c r="DF35" s="147"/>
      <c r="DG35" s="147"/>
      <c r="DH35" s="146">
        <f t="shared" si="16"/>
        <v>220</v>
      </c>
      <c r="DI35" s="146">
        <f t="shared" ref="DI35:DI50" si="103">SUM(BS35:BV35)</f>
        <v>205</v>
      </c>
      <c r="DJ35" s="146">
        <f t="shared" ref="DJ35:DJ50" si="104">SUM(BW35:BZ35)</f>
        <v>196</v>
      </c>
      <c r="DK35" s="146">
        <f t="shared" ref="DK35:DK50" si="105">SUM(CA35:CD35)</f>
        <v>162</v>
      </c>
      <c r="DL35" s="146">
        <f t="shared" ref="DL35" si="106">+DK35*0.9</f>
        <v>145.80000000000001</v>
      </c>
      <c r="DM35" s="146">
        <f t="shared" si="86"/>
        <v>131.22000000000003</v>
      </c>
      <c r="DN35" s="146">
        <f t="shared" si="86"/>
        <v>118.09800000000003</v>
      </c>
      <c r="DO35" s="146">
        <f t="shared" si="86"/>
        <v>106.28820000000003</v>
      </c>
      <c r="DP35" s="146">
        <f t="shared" si="86"/>
        <v>95.659380000000027</v>
      </c>
      <c r="DQ35" s="146">
        <f t="shared" si="86"/>
        <v>86.093442000000024</v>
      </c>
      <c r="DR35" s="146">
        <f t="shared" si="86"/>
        <v>77.484097800000029</v>
      </c>
      <c r="DS35" s="146">
        <f t="shared" si="86"/>
        <v>69.735688020000026</v>
      </c>
      <c r="DT35" s="146">
        <f t="shared" si="86"/>
        <v>62.762119218000024</v>
      </c>
      <c r="DU35" s="146">
        <f t="shared" si="86"/>
        <v>56.485907296200025</v>
      </c>
      <c r="DV35" s="146">
        <f t="shared" si="86"/>
        <v>50.837316566580022</v>
      </c>
      <c r="DW35" s="146">
        <f t="shared" si="86"/>
        <v>45.753584909922019</v>
      </c>
    </row>
    <row r="36" spans="2:127" x14ac:dyDescent="0.2">
      <c r="B36" s="112" t="s">
        <v>1255</v>
      </c>
      <c r="C36" s="171"/>
      <c r="D36" s="171"/>
      <c r="E36" s="171"/>
      <c r="F36" s="171"/>
      <c r="G36" s="147"/>
      <c r="H36" s="147"/>
      <c r="I36" s="147"/>
      <c r="J36" s="147"/>
      <c r="BO36" s="73">
        <v>57</v>
      </c>
      <c r="BP36" s="73">
        <v>54</v>
      </c>
      <c r="BQ36" s="73">
        <v>72</v>
      </c>
      <c r="BR36" s="73">
        <v>78</v>
      </c>
      <c r="BS36" s="73">
        <v>63</v>
      </c>
      <c r="BT36" s="73">
        <v>54</v>
      </c>
      <c r="BU36" s="73">
        <v>89</v>
      </c>
      <c r="BV36" s="73">
        <v>54</v>
      </c>
      <c r="BW36" s="73">
        <v>47</v>
      </c>
      <c r="BX36" s="73">
        <v>40</v>
      </c>
      <c r="BY36" s="73">
        <v>51</v>
      </c>
      <c r="BZ36" s="73">
        <v>50</v>
      </c>
      <c r="CA36" s="73">
        <v>53</v>
      </c>
      <c r="CB36" s="73">
        <v>54</v>
      </c>
      <c r="CC36" s="73">
        <v>82</v>
      </c>
      <c r="CD36" s="73">
        <v>76</v>
      </c>
      <c r="CE36" s="73">
        <v>78</v>
      </c>
      <c r="CF36" s="73">
        <v>79</v>
      </c>
      <c r="CP36" s="146"/>
      <c r="CQ36" s="146"/>
      <c r="CR36" s="146"/>
      <c r="CS36" s="147"/>
      <c r="CT36" s="147"/>
      <c r="CU36" s="147"/>
      <c r="CV36" s="147"/>
      <c r="CW36" s="146"/>
      <c r="CX36" s="146"/>
      <c r="CY36" s="147"/>
      <c r="CZ36" s="147"/>
      <c r="DA36" s="147"/>
      <c r="DB36" s="147"/>
      <c r="DC36" s="147"/>
      <c r="DD36" s="147"/>
      <c r="DE36" s="147"/>
      <c r="DF36" s="147"/>
      <c r="DG36" s="147"/>
      <c r="DH36" s="146">
        <f t="shared" si="16"/>
        <v>261</v>
      </c>
      <c r="DI36" s="146">
        <f t="shared" si="103"/>
        <v>260</v>
      </c>
      <c r="DJ36" s="146">
        <f t="shared" si="104"/>
        <v>188</v>
      </c>
      <c r="DK36" s="146">
        <f t="shared" si="105"/>
        <v>265</v>
      </c>
      <c r="DL36" s="146">
        <f t="shared" ref="DL36" si="107">+DK36*0.9</f>
        <v>238.5</v>
      </c>
      <c r="DM36" s="146">
        <f t="shared" si="86"/>
        <v>214.65</v>
      </c>
      <c r="DN36" s="146">
        <f t="shared" si="86"/>
        <v>193.185</v>
      </c>
      <c r="DO36" s="146">
        <f t="shared" si="86"/>
        <v>173.8665</v>
      </c>
      <c r="DP36" s="146">
        <f t="shared" si="86"/>
        <v>156.47985</v>
      </c>
      <c r="DQ36" s="146">
        <f t="shared" si="86"/>
        <v>140.83186499999999</v>
      </c>
      <c r="DR36" s="146">
        <f t="shared" si="86"/>
        <v>126.7486785</v>
      </c>
      <c r="DS36" s="146">
        <f t="shared" si="86"/>
        <v>114.07381065</v>
      </c>
      <c r="DT36" s="146">
        <f t="shared" si="86"/>
        <v>102.666429585</v>
      </c>
      <c r="DU36" s="146">
        <f t="shared" si="86"/>
        <v>92.399786626500003</v>
      </c>
      <c r="DV36" s="146">
        <f t="shared" si="86"/>
        <v>83.15980796385</v>
      </c>
      <c r="DW36" s="146">
        <f t="shared" si="86"/>
        <v>74.843827167465008</v>
      </c>
    </row>
    <row r="37" spans="2:127" x14ac:dyDescent="0.2">
      <c r="B37" s="112" t="s">
        <v>725</v>
      </c>
      <c r="C37" s="172"/>
      <c r="D37" s="172"/>
      <c r="E37" s="172"/>
      <c r="F37" s="172"/>
      <c r="G37" s="147"/>
      <c r="H37" s="147"/>
      <c r="I37" s="147"/>
      <c r="J37" s="147"/>
      <c r="K37" s="147"/>
      <c r="BO37" s="73">
        <v>40</v>
      </c>
      <c r="BP37" s="73">
        <v>38</v>
      </c>
      <c r="BQ37" s="73">
        <v>104</v>
      </c>
      <c r="BR37" s="73">
        <v>83</v>
      </c>
      <c r="BS37" s="73">
        <v>39</v>
      </c>
      <c r="BT37" s="73">
        <v>59</v>
      </c>
      <c r="BU37" s="73">
        <v>126</v>
      </c>
      <c r="BV37" s="73">
        <v>48</v>
      </c>
      <c r="BW37" s="73">
        <v>42</v>
      </c>
      <c r="BX37" s="73">
        <v>69</v>
      </c>
      <c r="BY37" s="73">
        <v>157</v>
      </c>
      <c r="BZ37" s="73">
        <v>77</v>
      </c>
      <c r="CA37" s="73">
        <v>59</v>
      </c>
      <c r="CB37" s="73">
        <v>66</v>
      </c>
      <c r="CC37" s="73">
        <v>168</v>
      </c>
      <c r="CD37" s="73">
        <v>87</v>
      </c>
      <c r="CE37" s="73">
        <v>80</v>
      </c>
      <c r="CF37" s="73">
        <v>84</v>
      </c>
      <c r="CP37" s="147"/>
      <c r="CQ37" s="147"/>
      <c r="CR37" s="147"/>
      <c r="CS37" s="147"/>
      <c r="CT37" s="146"/>
      <c r="CU37" s="146"/>
      <c r="CV37" s="147"/>
      <c r="CW37" s="146"/>
      <c r="CX37" s="146"/>
      <c r="CY37" s="147"/>
      <c r="CZ37" s="147"/>
      <c r="DA37" s="147"/>
      <c r="DB37" s="147"/>
      <c r="DC37" s="147"/>
      <c r="DD37" s="147"/>
      <c r="DE37" s="147"/>
      <c r="DF37" s="147"/>
      <c r="DG37" s="147"/>
      <c r="DH37" s="146">
        <f t="shared" si="16"/>
        <v>265</v>
      </c>
      <c r="DI37" s="146">
        <f t="shared" si="103"/>
        <v>272</v>
      </c>
      <c r="DJ37" s="146">
        <f t="shared" si="104"/>
        <v>345</v>
      </c>
      <c r="DK37" s="146">
        <f t="shared" si="105"/>
        <v>380</v>
      </c>
      <c r="DL37" s="146">
        <f t="shared" ref="DL37" si="108">+DK37*0.9</f>
        <v>342</v>
      </c>
      <c r="DM37" s="146">
        <f t="shared" si="86"/>
        <v>307.8</v>
      </c>
      <c r="DN37" s="146">
        <f t="shared" si="86"/>
        <v>277.02000000000004</v>
      </c>
      <c r="DO37" s="146">
        <f t="shared" si="86"/>
        <v>249.31800000000004</v>
      </c>
      <c r="DP37" s="146">
        <f t="shared" si="86"/>
        <v>224.38620000000003</v>
      </c>
      <c r="DQ37" s="146">
        <f t="shared" si="86"/>
        <v>201.94758000000004</v>
      </c>
      <c r="DR37" s="146">
        <f t="shared" si="86"/>
        <v>181.75282200000004</v>
      </c>
      <c r="DS37" s="146">
        <f t="shared" si="86"/>
        <v>163.57753980000004</v>
      </c>
      <c r="DT37" s="146">
        <f t="shared" si="86"/>
        <v>147.21978582000003</v>
      </c>
      <c r="DU37" s="146">
        <f t="shared" si="86"/>
        <v>132.49780723800004</v>
      </c>
      <c r="DV37" s="146">
        <f t="shared" si="86"/>
        <v>119.24802651420003</v>
      </c>
      <c r="DW37" s="146">
        <f t="shared" si="86"/>
        <v>107.32322386278004</v>
      </c>
    </row>
    <row r="38" spans="2:127" x14ac:dyDescent="0.2">
      <c r="B38" s="112" t="s">
        <v>1387</v>
      </c>
      <c r="C38" s="172"/>
      <c r="D38" s="172"/>
      <c r="E38" s="172"/>
      <c r="F38" s="172"/>
      <c r="G38" s="147"/>
      <c r="H38" s="147"/>
      <c r="I38" s="147"/>
      <c r="J38" s="147"/>
      <c r="K38" s="147"/>
      <c r="BO38" s="73">
        <v>0</v>
      </c>
      <c r="BP38" s="73">
        <v>0</v>
      </c>
      <c r="BQ38" s="73">
        <v>8</v>
      </c>
      <c r="BR38" s="73">
        <v>25</v>
      </c>
      <c r="BS38" s="73">
        <v>21</v>
      </c>
      <c r="BT38" s="73">
        <v>21</v>
      </c>
      <c r="BU38" s="73">
        <v>25</v>
      </c>
      <c r="BV38" s="73">
        <v>22</v>
      </c>
      <c r="BW38" s="73">
        <v>25</v>
      </c>
      <c r="BX38" s="73">
        <v>30</v>
      </c>
      <c r="BY38" s="73">
        <v>36</v>
      </c>
      <c r="BZ38" s="73">
        <v>27</v>
      </c>
      <c r="CA38" s="73">
        <v>11</v>
      </c>
      <c r="CB38" s="73">
        <v>9</v>
      </c>
      <c r="CC38" s="73">
        <v>10</v>
      </c>
      <c r="CD38" s="73">
        <v>6</v>
      </c>
      <c r="CE38" s="73">
        <v>0</v>
      </c>
      <c r="CF38" s="73">
        <v>-2</v>
      </c>
      <c r="CP38" s="147"/>
      <c r="CQ38" s="147"/>
      <c r="CR38" s="147"/>
      <c r="CS38" s="147"/>
      <c r="CT38" s="146"/>
      <c r="CU38" s="146"/>
      <c r="CV38" s="147"/>
      <c r="CW38" s="146"/>
      <c r="CX38" s="146"/>
      <c r="CY38" s="147"/>
      <c r="CZ38" s="147"/>
      <c r="DA38" s="147"/>
      <c r="DB38" s="147"/>
      <c r="DC38" s="147"/>
      <c r="DD38" s="147"/>
      <c r="DE38" s="147"/>
      <c r="DF38" s="147"/>
      <c r="DG38" s="147"/>
      <c r="DH38" s="146">
        <f t="shared" si="16"/>
        <v>33</v>
      </c>
      <c r="DI38" s="146">
        <f t="shared" si="103"/>
        <v>89</v>
      </c>
      <c r="DJ38" s="146">
        <f t="shared" si="104"/>
        <v>118</v>
      </c>
      <c r="DK38" s="146">
        <f t="shared" si="105"/>
        <v>36</v>
      </c>
      <c r="DL38" s="147">
        <f>+DK38*1.5</f>
        <v>54</v>
      </c>
      <c r="DM38" s="147">
        <f>+DL38*1.5</f>
        <v>81</v>
      </c>
      <c r="DN38" s="147">
        <f>+DM38*1.3</f>
        <v>105.3</v>
      </c>
      <c r="DO38" s="147">
        <f>+DN38*1.2</f>
        <v>126.35999999999999</v>
      </c>
      <c r="DP38" s="167">
        <f>+DO38*1.05</f>
        <v>132.678</v>
      </c>
      <c r="DQ38" s="167">
        <f t="shared" ref="DQ38:DW38" si="109">+DP38*1.05</f>
        <v>139.31190000000001</v>
      </c>
      <c r="DR38" s="167">
        <f t="shared" si="109"/>
        <v>146.27749500000002</v>
      </c>
      <c r="DS38" s="167">
        <f t="shared" si="109"/>
        <v>153.59136975000001</v>
      </c>
      <c r="DT38" s="167">
        <f t="shared" si="109"/>
        <v>161.27093823750002</v>
      </c>
      <c r="DU38" s="167">
        <f t="shared" si="109"/>
        <v>169.33448514937504</v>
      </c>
      <c r="DV38" s="167">
        <f t="shared" si="109"/>
        <v>177.80120940684381</v>
      </c>
      <c r="DW38" s="167">
        <f t="shared" si="109"/>
        <v>186.69126987718602</v>
      </c>
    </row>
    <row r="39" spans="2:127" x14ac:dyDescent="0.2">
      <c r="B39" s="65" t="s">
        <v>70</v>
      </c>
      <c r="C39" s="172">
        <v>10</v>
      </c>
      <c r="D39" s="172">
        <v>11</v>
      </c>
      <c r="E39" s="172">
        <v>16</v>
      </c>
      <c r="F39" s="172">
        <v>21</v>
      </c>
      <c r="G39" s="147">
        <v>22</v>
      </c>
      <c r="H39" s="147">
        <v>10</v>
      </c>
      <c r="I39" s="147">
        <v>12</v>
      </c>
      <c r="J39" s="147">
        <v>8</v>
      </c>
      <c r="K39" s="73">
        <f>399-K99-K98-K96-K97-K95-K100</f>
        <v>8</v>
      </c>
      <c r="L39" s="73">
        <f>393-L99-L98-L96-L97-L95-L100</f>
        <v>8</v>
      </c>
      <c r="M39" s="73">
        <f>363-M99-M98-M96-M97-M95-M100</f>
        <v>6</v>
      </c>
      <c r="N39" s="73">
        <f>360-N99-N98-N96-N97-N95-N100</f>
        <v>6</v>
      </c>
      <c r="O39" s="73">
        <f>359-O99-O98-O96-O97-O95-O100</f>
        <v>5</v>
      </c>
      <c r="P39" s="73">
        <f>364-P99-P98-P96-P97-P95-P100</f>
        <v>8</v>
      </c>
      <c r="Q39" s="73">
        <f>360-Q99-Q98-Q96-Q97-Q95-Q100</f>
        <v>7</v>
      </c>
      <c r="R39" s="73">
        <f>359-R99-R98-R96-R97-R95-R100</f>
        <v>4</v>
      </c>
      <c r="S39" s="73">
        <f>358-S99-S98-S96-S97-S95-S100</f>
        <v>6</v>
      </c>
      <c r="AA39" s="73">
        <f>373-AA99-AA96-AA100-AA95-AA98</f>
        <v>53</v>
      </c>
      <c r="AB39" s="73">
        <f>389-AB99-AB96-AB100-AB95-AB98-AB94</f>
        <v>42</v>
      </c>
      <c r="AC39" s="73">
        <f>401-AC99-AC96-AC100-AC95-AC98-AC94</f>
        <v>39</v>
      </c>
      <c r="AD39" s="73">
        <f>403-AD99-AD96-AD100-AD95-AD98-AD94</f>
        <v>39</v>
      </c>
      <c r="AE39" s="73">
        <f>353-AE99-AE96-AE100-AE95-AE98-AE94</f>
        <v>31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P39" s="73">
        <v>0</v>
      </c>
      <c r="BO39" s="73">
        <v>11</v>
      </c>
      <c r="BP39" s="73">
        <v>15</v>
      </c>
      <c r="BQ39" s="73">
        <v>7</v>
      </c>
      <c r="BR39" s="73">
        <v>8</v>
      </c>
      <c r="BS39" s="73">
        <v>32</v>
      </c>
      <c r="BT39" s="73">
        <v>32</v>
      </c>
      <c r="BU39" s="73">
        <v>32</v>
      </c>
      <c r="BV39" s="73">
        <v>31</v>
      </c>
      <c r="BW39" s="73">
        <v>23</v>
      </c>
      <c r="BX39" s="73">
        <v>26</v>
      </c>
      <c r="BY39" s="73">
        <v>26</v>
      </c>
      <c r="BZ39" s="73">
        <v>20</v>
      </c>
      <c r="CA39" s="73">
        <v>15</v>
      </c>
      <c r="CB39" s="73">
        <v>16</v>
      </c>
      <c r="CC39" s="73">
        <v>13</v>
      </c>
      <c r="CD39" s="73">
        <v>18</v>
      </c>
      <c r="CE39" s="73">
        <v>9</v>
      </c>
      <c r="CF39" s="73">
        <v>11</v>
      </c>
      <c r="CP39" s="147"/>
      <c r="CQ39" s="147">
        <v>51</v>
      </c>
      <c r="CR39" s="147">
        <v>58</v>
      </c>
      <c r="CS39" s="146">
        <v>52</v>
      </c>
      <c r="CT39" s="147">
        <f>SUM(K39:N39)</f>
        <v>28</v>
      </c>
      <c r="CU39" s="147">
        <f>SUM(O39:R39)</f>
        <v>24</v>
      </c>
      <c r="CV39" s="147">
        <f>SUM(S39:V39)</f>
        <v>6</v>
      </c>
      <c r="CW39" s="146"/>
      <c r="CX39" s="146">
        <f>SUM(AA39:AD39)</f>
        <v>173</v>
      </c>
      <c r="CY39" s="146">
        <f>SUM(AE39:AH39)</f>
        <v>31</v>
      </c>
      <c r="CZ39" s="146"/>
      <c r="DA39" s="146"/>
      <c r="DB39" s="146"/>
      <c r="DC39" s="146"/>
      <c r="DD39" s="146"/>
      <c r="DE39" s="146"/>
      <c r="DH39" s="146">
        <f t="shared" si="16"/>
        <v>41</v>
      </c>
      <c r="DI39" s="146">
        <f t="shared" si="103"/>
        <v>127</v>
      </c>
      <c r="DJ39" s="146">
        <f t="shared" si="104"/>
        <v>95</v>
      </c>
      <c r="DK39" s="146">
        <f t="shared" si="105"/>
        <v>62</v>
      </c>
      <c r="DL39" s="151">
        <f>+DK39*0.9</f>
        <v>55.800000000000004</v>
      </c>
      <c r="DM39" s="151">
        <f t="shared" ref="DM39:DW39" si="110">+DL39*0.9</f>
        <v>50.220000000000006</v>
      </c>
      <c r="DN39" s="151">
        <f t="shared" si="110"/>
        <v>45.198000000000008</v>
      </c>
      <c r="DO39" s="151">
        <f t="shared" si="110"/>
        <v>40.678200000000011</v>
      </c>
      <c r="DP39" s="151">
        <f t="shared" si="110"/>
        <v>36.610380000000013</v>
      </c>
      <c r="DQ39" s="151">
        <f t="shared" si="110"/>
        <v>32.949342000000016</v>
      </c>
      <c r="DR39" s="151">
        <f t="shared" si="110"/>
        <v>29.654407800000016</v>
      </c>
      <c r="DS39" s="151">
        <f t="shared" si="110"/>
        <v>26.688967020000014</v>
      </c>
      <c r="DT39" s="151">
        <f t="shared" si="110"/>
        <v>24.020070318000013</v>
      </c>
      <c r="DU39" s="151">
        <f t="shared" si="110"/>
        <v>21.618063286200012</v>
      </c>
      <c r="DV39" s="151">
        <f t="shared" si="110"/>
        <v>19.456256957580013</v>
      </c>
      <c r="DW39" s="151">
        <f t="shared" si="110"/>
        <v>17.510631261822013</v>
      </c>
    </row>
    <row r="40" spans="2:127" x14ac:dyDescent="0.2">
      <c r="B40" s="112" t="s">
        <v>1383</v>
      </c>
      <c r="C40" s="172"/>
      <c r="D40" s="172"/>
      <c r="E40" s="172"/>
      <c r="F40" s="172"/>
      <c r="G40" s="147"/>
      <c r="H40" s="147"/>
      <c r="I40" s="147"/>
      <c r="J40" s="147"/>
      <c r="K40" s="147"/>
      <c r="BO40" s="73">
        <v>0</v>
      </c>
      <c r="BP40" s="73">
        <v>0</v>
      </c>
      <c r="BQ40" s="73">
        <v>3</v>
      </c>
      <c r="BR40" s="73">
        <v>8</v>
      </c>
      <c r="BS40" s="73">
        <v>7</v>
      </c>
      <c r="BT40" s="73">
        <v>10</v>
      </c>
      <c r="BU40" s="73">
        <v>13</v>
      </c>
      <c r="BV40" s="73">
        <v>15</v>
      </c>
      <c r="BW40" s="73">
        <v>16</v>
      </c>
      <c r="BX40" s="73">
        <v>19</v>
      </c>
      <c r="BY40" s="73">
        <v>21</v>
      </c>
      <c r="BZ40" s="73">
        <v>26</v>
      </c>
      <c r="CA40" s="73">
        <v>25</v>
      </c>
      <c r="CB40" s="73">
        <v>27</v>
      </c>
      <c r="CC40" s="73">
        <v>30</v>
      </c>
      <c r="CD40" s="73">
        <v>35</v>
      </c>
      <c r="CE40" s="73">
        <v>33</v>
      </c>
      <c r="CF40" s="73">
        <v>38</v>
      </c>
      <c r="CP40" s="147"/>
      <c r="CQ40" s="147"/>
      <c r="CR40" s="147"/>
      <c r="CS40" s="147"/>
      <c r="CT40" s="146"/>
      <c r="CU40" s="146"/>
      <c r="CV40" s="147"/>
      <c r="CW40" s="146"/>
      <c r="CX40" s="146"/>
      <c r="CY40" s="147"/>
      <c r="CZ40" s="147"/>
      <c r="DA40" s="147"/>
      <c r="DB40" s="147"/>
      <c r="DC40" s="147"/>
      <c r="DD40" s="147"/>
      <c r="DE40" s="147"/>
      <c r="DF40" s="147"/>
      <c r="DG40" s="147"/>
      <c r="DH40" s="146">
        <f t="shared" si="16"/>
        <v>11</v>
      </c>
      <c r="DI40" s="146">
        <f t="shared" si="103"/>
        <v>45</v>
      </c>
      <c r="DJ40" s="146">
        <f t="shared" si="104"/>
        <v>82</v>
      </c>
      <c r="DK40" s="146">
        <f t="shared" si="105"/>
        <v>117</v>
      </c>
      <c r="DL40" s="147">
        <f>+DK40*1.2</f>
        <v>140.4</v>
      </c>
      <c r="DM40" s="147">
        <f>+DL40*1.2</f>
        <v>168.48</v>
      </c>
      <c r="DN40" s="147">
        <f>+DM40*1.2</f>
        <v>202.17599999999999</v>
      </c>
      <c r="DO40" s="151">
        <f>+DN40*0.9</f>
        <v>181.95839999999998</v>
      </c>
      <c r="DP40" s="151">
        <f>+DO40*0.9</f>
        <v>163.76255999999998</v>
      </c>
      <c r="DQ40" s="151">
        <f t="shared" ref="DQ40:DW40" si="111">+DP40*0.9</f>
        <v>147.386304</v>
      </c>
      <c r="DR40" s="151">
        <f t="shared" si="111"/>
        <v>132.64767359999999</v>
      </c>
      <c r="DS40" s="151">
        <f t="shared" si="111"/>
        <v>119.38290624</v>
      </c>
      <c r="DT40" s="151">
        <f t="shared" si="111"/>
        <v>107.44461561599999</v>
      </c>
      <c r="DU40" s="151">
        <f t="shared" si="111"/>
        <v>96.700154054400002</v>
      </c>
      <c r="DV40" s="151">
        <f t="shared" si="111"/>
        <v>87.030138648960005</v>
      </c>
      <c r="DW40" s="151">
        <f t="shared" si="111"/>
        <v>78.327124784064011</v>
      </c>
    </row>
    <row r="41" spans="2:127" x14ac:dyDescent="0.2">
      <c r="B41" s="65" t="s">
        <v>334</v>
      </c>
      <c r="C41" s="172">
        <v>105</v>
      </c>
      <c r="D41" s="172">
        <v>100</v>
      </c>
      <c r="E41" s="172">
        <v>93</v>
      </c>
      <c r="F41" s="172">
        <v>110</v>
      </c>
      <c r="G41" s="147">
        <v>105</v>
      </c>
      <c r="H41" s="147">
        <v>97</v>
      </c>
      <c r="I41" s="147">
        <v>102</v>
      </c>
      <c r="J41" s="147">
        <v>124</v>
      </c>
      <c r="K41" s="73">
        <f>1309-K3-K22-K72-K77</f>
        <v>110</v>
      </c>
      <c r="L41" s="73">
        <f>1232-L3-L22-L72-L77</f>
        <v>104</v>
      </c>
      <c r="M41" s="73">
        <f>1185-M3-M22-M72-M77</f>
        <v>94</v>
      </c>
      <c r="N41" s="73">
        <f>1269-N3-N22-N72-N77</f>
        <v>113</v>
      </c>
      <c r="O41" s="73">
        <f>1224-O3-O22-O72-O77</f>
        <v>106</v>
      </c>
      <c r="P41" s="73">
        <f>1260-P3-P22-P72-P77</f>
        <v>113</v>
      </c>
      <c r="Q41" s="73">
        <f>1185-Q3-Q22-Q72-Q77</f>
        <v>98</v>
      </c>
      <c r="R41" s="73">
        <f>1363-R3-R22-R72-R77</f>
        <v>127</v>
      </c>
      <c r="S41" s="73">
        <f>1355-S3-S22-S72-S77-S30</f>
        <v>113</v>
      </c>
      <c r="T41" s="73">
        <f>1383-T3-T22-T72-T77-T30</f>
        <v>113</v>
      </c>
      <c r="U41" s="73">
        <f>1348-U3-U22-U72-U77-U30</f>
        <v>107</v>
      </c>
      <c r="V41" s="73">
        <f>1731-V3-V22-V72-V77-V30</f>
        <v>149</v>
      </c>
      <c r="W41" s="73">
        <f>1735-W3-W22-W72-W77-W30-W15</f>
        <v>48</v>
      </c>
      <c r="X41" s="73">
        <f>1734-X3-X22-X72-X77-X30-X82-X15</f>
        <v>26</v>
      </c>
      <c r="Y41" s="73">
        <f>1594-Y3-Y22-Y72-Y77-Y30-Y82-Y15</f>
        <v>32</v>
      </c>
      <c r="Z41" s="73">
        <f>1914-Z3-Z22-Z72-Z77-Z30-Z82-Z15</f>
        <v>36</v>
      </c>
      <c r="AA41" s="73">
        <f>1766-AA3-AA22-AA72-AA77-AA30-AA82-AA15</f>
        <v>28</v>
      </c>
      <c r="AB41" s="73">
        <f>1829-AB3-AB22-AB72-AB77-AB30-AB82-AB15</f>
        <v>29</v>
      </c>
      <c r="AC41" s="73">
        <f>1726-AC3-AC22-AC72-AC77-AC30-AC82-AC15</f>
        <v>27</v>
      </c>
      <c r="AD41" s="73">
        <f>1917-AD3-AD22-AD72-AD77-AD30-AD82-AD15</f>
        <v>49</v>
      </c>
      <c r="AE41" s="73">
        <f>1815-AE3-AE22-AE72-AE77-AE30-AE82-AE15-AE68</f>
        <v>26</v>
      </c>
      <c r="AF41" s="73">
        <f>1812-64-31-196-1270-43-149-15-20</f>
        <v>24</v>
      </c>
      <c r="AG41" s="73">
        <f>1714-50-28-183-1217-43-136-12-21</f>
        <v>24</v>
      </c>
      <c r="AH41" s="73">
        <f>1957-55-31-232-1351-44-171-22-24</f>
        <v>27</v>
      </c>
      <c r="AI41" s="73">
        <f>1841-69-42-199-1252-38-155-36-24</f>
        <v>26</v>
      </c>
      <c r="AJ41" s="73">
        <v>26</v>
      </c>
      <c r="AP41" s="73">
        <v>34</v>
      </c>
      <c r="AR41" s="73">
        <v>68</v>
      </c>
      <c r="BO41" s="73">
        <v>85</v>
      </c>
      <c r="BP41" s="73">
        <v>0</v>
      </c>
      <c r="BQ41" s="73">
        <v>32</v>
      </c>
      <c r="BR41" s="73">
        <v>37</v>
      </c>
      <c r="BS41" s="73">
        <v>41</v>
      </c>
      <c r="BT41" s="73">
        <v>32</v>
      </c>
      <c r="BU41" s="73">
        <v>28</v>
      </c>
      <c r="BV41" s="73">
        <v>36</v>
      </c>
      <c r="BW41" s="73">
        <v>35</v>
      </c>
      <c r="BX41" s="73">
        <v>38</v>
      </c>
      <c r="BY41" s="73">
        <v>34</v>
      </c>
      <c r="BZ41" s="73">
        <v>36</v>
      </c>
      <c r="CA41" s="73">
        <v>40</v>
      </c>
      <c r="CB41" s="73">
        <v>33</v>
      </c>
      <c r="CC41" s="73">
        <v>27</v>
      </c>
      <c r="CD41" s="73">
        <v>27</v>
      </c>
      <c r="CE41" s="73">
        <v>156</v>
      </c>
      <c r="CF41" s="73">
        <v>164</v>
      </c>
      <c r="CP41" s="147">
        <v>0</v>
      </c>
      <c r="CQ41" s="147">
        <v>468</v>
      </c>
      <c r="CR41" s="147">
        <v>408</v>
      </c>
      <c r="CS41" s="147">
        <v>428</v>
      </c>
      <c r="CT41" s="147">
        <f>SUM(K41:N41)</f>
        <v>421</v>
      </c>
      <c r="CU41" s="147">
        <f>SUM(O41:R41)</f>
        <v>444</v>
      </c>
      <c r="CV41" s="147">
        <f>SUM(S41:V41)</f>
        <v>482</v>
      </c>
      <c r="CW41" s="146">
        <f>SUM(W41:Z41)</f>
        <v>142</v>
      </c>
      <c r="CX41" s="147">
        <f>SUM(AA41:AD41)</f>
        <v>133</v>
      </c>
      <c r="CY41" s="146">
        <f>SUM(AE41:AH41)</f>
        <v>101</v>
      </c>
      <c r="CZ41" s="146">
        <f t="shared" ref="CZ41:DG41" si="112">CY41*0.9</f>
        <v>90.9</v>
      </c>
      <c r="DA41" s="146">
        <f t="shared" si="112"/>
        <v>81.81</v>
      </c>
      <c r="DB41" s="146">
        <f t="shared" si="112"/>
        <v>73.629000000000005</v>
      </c>
      <c r="DC41" s="146">
        <f t="shared" si="112"/>
        <v>66.266100000000009</v>
      </c>
      <c r="DD41" s="146">
        <f t="shared" si="112"/>
        <v>59.639490000000009</v>
      </c>
      <c r="DE41" s="146">
        <f t="shared" si="112"/>
        <v>53.67554100000001</v>
      </c>
      <c r="DF41" s="146">
        <f t="shared" si="112"/>
        <v>48.30798690000001</v>
      </c>
      <c r="DG41" s="146">
        <f t="shared" si="112"/>
        <v>43.477188210000008</v>
      </c>
      <c r="DH41" s="146">
        <f t="shared" si="16"/>
        <v>154</v>
      </c>
      <c r="DI41" s="146">
        <f t="shared" si="103"/>
        <v>137</v>
      </c>
      <c r="DJ41" s="146">
        <f t="shared" si="104"/>
        <v>143</v>
      </c>
      <c r="DK41" s="146">
        <f t="shared" si="105"/>
        <v>127</v>
      </c>
      <c r="DL41" s="146">
        <f t="shared" ref="DL41:DM42" si="113">DK41*0.9</f>
        <v>114.3</v>
      </c>
      <c r="DM41" s="146">
        <f t="shared" si="113"/>
        <v>102.87</v>
      </c>
      <c r="DN41" s="146">
        <f t="shared" ref="DN41:DN42" si="114">DM41*0.9</f>
        <v>92.583000000000013</v>
      </c>
      <c r="DO41" s="146">
        <f t="shared" ref="DO41:DO42" si="115">DN41*0.9</f>
        <v>83.324700000000007</v>
      </c>
      <c r="DP41" s="146">
        <f t="shared" ref="DP41:DP42" si="116">DO41*0.9</f>
        <v>74.992230000000006</v>
      </c>
      <c r="DQ41" s="146">
        <f t="shared" ref="DQ41:DQ42" si="117">DP41*0.9</f>
        <v>67.493007000000006</v>
      </c>
      <c r="DR41" s="146">
        <f t="shared" ref="DR41:DR42" si="118">DQ41*0.9</f>
        <v>60.743706300000007</v>
      </c>
      <c r="DS41" s="146">
        <f t="shared" ref="DS41:DS42" si="119">DR41*0.9</f>
        <v>54.669335670000009</v>
      </c>
      <c r="DT41" s="146">
        <f t="shared" ref="DT41:DT42" si="120">DS41*0.9</f>
        <v>49.202402103000011</v>
      </c>
      <c r="DU41" s="146">
        <f t="shared" ref="DU41:DU42" si="121">DT41*0.9</f>
        <v>44.28216189270001</v>
      </c>
      <c r="DV41" s="146">
        <f t="shared" ref="DV41:DV42" si="122">DU41*0.9</f>
        <v>39.853945703430007</v>
      </c>
      <c r="DW41" s="146">
        <f t="shared" ref="DW41:DW42" si="123">DV41*0.9</f>
        <v>35.86855113308701</v>
      </c>
    </row>
    <row r="42" spans="2:127" x14ac:dyDescent="0.2">
      <c r="B42" s="65" t="s">
        <v>23</v>
      </c>
      <c r="C42" s="172"/>
      <c r="D42" s="172"/>
      <c r="E42" s="172"/>
      <c r="F42" s="172"/>
      <c r="G42" s="147"/>
      <c r="H42" s="147"/>
      <c r="I42" s="147"/>
      <c r="J42" s="147"/>
      <c r="R42" s="73">
        <v>9</v>
      </c>
      <c r="S42" s="73">
        <v>12</v>
      </c>
      <c r="T42" s="73">
        <v>15</v>
      </c>
      <c r="U42" s="73">
        <v>43</v>
      </c>
      <c r="V42" s="73">
        <v>55</v>
      </c>
      <c r="W42" s="73">
        <v>48</v>
      </c>
      <c r="X42" s="73">
        <v>73</v>
      </c>
      <c r="Y42" s="73">
        <v>28</v>
      </c>
      <c r="Z42" s="73">
        <f>Y42+5</f>
        <v>33</v>
      </c>
      <c r="AA42" s="73">
        <v>77</v>
      </c>
      <c r="AB42" s="73">
        <v>50</v>
      </c>
      <c r="AC42" s="73">
        <v>48</v>
      </c>
      <c r="AD42" s="73">
        <v>67</v>
      </c>
      <c r="AE42" s="73">
        <v>109</v>
      </c>
      <c r="AF42" s="73">
        <v>65</v>
      </c>
      <c r="AG42" s="73">
        <v>232</v>
      </c>
      <c r="AH42" s="73">
        <v>100</v>
      </c>
      <c r="AI42" s="73">
        <v>131</v>
      </c>
      <c r="AJ42" s="73">
        <v>50</v>
      </c>
      <c r="AK42" s="73">
        <v>45</v>
      </c>
      <c r="AP42" s="73">
        <v>45</v>
      </c>
      <c r="AR42" s="73">
        <v>22</v>
      </c>
      <c r="BO42" s="73">
        <v>12</v>
      </c>
      <c r="BP42" s="73">
        <v>34</v>
      </c>
      <c r="BQ42" s="73">
        <v>49</v>
      </c>
      <c r="BR42" s="73">
        <v>44</v>
      </c>
      <c r="BS42" s="73">
        <v>45</v>
      </c>
      <c r="BT42" s="73">
        <v>36</v>
      </c>
      <c r="BU42" s="73">
        <v>34</v>
      </c>
      <c r="BV42" s="73">
        <v>23</v>
      </c>
      <c r="BW42" s="73">
        <v>29</v>
      </c>
      <c r="BX42" s="73">
        <v>22</v>
      </c>
      <c r="BY42" s="73">
        <v>40</v>
      </c>
      <c r="BZ42" s="73">
        <v>26</v>
      </c>
      <c r="CA42" s="73">
        <v>27</v>
      </c>
      <c r="CB42" s="73">
        <v>52</v>
      </c>
      <c r="CC42" s="73">
        <v>31</v>
      </c>
      <c r="CD42" s="73">
        <v>10</v>
      </c>
      <c r="CE42" s="73">
        <v>32</v>
      </c>
      <c r="CF42" s="73">
        <v>16</v>
      </c>
      <c r="CP42" s="147" t="s">
        <v>449</v>
      </c>
      <c r="CQ42" s="147" t="s">
        <v>449</v>
      </c>
      <c r="CR42" s="147" t="s">
        <v>449</v>
      </c>
      <c r="CS42" s="146" t="s">
        <v>449</v>
      </c>
      <c r="CT42" s="146" t="s">
        <v>449</v>
      </c>
      <c r="CU42" s="147">
        <f>SUM(O42:R42)</f>
        <v>9</v>
      </c>
      <c r="CV42" s="147">
        <f>SUM(S42:V42)</f>
        <v>125</v>
      </c>
      <c r="CW42" s="146">
        <f>SUM(W42:Z42)</f>
        <v>182</v>
      </c>
      <c r="CX42" s="146">
        <f>SUM(AA42:AD42)</f>
        <v>242</v>
      </c>
      <c r="CY42" s="146"/>
      <c r="CZ42" s="146"/>
      <c r="DA42" s="146"/>
      <c r="DB42" s="146"/>
      <c r="DC42" s="146"/>
      <c r="DD42" s="146"/>
      <c r="DE42" s="146"/>
      <c r="DF42" s="146"/>
      <c r="DG42" s="146"/>
      <c r="DH42" s="146">
        <f t="shared" si="16"/>
        <v>139</v>
      </c>
      <c r="DI42" s="146">
        <f t="shared" si="103"/>
        <v>138</v>
      </c>
      <c r="DJ42" s="146">
        <f t="shared" si="104"/>
        <v>117</v>
      </c>
      <c r="DK42" s="146">
        <f t="shared" si="105"/>
        <v>120</v>
      </c>
      <c r="DL42" s="146">
        <f t="shared" si="113"/>
        <v>108</v>
      </c>
      <c r="DM42" s="146">
        <f t="shared" ref="DM42" si="124">DL42*0.9</f>
        <v>97.2</v>
      </c>
      <c r="DN42" s="146">
        <f t="shared" si="114"/>
        <v>87.48</v>
      </c>
      <c r="DO42" s="146">
        <f t="shared" si="115"/>
        <v>78.731999999999999</v>
      </c>
      <c r="DP42" s="146">
        <f t="shared" si="116"/>
        <v>70.858800000000002</v>
      </c>
      <c r="DQ42" s="146">
        <f t="shared" si="117"/>
        <v>63.772920000000006</v>
      </c>
      <c r="DR42" s="146">
        <f t="shared" si="118"/>
        <v>57.395628000000009</v>
      </c>
      <c r="DS42" s="146">
        <f t="shared" si="119"/>
        <v>51.656065200000008</v>
      </c>
      <c r="DT42" s="146">
        <f t="shared" si="120"/>
        <v>46.49045868000001</v>
      </c>
      <c r="DU42" s="146">
        <f t="shared" si="121"/>
        <v>41.841412812000009</v>
      </c>
      <c r="DV42" s="146">
        <f t="shared" si="122"/>
        <v>37.65727153080001</v>
      </c>
      <c r="DW42" s="146">
        <f t="shared" si="123"/>
        <v>33.89154437772001</v>
      </c>
    </row>
    <row r="43" spans="2:127" x14ac:dyDescent="0.2">
      <c r="B43" s="65" t="s">
        <v>362</v>
      </c>
      <c r="C43" s="172"/>
      <c r="D43" s="172"/>
      <c r="E43" s="172"/>
      <c r="F43" s="172"/>
      <c r="G43" s="147"/>
      <c r="H43" s="147"/>
      <c r="I43" s="147"/>
      <c r="J43" s="147"/>
      <c r="K43" s="146">
        <v>0</v>
      </c>
      <c r="L43" s="73">
        <v>0</v>
      </c>
      <c r="M43" s="73">
        <v>0</v>
      </c>
      <c r="N43" s="73">
        <v>107</v>
      </c>
      <c r="O43" s="73">
        <v>1</v>
      </c>
      <c r="P43" s="73">
        <v>4</v>
      </c>
      <c r="Q43" s="73">
        <v>141</v>
      </c>
      <c r="R43" s="73">
        <v>174</v>
      </c>
      <c r="S43" s="73">
        <v>5</v>
      </c>
      <c r="T43" s="73">
        <f>5+34</f>
        <v>39</v>
      </c>
      <c r="U43" s="73">
        <v>144</v>
      </c>
      <c r="V43" s="73">
        <v>66</v>
      </c>
      <c r="W43" s="73">
        <v>6</v>
      </c>
      <c r="X43" s="73">
        <v>14</v>
      </c>
      <c r="Y43" s="73">
        <v>147</v>
      </c>
      <c r="Z43" s="73">
        <v>42</v>
      </c>
      <c r="AA43" s="73">
        <v>5</v>
      </c>
      <c r="AB43" s="73">
        <v>0</v>
      </c>
      <c r="AC43" s="73">
        <v>167</v>
      </c>
      <c r="AD43" s="73">
        <v>69</v>
      </c>
      <c r="AE43" s="73">
        <v>9</v>
      </c>
      <c r="AF43" s="73">
        <v>8</v>
      </c>
      <c r="AG43" s="73">
        <v>159</v>
      </c>
      <c r="AH43" s="73">
        <v>54</v>
      </c>
      <c r="AI43" s="73">
        <v>7</v>
      </c>
      <c r="AJ43" s="73">
        <v>5</v>
      </c>
      <c r="AK43" s="73">
        <v>138</v>
      </c>
      <c r="AP43" s="73">
        <v>87</v>
      </c>
      <c r="AR43" s="73">
        <v>6</v>
      </c>
      <c r="BO43" s="73">
        <v>21</v>
      </c>
      <c r="BP43" s="73">
        <v>15</v>
      </c>
      <c r="BQ43" s="73">
        <v>445</v>
      </c>
      <c r="BR43" s="73">
        <v>252</v>
      </c>
      <c r="BS43" s="73">
        <v>18</v>
      </c>
      <c r="BT43" s="73">
        <v>33</v>
      </c>
      <c r="BU43" s="73">
        <v>384</v>
      </c>
      <c r="BV43" s="73">
        <v>244</v>
      </c>
      <c r="BW43" s="73">
        <v>18</v>
      </c>
      <c r="BX43" s="73">
        <v>32</v>
      </c>
      <c r="BY43" s="73">
        <v>388</v>
      </c>
      <c r="BZ43" s="73">
        <v>276</v>
      </c>
      <c r="CA43" s="73">
        <v>12</v>
      </c>
      <c r="CB43" s="73">
        <v>23</v>
      </c>
      <c r="CC43" s="73">
        <v>374</v>
      </c>
      <c r="CD43" s="73">
        <v>95</v>
      </c>
      <c r="CE43" s="73">
        <v>13</v>
      </c>
      <c r="CF43" s="73">
        <v>7</v>
      </c>
      <c r="CP43" s="147">
        <v>254</v>
      </c>
      <c r="CQ43" s="147">
        <v>336</v>
      </c>
      <c r="CR43" s="147">
        <v>0</v>
      </c>
      <c r="CS43" s="146">
        <v>0</v>
      </c>
      <c r="CT43" s="147">
        <f>SUM(K43:N43)</f>
        <v>107</v>
      </c>
      <c r="CU43" s="147">
        <f>SUM(O43:R43)</f>
        <v>320</v>
      </c>
      <c r="CV43" s="147">
        <f>SUM(S43:V43)</f>
        <v>254</v>
      </c>
      <c r="CW43" s="146">
        <f t="shared" ref="CW43" si="125">SUM(W43:Z43)</f>
        <v>209</v>
      </c>
      <c r="CX43" s="146">
        <f>SUM(AA43:AD43)</f>
        <v>241</v>
      </c>
      <c r="CY43" s="146"/>
      <c r="CZ43" s="146"/>
      <c r="DA43" s="146"/>
      <c r="DB43" s="146"/>
      <c r="DC43" s="146"/>
      <c r="DD43" s="146"/>
      <c r="DE43" s="146"/>
      <c r="DF43" s="146"/>
      <c r="DG43" s="146"/>
      <c r="DH43" s="146">
        <f t="shared" si="16"/>
        <v>733</v>
      </c>
      <c r="DI43" s="146">
        <f t="shared" si="103"/>
        <v>679</v>
      </c>
      <c r="DJ43" s="146">
        <f t="shared" si="104"/>
        <v>714</v>
      </c>
      <c r="DK43" s="146">
        <f t="shared" si="105"/>
        <v>504</v>
      </c>
      <c r="DL43" s="146">
        <f t="shared" ref="DL43:DM43" si="126">DK43*1.05</f>
        <v>529.20000000000005</v>
      </c>
      <c r="DM43" s="146">
        <f t="shared" si="126"/>
        <v>555.66000000000008</v>
      </c>
      <c r="DN43" s="146">
        <f>+DM43*1.01</f>
        <v>561.21660000000008</v>
      </c>
      <c r="DO43" s="146">
        <f t="shared" ref="DO43:DW43" si="127">+DN43*1.01</f>
        <v>566.82876600000009</v>
      </c>
      <c r="DP43" s="146">
        <f t="shared" si="127"/>
        <v>572.49705366000012</v>
      </c>
      <c r="DQ43" s="146">
        <f t="shared" si="127"/>
        <v>578.22202419660016</v>
      </c>
      <c r="DR43" s="146">
        <f t="shared" si="127"/>
        <v>584.00424443856616</v>
      </c>
      <c r="DS43" s="146">
        <f t="shared" si="127"/>
        <v>589.84428688295179</v>
      </c>
      <c r="DT43" s="146">
        <f t="shared" si="127"/>
        <v>595.74272975178133</v>
      </c>
      <c r="DU43" s="146">
        <f t="shared" si="127"/>
        <v>601.70015704929915</v>
      </c>
      <c r="DV43" s="146">
        <f t="shared" si="127"/>
        <v>607.71715861979214</v>
      </c>
      <c r="DW43" s="146">
        <f t="shared" si="127"/>
        <v>613.79433020599004</v>
      </c>
    </row>
    <row r="44" spans="2:127" x14ac:dyDescent="0.2">
      <c r="B44" s="112" t="s">
        <v>1390</v>
      </c>
      <c r="C44" s="172"/>
      <c r="D44" s="172"/>
      <c r="E44" s="172"/>
      <c r="F44" s="172"/>
      <c r="G44" s="147"/>
      <c r="H44" s="147"/>
      <c r="I44" s="147"/>
      <c r="J44" s="147"/>
      <c r="BO44" s="73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16</v>
      </c>
      <c r="BU44" s="73">
        <v>114</v>
      </c>
      <c r="BV44" s="73">
        <v>828</v>
      </c>
      <c r="BW44" s="73">
        <v>1307</v>
      </c>
      <c r="BX44" s="73">
        <v>466</v>
      </c>
      <c r="BY44" s="73">
        <v>411</v>
      </c>
      <c r="BZ44" s="73">
        <v>125</v>
      </c>
      <c r="CA44" s="73">
        <v>31</v>
      </c>
      <c r="CB44" s="73">
        <v>0</v>
      </c>
      <c r="CC44" s="73">
        <v>0</v>
      </c>
      <c r="CD44" s="73">
        <v>13</v>
      </c>
      <c r="CE44" s="73">
        <v>1</v>
      </c>
      <c r="CF44" s="73">
        <v>0</v>
      </c>
      <c r="CP44" s="147"/>
      <c r="CQ44" s="147"/>
      <c r="CR44" s="147"/>
      <c r="CS44" s="146"/>
      <c r="CT44" s="146"/>
      <c r="CU44" s="147"/>
      <c r="CV44" s="147"/>
      <c r="CW44" s="146"/>
      <c r="CX44" s="167"/>
      <c r="CY44" s="146"/>
      <c r="CZ44" s="146"/>
      <c r="DA44" s="146"/>
      <c r="DB44" s="146"/>
      <c r="DC44" s="146"/>
      <c r="DD44" s="146"/>
      <c r="DE44" s="146"/>
      <c r="DF44" s="146"/>
      <c r="DG44" s="146"/>
      <c r="DH44" s="146">
        <f>SUM(BO44:BR44)</f>
        <v>0</v>
      </c>
      <c r="DI44" s="146">
        <f>SUM(BS44:BV44)</f>
        <v>958</v>
      </c>
      <c r="DJ44" s="146">
        <f>SUM(BW44:BZ44)</f>
        <v>2309</v>
      </c>
      <c r="DK44" s="146">
        <f>SUM(CA44:CD44)</f>
        <v>44</v>
      </c>
      <c r="DL44" s="146">
        <v>0</v>
      </c>
      <c r="DM44" s="146"/>
      <c r="DN44" s="146"/>
      <c r="DO44" s="112"/>
    </row>
    <row r="45" spans="2:127" x14ac:dyDescent="0.2">
      <c r="B45" s="112" t="s">
        <v>1410</v>
      </c>
      <c r="C45" s="172"/>
      <c r="D45" s="172"/>
      <c r="E45" s="172"/>
      <c r="F45" s="172"/>
      <c r="G45" s="147"/>
      <c r="H45" s="147"/>
      <c r="I45" s="147"/>
      <c r="J45" s="147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260</v>
      </c>
      <c r="BU45" s="73">
        <v>94</v>
      </c>
      <c r="BV45" s="73">
        <v>92</v>
      </c>
      <c r="BW45" s="73">
        <v>0</v>
      </c>
      <c r="BX45" s="73">
        <v>0</v>
      </c>
      <c r="BY45" s="73">
        <v>6</v>
      </c>
      <c r="BZ45" s="73">
        <v>58</v>
      </c>
      <c r="CA45" s="73">
        <v>101</v>
      </c>
      <c r="CB45" s="73">
        <v>41</v>
      </c>
      <c r="CC45" s="73">
        <v>1</v>
      </c>
      <c r="CD45" s="73">
        <v>7</v>
      </c>
      <c r="CP45" s="147"/>
      <c r="CQ45" s="147"/>
      <c r="CR45" s="147"/>
      <c r="CS45" s="147"/>
      <c r="CT45" s="147"/>
      <c r="CU45" s="147"/>
      <c r="CV45" s="147"/>
      <c r="CW45" s="146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6">
        <f t="shared" si="16"/>
        <v>0</v>
      </c>
      <c r="DI45" s="146">
        <f t="shared" si="103"/>
        <v>446</v>
      </c>
      <c r="DJ45" s="146">
        <f t="shared" si="104"/>
        <v>64</v>
      </c>
      <c r="DK45" s="146">
        <f t="shared" si="105"/>
        <v>150</v>
      </c>
      <c r="DL45" s="147"/>
      <c r="DM45" s="147"/>
      <c r="DN45" s="147"/>
    </row>
    <row r="46" spans="2:127" x14ac:dyDescent="0.2">
      <c r="B46" s="112" t="s">
        <v>1342</v>
      </c>
      <c r="C46" s="172"/>
      <c r="D46" s="172"/>
      <c r="E46" s="172"/>
      <c r="F46" s="172"/>
      <c r="G46" s="147"/>
      <c r="H46" s="147"/>
      <c r="I46" s="147"/>
      <c r="J46" s="147"/>
      <c r="AP46" s="73">
        <v>9</v>
      </c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f>680-BX11-BX13</f>
        <v>16</v>
      </c>
      <c r="BY46" s="73">
        <v>14</v>
      </c>
      <c r="BZ46" s="73">
        <v>0</v>
      </c>
      <c r="CA46" s="73">
        <v>1</v>
      </c>
      <c r="CB46" s="73">
        <v>10</v>
      </c>
      <c r="CC46" s="73">
        <v>7</v>
      </c>
      <c r="CD46" s="73">
        <v>3</v>
      </c>
      <c r="CE46" s="73">
        <v>1</v>
      </c>
      <c r="CF46" s="73">
        <v>11</v>
      </c>
      <c r="CP46" s="147"/>
      <c r="CQ46" s="147"/>
      <c r="CR46" s="147"/>
      <c r="CS46" s="146"/>
      <c r="CT46" s="146"/>
      <c r="CU46" s="147"/>
      <c r="CV46" s="147"/>
      <c r="CW46" s="146"/>
      <c r="CX46" s="146"/>
      <c r="CY46" s="146"/>
      <c r="CZ46" s="146"/>
      <c r="DA46" s="146"/>
      <c r="DB46" s="146"/>
      <c r="DC46" s="146"/>
      <c r="DD46" s="146"/>
      <c r="DH46" s="146">
        <f t="shared" si="16"/>
        <v>0</v>
      </c>
      <c r="DI46" s="146">
        <f t="shared" si="103"/>
        <v>0</v>
      </c>
      <c r="DJ46" s="146">
        <f t="shared" si="104"/>
        <v>30</v>
      </c>
      <c r="DK46" s="146">
        <f t="shared" si="105"/>
        <v>21</v>
      </c>
      <c r="DL46" s="151">
        <f>+DK46*0.9</f>
        <v>18.900000000000002</v>
      </c>
      <c r="DM46" s="151">
        <f t="shared" ref="DM46:DW46" si="128">+DL46*0.9</f>
        <v>17.010000000000002</v>
      </c>
      <c r="DN46" s="151">
        <f t="shared" si="128"/>
        <v>15.309000000000001</v>
      </c>
      <c r="DO46" s="151">
        <f t="shared" si="128"/>
        <v>13.778100000000002</v>
      </c>
      <c r="DP46" s="151">
        <f t="shared" si="128"/>
        <v>12.400290000000002</v>
      </c>
      <c r="DQ46" s="151">
        <f t="shared" si="128"/>
        <v>11.160261000000002</v>
      </c>
      <c r="DR46" s="151">
        <f t="shared" si="128"/>
        <v>10.044234900000003</v>
      </c>
      <c r="DS46" s="151">
        <f t="shared" si="128"/>
        <v>9.0398114100000022</v>
      </c>
      <c r="DT46" s="151">
        <f t="shared" si="128"/>
        <v>8.1358302690000031</v>
      </c>
      <c r="DU46" s="151">
        <f t="shared" si="128"/>
        <v>7.3222472421000031</v>
      </c>
      <c r="DV46" s="151">
        <f t="shared" si="128"/>
        <v>6.5900225178900032</v>
      </c>
      <c r="DW46" s="151">
        <f t="shared" si="128"/>
        <v>5.9310202661010027</v>
      </c>
    </row>
    <row r="47" spans="2:127" x14ac:dyDescent="0.2">
      <c r="B47" s="112" t="s">
        <v>1393</v>
      </c>
      <c r="C47" s="172"/>
      <c r="D47" s="172"/>
      <c r="E47" s="172"/>
      <c r="F47" s="172"/>
      <c r="G47" s="147"/>
      <c r="H47" s="147"/>
      <c r="I47" s="147"/>
      <c r="J47" s="147"/>
      <c r="BO47" s="73">
        <v>9</v>
      </c>
      <c r="BP47" s="73">
        <v>8</v>
      </c>
      <c r="BQ47" s="73">
        <v>14</v>
      </c>
      <c r="BR47" s="73">
        <v>14</v>
      </c>
      <c r="BS47" s="73">
        <v>6</v>
      </c>
      <c r="BT47" s="73">
        <v>10</v>
      </c>
      <c r="BU47" s="73">
        <v>18</v>
      </c>
      <c r="BV47" s="73">
        <v>13</v>
      </c>
      <c r="BW47" s="73">
        <v>13</v>
      </c>
      <c r="BX47" s="73">
        <v>13</v>
      </c>
      <c r="BY47" s="73">
        <v>19</v>
      </c>
      <c r="BZ47" s="73">
        <v>11</v>
      </c>
      <c r="CA47" s="73">
        <v>8</v>
      </c>
      <c r="CB47" s="73">
        <v>13</v>
      </c>
      <c r="CC47" s="73">
        <v>5</v>
      </c>
      <c r="CD47" s="73">
        <v>10</v>
      </c>
      <c r="CP47" s="147"/>
      <c r="CQ47" s="147"/>
      <c r="CR47" s="147"/>
      <c r="CS47" s="146"/>
      <c r="CT47" s="146"/>
      <c r="CU47" s="147"/>
      <c r="CV47" s="147"/>
      <c r="CW47" s="146"/>
      <c r="CX47" s="146"/>
      <c r="CY47" s="146"/>
      <c r="CZ47" s="146"/>
      <c r="DA47" s="146"/>
      <c r="DB47" s="146"/>
      <c r="DC47" s="146"/>
      <c r="DD47" s="146"/>
      <c r="DE47" s="146"/>
      <c r="DF47" s="146"/>
      <c r="DG47" s="146"/>
      <c r="DH47" s="146">
        <f t="shared" si="16"/>
        <v>45</v>
      </c>
      <c r="DI47" s="146">
        <f t="shared" si="103"/>
        <v>47</v>
      </c>
      <c r="DJ47" s="146">
        <f t="shared" si="104"/>
        <v>56</v>
      </c>
      <c r="DK47" s="146">
        <f t="shared" si="105"/>
        <v>36</v>
      </c>
      <c r="DL47" s="151">
        <f t="shared" ref="DL47:DW47" si="129">+DK47*0.9</f>
        <v>32.4</v>
      </c>
      <c r="DM47" s="151">
        <f t="shared" si="129"/>
        <v>29.16</v>
      </c>
      <c r="DN47" s="151">
        <f t="shared" si="129"/>
        <v>26.244</v>
      </c>
      <c r="DO47" s="151">
        <f t="shared" si="129"/>
        <v>23.619600000000002</v>
      </c>
      <c r="DP47" s="151">
        <f t="shared" si="129"/>
        <v>21.257640000000002</v>
      </c>
      <c r="DQ47" s="151">
        <f t="shared" si="129"/>
        <v>19.131876000000002</v>
      </c>
      <c r="DR47" s="151">
        <f t="shared" si="129"/>
        <v>17.218688400000001</v>
      </c>
      <c r="DS47" s="151">
        <f t="shared" si="129"/>
        <v>15.496819560000002</v>
      </c>
      <c r="DT47" s="151">
        <f t="shared" si="129"/>
        <v>13.947137604000002</v>
      </c>
      <c r="DU47" s="151">
        <f t="shared" si="129"/>
        <v>12.552423843600002</v>
      </c>
      <c r="DV47" s="151">
        <f t="shared" si="129"/>
        <v>11.297181459240001</v>
      </c>
      <c r="DW47" s="151">
        <f t="shared" si="129"/>
        <v>10.167463313316</v>
      </c>
    </row>
    <row r="48" spans="2:127" x14ac:dyDescent="0.2">
      <c r="B48" s="65" t="s">
        <v>194</v>
      </c>
      <c r="C48" s="171">
        <v>172</v>
      </c>
      <c r="D48" s="171">
        <v>158</v>
      </c>
      <c r="E48" s="171">
        <v>175</v>
      </c>
      <c r="F48" s="171">
        <v>177</v>
      </c>
      <c r="G48" s="147">
        <v>167</v>
      </c>
      <c r="H48" s="147">
        <v>162</v>
      </c>
      <c r="I48" s="147">
        <v>180</v>
      </c>
      <c r="J48" s="147">
        <v>188</v>
      </c>
      <c r="K48" s="146">
        <v>182</v>
      </c>
      <c r="L48" s="73">
        <v>175</v>
      </c>
      <c r="M48" s="73">
        <v>180</v>
      </c>
      <c r="N48" s="73">
        <v>174</v>
      </c>
      <c r="O48" s="73">
        <v>166</v>
      </c>
      <c r="P48" s="73">
        <v>167</v>
      </c>
      <c r="Q48" s="73">
        <v>165</v>
      </c>
      <c r="R48" s="73">
        <v>187</v>
      </c>
      <c r="S48" s="73">
        <v>165</v>
      </c>
      <c r="T48" s="73">
        <v>173</v>
      </c>
      <c r="U48" s="73">
        <v>188</v>
      </c>
      <c r="V48" s="73">
        <v>161</v>
      </c>
      <c r="W48" s="73">
        <v>64</v>
      </c>
      <c r="X48" s="73">
        <f>33+23+12</f>
        <v>68</v>
      </c>
      <c r="Y48" s="73">
        <v>53</v>
      </c>
      <c r="Z48" s="73">
        <v>81</v>
      </c>
      <c r="AA48" s="73">
        <v>57</v>
      </c>
      <c r="AB48" s="73">
        <v>52</v>
      </c>
      <c r="AC48" s="73">
        <v>53</v>
      </c>
      <c r="AD48" s="73">
        <v>50</v>
      </c>
      <c r="AE48" s="73">
        <v>51</v>
      </c>
      <c r="AF48" s="73">
        <v>51</v>
      </c>
      <c r="AG48" s="73">
        <v>54</v>
      </c>
      <c r="AH48" s="73">
        <v>54</v>
      </c>
      <c r="AI48" s="73">
        <v>44</v>
      </c>
      <c r="AJ48" s="73">
        <v>52</v>
      </c>
      <c r="AP48" s="73">
        <v>46</v>
      </c>
      <c r="AR48" s="73">
        <v>44</v>
      </c>
      <c r="BO48" s="73">
        <v>34</v>
      </c>
      <c r="BP48" s="73">
        <v>27</v>
      </c>
      <c r="BQ48" s="73">
        <v>30</v>
      </c>
      <c r="BR48" s="73">
        <v>27</v>
      </c>
      <c r="BS48" s="73">
        <v>25</v>
      </c>
      <c r="BT48" s="73">
        <v>26</v>
      </c>
      <c r="BU48" s="73">
        <v>28</v>
      </c>
      <c r="BV48" s="73">
        <v>26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P48" s="146">
        <v>798</v>
      </c>
      <c r="CQ48" s="146">
        <v>759</v>
      </c>
      <c r="CR48" s="146">
        <v>682</v>
      </c>
      <c r="CS48" s="146">
        <v>697</v>
      </c>
      <c r="CT48" s="147">
        <f>SUM(K48:N48)</f>
        <v>711</v>
      </c>
      <c r="CU48" s="146">
        <f>SUM(O48:R48)</f>
        <v>685</v>
      </c>
      <c r="CV48" s="147">
        <f>SUM(S48:V48)</f>
        <v>687</v>
      </c>
      <c r="CW48" s="146">
        <f>SUM(W48:Z48)</f>
        <v>266</v>
      </c>
      <c r="CX48" s="146">
        <f>CW48*0.5</f>
        <v>133</v>
      </c>
      <c r="CY48" s="146">
        <f>+CX48*0.8</f>
        <v>106.4</v>
      </c>
      <c r="CZ48" s="146">
        <f t="shared" ref="CZ48" si="130">+CY48*0.8</f>
        <v>85.12</v>
      </c>
      <c r="DA48" s="146"/>
      <c r="DB48" s="146"/>
      <c r="DC48" s="146"/>
      <c r="DD48" s="146"/>
      <c r="DE48" s="146"/>
      <c r="DF48" s="146"/>
      <c r="DG48" s="146"/>
      <c r="DH48" s="146">
        <f t="shared" si="16"/>
        <v>118</v>
      </c>
      <c r="DI48" s="146">
        <f t="shared" si="103"/>
        <v>105</v>
      </c>
      <c r="DJ48" s="146">
        <f t="shared" si="104"/>
        <v>0</v>
      </c>
      <c r="DK48" s="146">
        <f t="shared" si="105"/>
        <v>0</v>
      </c>
      <c r="DL48" s="146"/>
      <c r="DM48" s="146"/>
      <c r="DN48" s="146"/>
    </row>
    <row r="49" spans="2:127" x14ac:dyDescent="0.2">
      <c r="B49" s="65" t="s">
        <v>91</v>
      </c>
      <c r="C49" s="171">
        <v>291</v>
      </c>
      <c r="D49" s="171">
        <v>284</v>
      </c>
      <c r="E49" s="171">
        <v>246</v>
      </c>
      <c r="F49" s="171">
        <v>242</v>
      </c>
      <c r="G49" s="147">
        <v>163</v>
      </c>
      <c r="H49" s="147">
        <v>152</v>
      </c>
      <c r="I49" s="147">
        <v>142</v>
      </c>
      <c r="J49" s="147">
        <v>158</v>
      </c>
      <c r="K49" s="146">
        <v>161</v>
      </c>
      <c r="L49" s="73">
        <v>159</v>
      </c>
      <c r="M49" s="73">
        <v>137</v>
      </c>
      <c r="N49" s="73">
        <v>163</v>
      </c>
      <c r="O49" s="73">
        <v>134</v>
      </c>
      <c r="P49" s="73">
        <v>140</v>
      </c>
      <c r="Q49" s="73">
        <v>128</v>
      </c>
      <c r="R49" s="73">
        <v>151</v>
      </c>
      <c r="S49" s="73">
        <v>121</v>
      </c>
      <c r="T49" s="73">
        <v>127</v>
      </c>
      <c r="U49" s="73">
        <v>112</v>
      </c>
      <c r="V49" s="73">
        <v>154</v>
      </c>
      <c r="W49" s="73">
        <v>126</v>
      </c>
      <c r="X49" s="73">
        <f>13+27+98</f>
        <v>138</v>
      </c>
      <c r="Y49" s="73">
        <v>120</v>
      </c>
      <c r="Z49" s="73">
        <v>139</v>
      </c>
      <c r="AA49" s="73">
        <f>10+22+74</f>
        <v>106</v>
      </c>
      <c r="AB49" s="73">
        <v>133</v>
      </c>
      <c r="AC49" s="73">
        <v>115</v>
      </c>
      <c r="AD49" s="73">
        <v>128</v>
      </c>
      <c r="AE49" s="73">
        <v>103</v>
      </c>
      <c r="AF49" s="73">
        <v>107</v>
      </c>
      <c r="AG49" s="73">
        <v>109</v>
      </c>
      <c r="AH49" s="73">
        <v>116</v>
      </c>
      <c r="AI49" s="73">
        <v>91</v>
      </c>
      <c r="AJ49" s="73">
        <v>112</v>
      </c>
      <c r="AK49" s="73">
        <v>80</v>
      </c>
      <c r="AP49" s="73">
        <v>69</v>
      </c>
      <c r="AR49" s="73">
        <v>49</v>
      </c>
      <c r="BO49" s="73">
        <v>36</v>
      </c>
      <c r="BP49" s="73">
        <v>36</v>
      </c>
      <c r="BQ49" s="73">
        <v>38</v>
      </c>
      <c r="BR49" s="73">
        <v>36</v>
      </c>
      <c r="BS49" s="73">
        <v>33</v>
      </c>
      <c r="BT49" s="73">
        <v>30</v>
      </c>
      <c r="BU49" s="73">
        <v>33</v>
      </c>
      <c r="BV49" s="73">
        <v>32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P49" s="146">
        <v>2055</v>
      </c>
      <c r="CQ49" s="146">
        <v>1877</v>
      </c>
      <c r="CR49" s="146">
        <v>1063</v>
      </c>
      <c r="CS49" s="146">
        <v>615</v>
      </c>
      <c r="CT49" s="147">
        <f>SUM(K49:N49)</f>
        <v>620</v>
      </c>
      <c r="CU49" s="146">
        <f>SUM(O49:R49)</f>
        <v>553</v>
      </c>
      <c r="CV49" s="147">
        <f>SUM(S49:V49)</f>
        <v>514</v>
      </c>
      <c r="CW49" s="146">
        <f>SUM(W49:Z49)</f>
        <v>523</v>
      </c>
      <c r="CX49" s="146">
        <f>SUM(AA49:AD49)</f>
        <v>482</v>
      </c>
      <c r="CY49" s="146">
        <f>CX49*0.9</f>
        <v>433.8</v>
      </c>
      <c r="CZ49" s="146">
        <f t="shared" ref="CZ49" si="131">CY49*0.9</f>
        <v>390.42</v>
      </c>
      <c r="DA49" s="146"/>
      <c r="DB49" s="146"/>
      <c r="DC49" s="146"/>
      <c r="DD49" s="146"/>
      <c r="DE49" s="146"/>
      <c r="DF49" s="146"/>
      <c r="DG49" s="146"/>
      <c r="DH49" s="146">
        <f t="shared" si="16"/>
        <v>146</v>
      </c>
      <c r="DI49" s="146">
        <f t="shared" si="103"/>
        <v>128</v>
      </c>
      <c r="DJ49" s="146">
        <f t="shared" si="104"/>
        <v>0</v>
      </c>
      <c r="DK49" s="146">
        <f t="shared" si="105"/>
        <v>0</v>
      </c>
      <c r="DL49" s="146"/>
      <c r="DM49" s="146"/>
      <c r="DN49" s="146"/>
    </row>
    <row r="50" spans="2:127" x14ac:dyDescent="0.2">
      <c r="B50" s="65" t="s">
        <v>72</v>
      </c>
      <c r="C50" s="171">
        <v>133</v>
      </c>
      <c r="D50" s="171">
        <v>145</v>
      </c>
      <c r="E50" s="171">
        <v>147</v>
      </c>
      <c r="F50" s="171">
        <v>146</v>
      </c>
      <c r="G50" s="147">
        <v>164</v>
      </c>
      <c r="H50" s="147">
        <v>162</v>
      </c>
      <c r="I50" s="147">
        <v>156</v>
      </c>
      <c r="J50" s="147">
        <v>190</v>
      </c>
      <c r="K50" s="147">
        <v>204</v>
      </c>
      <c r="L50" s="73">
        <v>214</v>
      </c>
      <c r="M50" s="73">
        <v>215</v>
      </c>
      <c r="N50" s="73">
        <v>212</v>
      </c>
      <c r="O50" s="73">
        <v>224</v>
      </c>
      <c r="P50" s="73">
        <v>226</v>
      </c>
      <c r="Q50" s="73">
        <v>229</v>
      </c>
      <c r="R50" s="73">
        <v>255</v>
      </c>
      <c r="S50" s="73">
        <v>249</v>
      </c>
      <c r="T50" s="73">
        <v>277</v>
      </c>
      <c r="U50" s="73">
        <v>303</v>
      </c>
      <c r="V50" s="73">
        <v>366</v>
      </c>
      <c r="W50" s="73">
        <v>344</v>
      </c>
      <c r="X50" s="73">
        <v>379</v>
      </c>
      <c r="Y50" s="73">
        <v>349</v>
      </c>
      <c r="Z50" s="73">
        <v>222</v>
      </c>
      <c r="AA50" s="73">
        <v>176</v>
      </c>
      <c r="AB50" s="73">
        <v>165</v>
      </c>
      <c r="AC50" s="73">
        <v>95</v>
      </c>
      <c r="AD50" s="73">
        <v>96</v>
      </c>
      <c r="AE50" s="73">
        <v>90</v>
      </c>
      <c r="AF50" s="73">
        <v>86</v>
      </c>
      <c r="AG50" s="73">
        <v>87</v>
      </c>
      <c r="AH50" s="73">
        <v>76</v>
      </c>
      <c r="AI50" s="73">
        <v>63</v>
      </c>
      <c r="AJ50" s="73">
        <v>66</v>
      </c>
      <c r="AK50" s="73">
        <v>52</v>
      </c>
      <c r="AP50" s="73">
        <v>59</v>
      </c>
      <c r="AR50" s="73">
        <v>37</v>
      </c>
      <c r="BO50" s="73">
        <v>28</v>
      </c>
      <c r="BP50" s="73">
        <v>25</v>
      </c>
      <c r="BQ50" s="73">
        <v>24</v>
      </c>
      <c r="BR50" s="73">
        <v>26</v>
      </c>
      <c r="BS50" s="73">
        <v>22</v>
      </c>
      <c r="BT50" s="73">
        <v>23</v>
      </c>
      <c r="BU50" s="73">
        <v>23</v>
      </c>
      <c r="BV50" s="73">
        <v>24</v>
      </c>
      <c r="BW50" s="73">
        <v>0</v>
      </c>
      <c r="BX50" s="73">
        <v>0</v>
      </c>
      <c r="BY50" s="73">
        <v>0</v>
      </c>
      <c r="BZ50" s="73">
        <v>0</v>
      </c>
      <c r="CA50" s="73">
        <v>0</v>
      </c>
      <c r="CB50" s="73">
        <v>0</v>
      </c>
      <c r="CP50" s="146">
        <v>425</v>
      </c>
      <c r="CQ50" s="146">
        <v>498</v>
      </c>
      <c r="CR50" s="146">
        <v>571</v>
      </c>
      <c r="CS50" s="146">
        <v>695</v>
      </c>
      <c r="CT50" s="147">
        <f>SUM(K50:N50)</f>
        <v>845</v>
      </c>
      <c r="CU50" s="147">
        <f>SUM(O50:R50)</f>
        <v>934</v>
      </c>
      <c r="CV50" s="147">
        <f>SUM(S50:V50)</f>
        <v>1195</v>
      </c>
      <c r="CW50" s="147">
        <f>SUM(W50:Z50)</f>
        <v>1294</v>
      </c>
      <c r="CX50" s="146">
        <f>SUM(AA50:AD50)</f>
        <v>532</v>
      </c>
      <c r="CY50" s="147">
        <f>CX50*0.7</f>
        <v>372.4</v>
      </c>
      <c r="CZ50" s="147">
        <f t="shared" ref="CZ50:DD50" si="132">CY50*0.7</f>
        <v>260.67999999999995</v>
      </c>
      <c r="DA50" s="147">
        <f t="shared" si="132"/>
        <v>182.47599999999994</v>
      </c>
      <c r="DB50" s="147">
        <f t="shared" si="132"/>
        <v>127.73319999999995</v>
      </c>
      <c r="DC50" s="147">
        <f t="shared" si="132"/>
        <v>89.413239999999959</v>
      </c>
      <c r="DD50" s="147">
        <f t="shared" si="132"/>
        <v>62.589267999999969</v>
      </c>
      <c r="DE50" s="147"/>
      <c r="DF50" s="147"/>
      <c r="DG50" s="147"/>
      <c r="DH50" s="146">
        <f t="shared" si="16"/>
        <v>103</v>
      </c>
      <c r="DI50" s="146">
        <f t="shared" si="103"/>
        <v>92</v>
      </c>
      <c r="DJ50" s="146">
        <f t="shared" si="104"/>
        <v>0</v>
      </c>
      <c r="DK50" s="146">
        <f t="shared" si="105"/>
        <v>0</v>
      </c>
      <c r="DL50" s="147"/>
      <c r="DM50" s="147"/>
      <c r="DN50" s="147"/>
    </row>
    <row r="51" spans="2:127" x14ac:dyDescent="0.2">
      <c r="B51" s="112" t="s">
        <v>695</v>
      </c>
      <c r="C51" s="172"/>
      <c r="D51" s="172"/>
      <c r="E51" s="172"/>
      <c r="F51" s="172"/>
      <c r="G51" s="147"/>
      <c r="H51" s="147"/>
      <c r="I51" s="147"/>
      <c r="J51" s="147"/>
      <c r="K51" s="147"/>
      <c r="CP51" s="147"/>
      <c r="CQ51" s="147"/>
      <c r="CR51" s="147"/>
      <c r="CS51" s="147"/>
      <c r="CT51" s="146"/>
      <c r="CU51" s="146"/>
      <c r="CV51" s="147"/>
      <c r="CW51" s="146"/>
      <c r="CX51" s="146"/>
      <c r="CY51" s="147"/>
      <c r="CZ51" s="147"/>
      <c r="DA51" s="147"/>
      <c r="DB51" s="147"/>
      <c r="DC51" s="147"/>
      <c r="DD51" s="147"/>
      <c r="DE51" s="147"/>
      <c r="DF51" s="147"/>
      <c r="DG51" s="147"/>
      <c r="DH51" s="146"/>
      <c r="DI51" s="146"/>
      <c r="DJ51" s="146"/>
      <c r="DK51" s="146"/>
      <c r="DL51" s="147"/>
      <c r="DM51" s="147"/>
      <c r="DN51" s="147"/>
    </row>
    <row r="52" spans="2:127" x14ac:dyDescent="0.2">
      <c r="B52" s="112" t="s">
        <v>1329</v>
      </c>
      <c r="C52" s="171"/>
      <c r="D52" s="171"/>
      <c r="E52" s="171"/>
      <c r="F52" s="171"/>
      <c r="G52" s="147"/>
      <c r="H52" s="147"/>
      <c r="I52" s="147"/>
      <c r="J52" s="147"/>
      <c r="K52" s="147"/>
      <c r="W52" s="162"/>
      <c r="X52" s="162"/>
      <c r="AF52" s="73">
        <v>379</v>
      </c>
      <c r="AG52" s="73">
        <v>435</v>
      </c>
      <c r="AH52" s="73">
        <v>402</v>
      </c>
      <c r="AI52" s="73">
        <v>334</v>
      </c>
      <c r="AJ52" s="73">
        <v>346</v>
      </c>
      <c r="AP52" s="73">
        <v>385</v>
      </c>
      <c r="AR52" s="73">
        <v>352</v>
      </c>
      <c r="CP52" s="146"/>
      <c r="CQ52" s="146"/>
      <c r="CR52" s="146"/>
      <c r="CS52" s="146"/>
      <c r="CT52" s="147"/>
      <c r="CU52" s="147"/>
      <c r="CV52" s="147"/>
      <c r="CW52" s="146"/>
      <c r="CX52" s="146"/>
      <c r="CY52" s="147"/>
      <c r="CZ52" s="147"/>
      <c r="DA52" s="147"/>
      <c r="DB52" s="147"/>
      <c r="DC52" s="147"/>
      <c r="DD52" s="147"/>
      <c r="DE52" s="147"/>
      <c r="DF52" s="147"/>
      <c r="DG52" s="147"/>
      <c r="DH52" s="146"/>
      <c r="DI52" s="146"/>
      <c r="DJ52" s="146"/>
      <c r="DK52" s="146"/>
      <c r="DL52" s="147"/>
      <c r="DM52" s="147"/>
      <c r="DN52" s="147"/>
      <c r="DO52" s="112"/>
    </row>
    <row r="53" spans="2:127" x14ac:dyDescent="0.2">
      <c r="B53" s="65" t="s">
        <v>363</v>
      </c>
      <c r="C53" s="172">
        <v>159</v>
      </c>
      <c r="D53" s="172">
        <v>156</v>
      </c>
      <c r="E53" s="172">
        <v>152</v>
      </c>
      <c r="F53" s="172">
        <v>167</v>
      </c>
      <c r="G53" s="147">
        <v>163</v>
      </c>
      <c r="H53" s="147">
        <v>153</v>
      </c>
      <c r="I53" s="147">
        <v>159</v>
      </c>
      <c r="J53" s="147">
        <v>181</v>
      </c>
      <c r="K53" s="73">
        <f>378-K23</f>
        <v>208</v>
      </c>
      <c r="L53" s="73">
        <f>326-L23</f>
        <v>192</v>
      </c>
      <c r="M53" s="73">
        <f>311-M23</f>
        <v>190</v>
      </c>
      <c r="N53" s="73">
        <f>354-N23</f>
        <v>209</v>
      </c>
      <c r="O53" s="73">
        <f>348-O23</f>
        <v>201</v>
      </c>
      <c r="P53" s="73">
        <f>310-P23</f>
        <v>190</v>
      </c>
      <c r="Q53" s="73">
        <f>302-Q23</f>
        <v>185</v>
      </c>
      <c r="R53" s="73">
        <f>370-146</f>
        <v>224</v>
      </c>
      <c r="S53" s="73">
        <f>365-156-2</f>
        <v>207</v>
      </c>
      <c r="T53" s="73">
        <f>329-129-4</f>
        <v>196</v>
      </c>
      <c r="U53" s="73">
        <f>340-143-5</f>
        <v>192</v>
      </c>
      <c r="V53" s="73">
        <f>397-159-5</f>
        <v>233</v>
      </c>
      <c r="W53" s="73">
        <f>426-186</f>
        <v>240</v>
      </c>
      <c r="X53" s="73">
        <f>35+85+115</f>
        <v>235</v>
      </c>
      <c r="Y53" s="73">
        <f>376-162</f>
        <v>214</v>
      </c>
      <c r="Z53" s="73">
        <f>409-173</f>
        <v>236</v>
      </c>
      <c r="AA53" s="73">
        <f>356-160</f>
        <v>196</v>
      </c>
      <c r="AB53" s="73">
        <f>337-144</f>
        <v>193</v>
      </c>
      <c r="AC53" s="73">
        <f>333-153</f>
        <v>180</v>
      </c>
      <c r="AD53" s="73">
        <f>370-168</f>
        <v>202</v>
      </c>
      <c r="AE53" s="73">
        <f>379-187</f>
        <v>192</v>
      </c>
      <c r="AF53" s="73">
        <f>333-AF23</f>
        <v>191</v>
      </c>
      <c r="AG53" s="73">
        <f>323-139</f>
        <v>184</v>
      </c>
      <c r="AH53" s="73">
        <f>355-173</f>
        <v>182</v>
      </c>
      <c r="AI53" s="73">
        <f>318-153</f>
        <v>165</v>
      </c>
      <c r="AJ53" s="73">
        <v>154</v>
      </c>
      <c r="AK53" s="73">
        <v>150</v>
      </c>
      <c r="AP53" s="73">
        <v>144</v>
      </c>
      <c r="AR53" s="73">
        <v>53</v>
      </c>
      <c r="CP53" s="147">
        <v>0</v>
      </c>
      <c r="CQ53" s="147">
        <v>743</v>
      </c>
      <c r="CR53" s="147">
        <v>634</v>
      </c>
      <c r="CS53" s="147">
        <v>656</v>
      </c>
      <c r="CT53" s="147">
        <f>SUM(K53:N53)</f>
        <v>799</v>
      </c>
      <c r="CU53" s="147">
        <f>SUM(O53:R53)</f>
        <v>800</v>
      </c>
      <c r="CV53" s="147">
        <f>SUM(S53:V53)</f>
        <v>828</v>
      </c>
      <c r="CW53" s="146">
        <f>SUM(W53:Z53)</f>
        <v>925</v>
      </c>
      <c r="CX53" s="146">
        <f>SUM(AA53:AD53)</f>
        <v>771</v>
      </c>
      <c r="CY53" s="147">
        <f>+CX53*0.75</f>
        <v>578.25</v>
      </c>
      <c r="CZ53" s="147">
        <f t="shared" ref="CZ53:DE53" si="133">+CY53*0.75</f>
        <v>433.6875</v>
      </c>
      <c r="DA53" s="147">
        <f t="shared" si="133"/>
        <v>325.265625</v>
      </c>
      <c r="DB53" s="147">
        <f t="shared" si="133"/>
        <v>243.94921875</v>
      </c>
      <c r="DC53" s="147">
        <f t="shared" si="133"/>
        <v>182.9619140625</v>
      </c>
      <c r="DD53" s="147">
        <f t="shared" si="133"/>
        <v>137.221435546875</v>
      </c>
      <c r="DE53" s="147">
        <f t="shared" si="133"/>
        <v>102.91607666015625</v>
      </c>
      <c r="DF53" s="147">
        <f>+DE53*0.75</f>
        <v>77.187057495117188</v>
      </c>
      <c r="DG53" s="147"/>
      <c r="DH53" s="146"/>
      <c r="DI53" s="146"/>
      <c r="DJ53" s="146"/>
      <c r="DK53" s="146"/>
      <c r="DL53" s="147"/>
      <c r="DM53" s="147"/>
      <c r="DN53" s="147"/>
    </row>
    <row r="54" spans="2:127" x14ac:dyDescent="0.2">
      <c r="B54" s="65" t="s">
        <v>369</v>
      </c>
      <c r="C54" s="172">
        <v>687</v>
      </c>
      <c r="D54" s="172">
        <v>716</v>
      </c>
      <c r="E54" s="172">
        <v>722</v>
      </c>
      <c r="F54" s="172">
        <v>761</v>
      </c>
      <c r="G54" s="147">
        <v>697</v>
      </c>
      <c r="H54" s="147">
        <v>741</v>
      </c>
      <c r="I54" s="147">
        <v>762</v>
      </c>
      <c r="J54" s="147">
        <v>799</v>
      </c>
      <c r="K54" s="147">
        <v>768</v>
      </c>
      <c r="L54" s="73">
        <v>790</v>
      </c>
      <c r="M54" s="73">
        <v>766</v>
      </c>
      <c r="N54" s="73">
        <v>823</v>
      </c>
      <c r="O54" s="73">
        <v>786</v>
      </c>
      <c r="P54" s="73">
        <v>899</v>
      </c>
      <c r="Q54" s="73">
        <v>871</v>
      </c>
      <c r="R54" s="73">
        <v>927</v>
      </c>
      <c r="S54" s="73">
        <v>893</v>
      </c>
      <c r="T54" s="73">
        <v>951</v>
      </c>
      <c r="U54" s="73">
        <v>994</v>
      </c>
      <c r="V54" s="73">
        <v>1107</v>
      </c>
      <c r="W54" s="73">
        <v>1146</v>
      </c>
      <c r="X54" s="73">
        <v>1165</v>
      </c>
      <c r="Y54" s="73">
        <v>1165</v>
      </c>
      <c r="Z54" s="73">
        <v>1178</v>
      </c>
      <c r="AA54" s="73">
        <v>1231</v>
      </c>
      <c r="AB54" s="73">
        <v>1252</v>
      </c>
      <c r="AC54" s="73">
        <f>249+491+520</f>
        <v>1260</v>
      </c>
      <c r="AD54" s="73">
        <v>1267</v>
      </c>
      <c r="AE54" s="73">
        <v>1321</v>
      </c>
      <c r="AF54" s="73">
        <v>1277</v>
      </c>
      <c r="AG54" s="73">
        <v>1329</v>
      </c>
      <c r="AH54" s="73">
        <v>1268</v>
      </c>
      <c r="AI54" s="73">
        <v>1336</v>
      </c>
      <c r="AJ54" s="73">
        <v>1257</v>
      </c>
      <c r="AK54" s="73">
        <v>1269</v>
      </c>
      <c r="AR54" s="73">
        <v>1022</v>
      </c>
      <c r="BL54" s="73">
        <v>1917</v>
      </c>
      <c r="BO54" s="176" t="s">
        <v>1440</v>
      </c>
      <c r="BP54" s="176" t="s">
        <v>1441</v>
      </c>
      <c r="BQ54" s="176" t="s">
        <v>1423</v>
      </c>
      <c r="BR54" s="176" t="s">
        <v>1439</v>
      </c>
      <c r="BS54" s="176" t="s">
        <v>1438</v>
      </c>
      <c r="BT54" s="176" t="s">
        <v>1428</v>
      </c>
      <c r="BU54" s="176" t="s">
        <v>1437</v>
      </c>
      <c r="BV54" s="176" t="s">
        <v>1436</v>
      </c>
      <c r="BW54" s="176" t="s">
        <v>1435</v>
      </c>
      <c r="BX54" s="73">
        <v>0</v>
      </c>
      <c r="BY54" s="73">
        <v>0</v>
      </c>
      <c r="BZ54" s="73">
        <v>0</v>
      </c>
      <c r="CP54" s="147">
        <v>3217</v>
      </c>
      <c r="CQ54" s="147">
        <v>3260</v>
      </c>
      <c r="CR54" s="147">
        <v>2886</v>
      </c>
      <c r="CS54" s="147">
        <v>2999</v>
      </c>
      <c r="CT54" s="146">
        <f>SUM(K54:N54)</f>
        <v>3147</v>
      </c>
      <c r="CU54" s="146">
        <f>SUM(O54:R54)</f>
        <v>3483</v>
      </c>
      <c r="CV54" s="147">
        <f>SUM(S54:V54)</f>
        <v>3945</v>
      </c>
      <c r="CW54" s="146">
        <f>SUM(W54:Z54)</f>
        <v>4654</v>
      </c>
      <c r="CX54" s="146">
        <f>SUM(AA54:AD54)</f>
        <v>5010</v>
      </c>
      <c r="CY54" s="147">
        <f>SUM(AE54:AH54)</f>
        <v>5195</v>
      </c>
      <c r="CZ54" s="147">
        <f>CY54*1.05</f>
        <v>5454.75</v>
      </c>
      <c r="DA54" s="147">
        <f>CZ54*1.05</f>
        <v>5727.4875000000002</v>
      </c>
      <c r="DB54" s="147">
        <f t="shared" ref="DB54:DE54" si="134">DA54*1.03</f>
        <v>5899.3121250000004</v>
      </c>
      <c r="DC54" s="147">
        <f t="shared" si="134"/>
        <v>6076.2914887500001</v>
      </c>
      <c r="DD54" s="147">
        <f t="shared" si="134"/>
        <v>6258.5802334125001</v>
      </c>
      <c r="DE54" s="147">
        <f t="shared" si="134"/>
        <v>6446.3376404148748</v>
      </c>
      <c r="DF54" s="147"/>
      <c r="DG54" s="147"/>
      <c r="DH54" s="146"/>
      <c r="DI54" s="146"/>
      <c r="DJ54" s="146"/>
      <c r="DK54" s="146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</row>
    <row r="55" spans="2:127" x14ac:dyDescent="0.2">
      <c r="B55" s="65" t="s">
        <v>355</v>
      </c>
      <c r="C55" s="171"/>
      <c r="D55" s="171"/>
      <c r="E55" s="171"/>
      <c r="F55" s="171"/>
      <c r="G55" s="147"/>
      <c r="H55" s="147"/>
      <c r="I55" s="147"/>
      <c r="J55" s="147"/>
      <c r="K55" s="147"/>
      <c r="S55" s="73">
        <v>50</v>
      </c>
      <c r="T55" s="73">
        <v>67</v>
      </c>
      <c r="U55" s="73">
        <v>75</v>
      </c>
      <c r="V55" s="73">
        <v>98</v>
      </c>
      <c r="W55" s="73">
        <v>106</v>
      </c>
      <c r="X55" s="73">
        <v>104</v>
      </c>
      <c r="Y55" s="73">
        <v>111</v>
      </c>
      <c r="Z55" s="73">
        <v>129</v>
      </c>
      <c r="AA55" s="73">
        <v>107</v>
      </c>
      <c r="AB55" s="73">
        <v>138</v>
      </c>
      <c r="AC55" s="73">
        <v>138</v>
      </c>
      <c r="AD55" s="73">
        <v>147</v>
      </c>
      <c r="AE55" s="73">
        <v>127</v>
      </c>
      <c r="AF55" s="73">
        <v>145</v>
      </c>
      <c r="AG55" s="73">
        <v>139</v>
      </c>
      <c r="AH55" s="73">
        <v>158</v>
      </c>
      <c r="AI55" s="73">
        <v>151</v>
      </c>
      <c r="AJ55" s="73">
        <v>157</v>
      </c>
      <c r="AK55" s="73">
        <v>151</v>
      </c>
      <c r="AP55" s="73">
        <v>140</v>
      </c>
      <c r="AR55" s="73">
        <v>27</v>
      </c>
      <c r="CP55" s="146" t="s">
        <v>449</v>
      </c>
      <c r="CQ55" s="146" t="s">
        <v>449</v>
      </c>
      <c r="CR55" s="146" t="s">
        <v>449</v>
      </c>
      <c r="CS55" s="146" t="s">
        <v>449</v>
      </c>
      <c r="CT55" s="147" t="s">
        <v>449</v>
      </c>
      <c r="CU55" s="147" t="s">
        <v>449</v>
      </c>
      <c r="CV55" s="147">
        <f>SUM(S55:X55)</f>
        <v>500</v>
      </c>
      <c r="CW55" s="146">
        <f>SUM(W55:Z55)</f>
        <v>450</v>
      </c>
      <c r="CX55" s="146">
        <f>SUM(AA55:AD55)</f>
        <v>530</v>
      </c>
      <c r="CY55" s="147">
        <f>CX55*1.05</f>
        <v>556.5</v>
      </c>
      <c r="CZ55" s="147">
        <f>CY55*1.02</f>
        <v>567.63</v>
      </c>
      <c r="DA55" s="147">
        <f t="shared" ref="DA55:DB55" si="135">CZ55*1.02</f>
        <v>578.98260000000005</v>
      </c>
      <c r="DB55" s="147">
        <f t="shared" si="135"/>
        <v>590.56225200000006</v>
      </c>
      <c r="DC55" s="147">
        <f t="shared" ref="DC55:DE55" si="136">DB55*0.75</f>
        <v>442.92168900000001</v>
      </c>
      <c r="DD55" s="147">
        <f t="shared" si="136"/>
        <v>332.19126675000001</v>
      </c>
      <c r="DE55" s="147">
        <f t="shared" si="136"/>
        <v>249.14345006249999</v>
      </c>
      <c r="DF55" s="147">
        <f>DE55*0.75</f>
        <v>186.85758754687498</v>
      </c>
      <c r="DG55" s="147"/>
      <c r="DH55" s="146"/>
      <c r="DI55" s="146"/>
      <c r="DJ55" s="146"/>
      <c r="DK55" s="146"/>
      <c r="DL55" s="147"/>
      <c r="DM55" s="147"/>
      <c r="DN55" s="147"/>
    </row>
    <row r="56" spans="2:127" x14ac:dyDescent="0.2">
      <c r="B56" s="65" t="s">
        <v>814</v>
      </c>
      <c r="C56" s="172"/>
      <c r="D56" s="172"/>
      <c r="E56" s="172"/>
      <c r="F56" s="172"/>
      <c r="G56" s="147"/>
      <c r="H56" s="147"/>
      <c r="I56" s="147"/>
      <c r="J56" s="147"/>
      <c r="AA56" s="73">
        <v>5</v>
      </c>
      <c r="AB56" s="73">
        <v>8</v>
      </c>
      <c r="AC56" s="73">
        <v>11</v>
      </c>
      <c r="AD56" s="73">
        <v>14</v>
      </c>
      <c r="AE56" s="73">
        <v>17</v>
      </c>
      <c r="AF56" s="73">
        <v>22</v>
      </c>
      <c r="AG56" s="73">
        <v>30</v>
      </c>
      <c r="AH56" s="73">
        <v>31</v>
      </c>
      <c r="AI56" s="73">
        <v>33</v>
      </c>
      <c r="AJ56" s="73">
        <v>39</v>
      </c>
      <c r="AP56" s="73">
        <v>90</v>
      </c>
      <c r="AR56" s="73">
        <v>101</v>
      </c>
      <c r="CP56" s="147"/>
      <c r="CQ56" s="147"/>
      <c r="CR56" s="147"/>
      <c r="CS56" s="146"/>
      <c r="CT56" s="146"/>
      <c r="CU56" s="147" t="s">
        <v>449</v>
      </c>
      <c r="CV56" s="147" t="s">
        <v>449</v>
      </c>
      <c r="CW56" s="146" t="s">
        <v>449</v>
      </c>
      <c r="CX56" s="146">
        <f>SUM(AA56:AD56)</f>
        <v>38</v>
      </c>
      <c r="CY56" s="146">
        <f>SUM(AE56:AH56)</f>
        <v>100</v>
      </c>
      <c r="CZ56" s="146">
        <v>150</v>
      </c>
      <c r="DA56" s="146">
        <v>200</v>
      </c>
      <c r="DB56" s="146">
        <v>210</v>
      </c>
      <c r="DC56" s="146">
        <v>220</v>
      </c>
      <c r="DD56" s="146">
        <v>230</v>
      </c>
      <c r="DE56" s="146">
        <v>240</v>
      </c>
      <c r="DF56" s="146">
        <v>250</v>
      </c>
      <c r="DG56" s="146"/>
      <c r="DH56" s="146"/>
      <c r="DI56" s="146"/>
      <c r="DJ56" s="146"/>
      <c r="DK56" s="146"/>
      <c r="DL56" s="146"/>
      <c r="DM56" s="146"/>
      <c r="DN56" s="146"/>
    </row>
    <row r="57" spans="2:127" x14ac:dyDescent="0.2">
      <c r="B57" s="112" t="s">
        <v>1331</v>
      </c>
      <c r="C57" s="171"/>
      <c r="D57" s="171"/>
      <c r="E57" s="171"/>
      <c r="F57" s="171"/>
      <c r="G57" s="147"/>
      <c r="H57" s="147"/>
      <c r="I57" s="147"/>
      <c r="J57" s="147"/>
      <c r="K57" s="146"/>
      <c r="AF57" s="73">
        <v>0</v>
      </c>
      <c r="AG57" s="73">
        <v>0</v>
      </c>
      <c r="AH57" s="73">
        <v>0</v>
      </c>
      <c r="AI57" s="73">
        <f>106-35-28</f>
        <v>43</v>
      </c>
      <c r="AJ57" s="73">
        <v>44</v>
      </c>
      <c r="AP57" s="73">
        <v>67</v>
      </c>
      <c r="AR57" s="73">
        <v>99</v>
      </c>
      <c r="CP57" s="146"/>
      <c r="CQ57" s="146"/>
      <c r="CR57" s="146"/>
      <c r="CS57" s="146"/>
      <c r="CT57" s="147"/>
      <c r="CU57" s="146"/>
      <c r="CV57" s="147"/>
      <c r="CW57" s="146"/>
      <c r="CX57" s="146"/>
      <c r="CY57" s="146"/>
      <c r="CZ57" s="146"/>
      <c r="DA57" s="146"/>
      <c r="DB57" s="146"/>
      <c r="DC57" s="146"/>
      <c r="DD57" s="146"/>
      <c r="DE57" s="146"/>
      <c r="DF57" s="146"/>
      <c r="DG57" s="146"/>
      <c r="DH57" s="146"/>
      <c r="DI57" s="146"/>
      <c r="DJ57" s="146"/>
      <c r="DK57" s="146"/>
      <c r="DL57" s="146"/>
      <c r="DM57" s="146"/>
      <c r="DN57" s="146"/>
    </row>
    <row r="58" spans="2:127" x14ac:dyDescent="0.2">
      <c r="B58" s="65" t="s">
        <v>367</v>
      </c>
      <c r="C58" s="172">
        <v>79</v>
      </c>
      <c r="D58" s="172">
        <v>84</v>
      </c>
      <c r="E58" s="172">
        <v>94</v>
      </c>
      <c r="F58" s="172">
        <v>130</v>
      </c>
      <c r="G58" s="147">
        <v>80</v>
      </c>
      <c r="H58" s="147">
        <v>87</v>
      </c>
      <c r="I58" s="147">
        <v>84</v>
      </c>
      <c r="J58" s="147">
        <v>90</v>
      </c>
      <c r="K58" s="73">
        <f>426-K74-K92-K32-K71-K62-K93</f>
        <v>81</v>
      </c>
      <c r="L58" s="73">
        <f>383-L74-L92-L32-L71-L62-L93</f>
        <v>94</v>
      </c>
      <c r="M58" s="73">
        <f>406-M74-M92-M32-M71-M62-M93</f>
        <v>81</v>
      </c>
      <c r="N58" s="73">
        <f>421-N74-N92-N32-N71-N62-N93</f>
        <v>75</v>
      </c>
      <c r="O58" s="73">
        <f>439-O74-O92-O32-O71-O62-O93</f>
        <v>67</v>
      </c>
      <c r="P58" s="73">
        <f>439-P74-P92-P32-P71-P62-P93</f>
        <v>76</v>
      </c>
      <c r="Q58" s="73">
        <f>378-Q74-Q92-Q32-Q71-Q62-Q93</f>
        <v>69</v>
      </c>
      <c r="R58" s="73">
        <f>298-R74-R92-R32-R71-R62-R93</f>
        <v>87</v>
      </c>
      <c r="S58" s="73">
        <f>398-S74-S92-S32-S71-S62-S93-S55</f>
        <v>101</v>
      </c>
      <c r="T58" s="73">
        <f>435-T74-T92-T32-T71-T62-T93-T55</f>
        <v>109</v>
      </c>
      <c r="U58" s="73">
        <f>466-U74-U92-U32-U71-U62-U93-U55</f>
        <v>102</v>
      </c>
      <c r="V58" s="73">
        <f>548-V74-V92-V32-V71-V62-V93-V55</f>
        <v>116</v>
      </c>
      <c r="W58" s="73">
        <f>551-W74-W92-W32-W71-W62-W93-W55-W63</f>
        <v>112</v>
      </c>
      <c r="X58" s="73">
        <f>580-X74-X92-X32-X71-X62-X93-X55-X63</f>
        <v>125</v>
      </c>
      <c r="Y58" s="73">
        <f>552-Y74-Y92-Y32-Y71-Y62-Y93-Y55-Y63</f>
        <v>107</v>
      </c>
      <c r="Z58" s="73">
        <f>615-Z74-Z92-Z32-Z71-Z62-Z93-Z55-Z67</f>
        <v>125</v>
      </c>
      <c r="AA58" s="73">
        <f>570-AA74-AA92-AA32-AA71-AA62-AA93-AA55-AA67</f>
        <v>122</v>
      </c>
      <c r="AB58" s="73">
        <f>654-AB74-AB92-AB32-AB71-AB62-AB93-AB55-AB67</f>
        <v>139</v>
      </c>
      <c r="AC58" s="73">
        <f>650-AC74-AC92-AC32-AC71-AC62-AC93-AC55-AC67</f>
        <v>147</v>
      </c>
      <c r="AD58" s="73">
        <f>696-AD74-AD92-AD32-AD71-AD62-AD93-AD55-AD67</f>
        <v>149</v>
      </c>
      <c r="AE58" s="73">
        <f>615-AE74-AE92-AE32-AE71-AE62-AE93-AE55-AE67</f>
        <v>107</v>
      </c>
      <c r="AF58" s="73">
        <f>706-75-188-39-60-145-33-22</f>
        <v>144</v>
      </c>
      <c r="AG58" s="73">
        <f>700-71-188-38-60-139-33-25</f>
        <v>146</v>
      </c>
      <c r="AH58" s="73">
        <f>719-56-206-41-60-158-32-28</f>
        <v>138</v>
      </c>
      <c r="AI58" s="73">
        <f>728-48-186-35-61-151-174</f>
        <v>73</v>
      </c>
      <c r="AJ58" s="73">
        <v>77</v>
      </c>
      <c r="AK58" s="73">
        <v>77</v>
      </c>
      <c r="AP58" s="73">
        <v>65</v>
      </c>
      <c r="AR58" s="73">
        <v>34</v>
      </c>
      <c r="CP58" s="147">
        <v>349</v>
      </c>
      <c r="CQ58" s="147">
        <v>353</v>
      </c>
      <c r="CR58" s="147">
        <v>387</v>
      </c>
      <c r="CS58" s="147">
        <v>341</v>
      </c>
      <c r="CT58" s="147">
        <f t="shared" ref="CT58:CT62" si="137">SUM(K58:N58)</f>
        <v>331</v>
      </c>
      <c r="CU58" s="147">
        <f t="shared" ref="CU58:CU62" si="138">SUM(O58:R58)</f>
        <v>299</v>
      </c>
      <c r="CV58" s="147">
        <f t="shared" ref="CV58:CV62" si="139">SUM(S58:V58)</f>
        <v>428</v>
      </c>
      <c r="CW58" s="146">
        <f t="shared" ref="CW58:CW66" si="140">SUM(W58:Z58)</f>
        <v>469</v>
      </c>
      <c r="CX58" s="146">
        <f t="shared" ref="CX58:CX64" si="141">SUM(AA58:AD58)</f>
        <v>557</v>
      </c>
      <c r="CY58" s="147">
        <f>CX58*0.9</f>
        <v>501.3</v>
      </c>
      <c r="CZ58" s="147">
        <f t="shared" ref="CZ58:DE58" si="142">CY58*0.9</f>
        <v>451.17</v>
      </c>
      <c r="DA58" s="147">
        <f t="shared" si="142"/>
        <v>406.053</v>
      </c>
      <c r="DB58" s="147">
        <f t="shared" si="142"/>
        <v>365.4477</v>
      </c>
      <c r="DC58" s="147">
        <f t="shared" si="142"/>
        <v>328.90293000000003</v>
      </c>
      <c r="DD58" s="147">
        <f t="shared" si="142"/>
        <v>296.01263700000004</v>
      </c>
      <c r="DE58" s="147">
        <f t="shared" si="142"/>
        <v>266.41137330000004</v>
      </c>
      <c r="DF58" s="147">
        <f t="shared" ref="DF58" si="143">DE58*0.9</f>
        <v>239.77023597000004</v>
      </c>
      <c r="DG58" s="147"/>
      <c r="DH58" s="146"/>
      <c r="DI58" s="146"/>
      <c r="DJ58" s="146"/>
      <c r="DK58" s="146"/>
      <c r="DL58" s="147"/>
      <c r="DM58" s="147"/>
      <c r="DN58" s="147"/>
    </row>
    <row r="59" spans="2:127" x14ac:dyDescent="0.2">
      <c r="B59" s="65" t="s">
        <v>65</v>
      </c>
      <c r="C59" s="172">
        <v>51</v>
      </c>
      <c r="D59" s="172">
        <v>42</v>
      </c>
      <c r="E59" s="172">
        <v>40</v>
      </c>
      <c r="F59" s="172">
        <v>40</v>
      </c>
      <c r="G59" s="147">
        <v>40</v>
      </c>
      <c r="H59" s="147">
        <v>38</v>
      </c>
      <c r="I59" s="147">
        <v>41</v>
      </c>
      <c r="J59" s="147">
        <v>45</v>
      </c>
      <c r="K59" s="73">
        <f>896-K24-K48-K75-K49-K73</f>
        <v>41</v>
      </c>
      <c r="L59" s="73">
        <f>918-L24-L48-L75-L49-L73</f>
        <v>38</v>
      </c>
      <c r="M59" s="73">
        <f>913-M24-M48-M75-M49-M73</f>
        <v>35</v>
      </c>
      <c r="N59" s="73">
        <f>915-N24-N48-N75-N49-N73</f>
        <v>33</v>
      </c>
      <c r="O59" s="73">
        <f>796-O24-O48-O75-O49-O73</f>
        <v>34</v>
      </c>
      <c r="P59" s="73">
        <f>828-P24-P48-P75-P49-P73</f>
        <v>34</v>
      </c>
      <c r="Q59" s="73">
        <f>825-Q24-Q48-Q75-Q49-Q73</f>
        <v>35</v>
      </c>
      <c r="R59" s="73">
        <f>899-R24-R48-R75-R49-R73</f>
        <v>35</v>
      </c>
      <c r="S59" s="73">
        <f>829-S24-S48-S75-S49-S73</f>
        <v>33</v>
      </c>
      <c r="T59" s="73">
        <f>818-T24-T48-T75-T49-T73-T80</f>
        <v>32</v>
      </c>
      <c r="U59" s="73">
        <f>585-U24-U48-U75-U49-U73-U80</f>
        <v>36</v>
      </c>
      <c r="V59" s="73">
        <f>665-V24-V48-V75-V49-V73-V80</f>
        <v>36</v>
      </c>
      <c r="W59" s="73">
        <f>499-W24-W48-W75-W49-W73-W80</f>
        <v>37</v>
      </c>
      <c r="X59" s="73">
        <f>449-X24-X48-X75-X49-X73-X80</f>
        <v>47</v>
      </c>
      <c r="Y59" s="73">
        <f>418-Y24-Y48-Y75-Y49-Y73-Y80</f>
        <v>50</v>
      </c>
      <c r="Z59" s="73">
        <f>504-Z24-Z48-Z75-Z49-Z73-Z80</f>
        <v>51</v>
      </c>
      <c r="AA59" s="73">
        <f>417-AA24-AA48-AA75-AA49-AA73-AA80</f>
        <v>46</v>
      </c>
      <c r="AB59" s="73">
        <f>450-AB24-AB48-AB75-AB49-AB73-AB80</f>
        <v>45</v>
      </c>
      <c r="AC59" s="73">
        <f>436-AC24-AC48-AC75-AC49-AC73-AC80</f>
        <v>48</v>
      </c>
      <c r="AD59" s="73">
        <f>450-AD24-AD48-AD75-AD49-AD73-AD80</f>
        <v>46</v>
      </c>
      <c r="AE59" s="73">
        <f>396-AE24-AE48-AE75-AE49-AE73-AE80-AE85</f>
        <v>31</v>
      </c>
      <c r="AF59" s="73">
        <f>421-51-12-128-57-107-14-23</f>
        <v>29</v>
      </c>
      <c r="AG59" s="73">
        <f>458-54-13-153-56-109-14-23</f>
        <v>36</v>
      </c>
      <c r="AH59" s="73">
        <f>446-54-17-141-52-116-15-20</f>
        <v>31</v>
      </c>
      <c r="AI59" s="73">
        <f>401-44-148-45-91-12-20</f>
        <v>41</v>
      </c>
      <c r="AJ59" s="73">
        <v>59</v>
      </c>
      <c r="AP59" s="73">
        <v>62</v>
      </c>
      <c r="AR59" s="73">
        <v>0</v>
      </c>
      <c r="CP59" s="147"/>
      <c r="CQ59" s="147">
        <v>210</v>
      </c>
      <c r="CR59" s="147">
        <v>173</v>
      </c>
      <c r="CS59" s="147">
        <v>164</v>
      </c>
      <c r="CT59" s="147">
        <f t="shared" si="137"/>
        <v>147</v>
      </c>
      <c r="CU59" s="147">
        <f t="shared" si="138"/>
        <v>138</v>
      </c>
      <c r="CV59" s="147">
        <f t="shared" si="139"/>
        <v>137</v>
      </c>
      <c r="CW59" s="146">
        <f t="shared" si="140"/>
        <v>185</v>
      </c>
      <c r="CX59" s="147">
        <f t="shared" si="141"/>
        <v>185</v>
      </c>
      <c r="CY59" s="147">
        <f>CX59*0.95</f>
        <v>175.75</v>
      </c>
      <c r="CZ59" s="147">
        <f t="shared" ref="CZ59:DE59" si="144">CY59*0.95</f>
        <v>166.96250000000001</v>
      </c>
      <c r="DA59" s="147">
        <f t="shared" si="144"/>
        <v>158.614375</v>
      </c>
      <c r="DB59" s="147">
        <f t="shared" si="144"/>
        <v>150.68365624999998</v>
      </c>
      <c r="DC59" s="147">
        <f t="shared" si="144"/>
        <v>143.14947343749998</v>
      </c>
      <c r="DD59" s="147">
        <f t="shared" si="144"/>
        <v>135.99199976562497</v>
      </c>
      <c r="DE59" s="147">
        <f t="shared" si="144"/>
        <v>129.19239977734372</v>
      </c>
      <c r="DF59" s="147">
        <f>DE59*0.95</f>
        <v>122.73277978847653</v>
      </c>
      <c r="DG59" s="147"/>
      <c r="DH59" s="146"/>
      <c r="DI59" s="146"/>
      <c r="DJ59" s="146"/>
      <c r="DK59" s="146"/>
      <c r="DL59" s="147"/>
      <c r="DM59" s="147"/>
      <c r="DN59" s="147"/>
    </row>
    <row r="60" spans="2:127" x14ac:dyDescent="0.2">
      <c r="B60" s="112" t="s">
        <v>1321</v>
      </c>
      <c r="C60" s="172">
        <v>10</v>
      </c>
      <c r="D60" s="172">
        <v>12</v>
      </c>
      <c r="E60" s="172">
        <v>13</v>
      </c>
      <c r="F60" s="172">
        <v>14</v>
      </c>
      <c r="G60" s="147">
        <v>14</v>
      </c>
      <c r="H60" s="147">
        <v>16</v>
      </c>
      <c r="I60" s="147">
        <v>41</v>
      </c>
      <c r="J60" s="147">
        <v>25</v>
      </c>
      <c r="K60" s="147">
        <f>699-399-236-38</f>
        <v>26</v>
      </c>
      <c r="L60" s="73">
        <f>719-393-245-40-17</f>
        <v>24</v>
      </c>
      <c r="M60" s="73">
        <f>703-363-242-42-30</f>
        <v>26</v>
      </c>
      <c r="N60" s="73">
        <f>706-360-242-42-37</f>
        <v>25</v>
      </c>
      <c r="O60" s="73">
        <f>768-359-250-40-92</f>
        <v>27</v>
      </c>
      <c r="P60" s="73">
        <f>755-364-252-44-67</f>
        <v>28</v>
      </c>
      <c r="Q60" s="73">
        <f>714-360-256-42-28</f>
        <v>28</v>
      </c>
      <c r="R60" s="73">
        <f>791-283-359-42-75</f>
        <v>32</v>
      </c>
      <c r="S60" s="73">
        <f>739-358-274-46-29</f>
        <v>32</v>
      </c>
      <c r="T60" s="73">
        <f>751-104-104-50-38-34-26-277-47-3</f>
        <v>68</v>
      </c>
      <c r="U60" s="73">
        <f>792-110-110-49-40-35-27-303-42-12</f>
        <v>64</v>
      </c>
      <c r="V60" s="73">
        <f>924-V50-V99-V100-V98-V66-V95-V96-V97-V88</f>
        <v>79</v>
      </c>
      <c r="W60" s="73">
        <f>1116-W50-W99-W100-W98-W66-W95-W96-W97-W88</f>
        <v>83</v>
      </c>
      <c r="X60" s="73">
        <f>952-X50-X99-X100-X98-X66-X95-X96-X97-X88</f>
        <v>80</v>
      </c>
      <c r="Y60" s="73">
        <f>1049-Y50-Y99-Y100-Y98-Y66-Y95-Y96-Y97-Y88</f>
        <v>80</v>
      </c>
      <c r="Z60" s="73">
        <f>1033-Z50-Z99-Z100-Z98-Z66-Z95-Z96-Z97-Z88</f>
        <v>92</v>
      </c>
      <c r="AA60" s="73">
        <f>358-AA88-AA50-AA66</f>
        <v>46</v>
      </c>
      <c r="AB60" s="73">
        <f>286-AB88-AB50-AB66</f>
        <v>51</v>
      </c>
      <c r="AC60" s="73">
        <f>218-AC88-AC50-AC66</f>
        <v>50</v>
      </c>
      <c r="AD60" s="73">
        <f>224-AD88-AD50-AD66-AD78</f>
        <v>20</v>
      </c>
      <c r="AE60" s="73">
        <f>201-28-9-90-56</f>
        <v>18</v>
      </c>
      <c r="AF60" s="73">
        <f>209-30-12-86-62</f>
        <v>19</v>
      </c>
      <c r="AG60" s="73">
        <f>202-32-2-87-63</f>
        <v>18</v>
      </c>
      <c r="AH60" s="73">
        <f>195-37-4-76-56</f>
        <v>22</v>
      </c>
      <c r="AI60" s="73">
        <f>184-29-24-63-58</f>
        <v>10</v>
      </c>
      <c r="AJ60" s="73">
        <v>17</v>
      </c>
      <c r="AP60" s="73">
        <v>57</v>
      </c>
      <c r="AR60" s="73">
        <v>0</v>
      </c>
      <c r="CP60" s="147"/>
      <c r="CQ60" s="147">
        <v>43</v>
      </c>
      <c r="CR60" s="147">
        <v>49</v>
      </c>
      <c r="CS60" s="147">
        <v>96</v>
      </c>
      <c r="CT60" s="147">
        <f t="shared" si="137"/>
        <v>101</v>
      </c>
      <c r="CU60" s="147">
        <f t="shared" si="138"/>
        <v>115</v>
      </c>
      <c r="CV60" s="147">
        <f t="shared" si="139"/>
        <v>243</v>
      </c>
      <c r="CW60" s="146">
        <f t="shared" si="140"/>
        <v>335</v>
      </c>
      <c r="CX60" s="147">
        <f t="shared" si="141"/>
        <v>167</v>
      </c>
      <c r="CY60" s="147">
        <f t="shared" ref="CY60:DF60" si="145">CX60*0.95</f>
        <v>158.65</v>
      </c>
      <c r="CZ60" s="147">
        <f t="shared" si="145"/>
        <v>150.7175</v>
      </c>
      <c r="DA60" s="147">
        <f t="shared" si="145"/>
        <v>143.181625</v>
      </c>
      <c r="DB60" s="147">
        <f t="shared" si="145"/>
        <v>136.02254374999998</v>
      </c>
      <c r="DC60" s="147">
        <f t="shared" si="145"/>
        <v>129.22141656249997</v>
      </c>
      <c r="DD60" s="147">
        <f t="shared" si="145"/>
        <v>122.76034573437497</v>
      </c>
      <c r="DE60" s="147">
        <f t="shared" si="145"/>
        <v>116.62232844765622</v>
      </c>
      <c r="DF60" s="147">
        <f t="shared" si="145"/>
        <v>110.7912120252734</v>
      </c>
      <c r="DG60" s="147"/>
      <c r="DH60" s="146"/>
      <c r="DI60" s="146"/>
      <c r="DJ60" s="146"/>
      <c r="DK60" s="146"/>
      <c r="DL60" s="147"/>
      <c r="DM60" s="147"/>
      <c r="DN60" s="147"/>
    </row>
    <row r="61" spans="2:127" x14ac:dyDescent="0.2">
      <c r="B61" s="65" t="s">
        <v>366</v>
      </c>
      <c r="C61" s="172">
        <f>18+180</f>
        <v>198</v>
      </c>
      <c r="D61" s="172">
        <f>20+192</f>
        <v>212</v>
      </c>
      <c r="E61" s="172">
        <f>19+201</f>
        <v>220</v>
      </c>
      <c r="F61" s="172">
        <f>15+190</f>
        <v>205</v>
      </c>
      <c r="G61" s="147">
        <f>21+189</f>
        <v>210</v>
      </c>
      <c r="H61" s="147">
        <f>21+204</f>
        <v>225</v>
      </c>
      <c r="I61" s="147">
        <f>21+215</f>
        <v>236</v>
      </c>
      <c r="J61" s="147">
        <f>17+229</f>
        <v>246</v>
      </c>
      <c r="K61" s="73">
        <f>288-K76-K64</f>
        <v>259</v>
      </c>
      <c r="L61" s="73">
        <f>289-L76-L64</f>
        <v>261</v>
      </c>
      <c r="M61" s="73">
        <f>279-M76-M64</f>
        <v>251</v>
      </c>
      <c r="N61" s="73">
        <f>213-N76-N64</f>
        <v>185</v>
      </c>
      <c r="O61" s="73">
        <f>147-O76-O64</f>
        <v>113</v>
      </c>
      <c r="P61" s="73">
        <f>126-P76-P64</f>
        <v>86</v>
      </c>
      <c r="Q61" s="73">
        <f>104-Q76-Q64</f>
        <v>58</v>
      </c>
      <c r="R61" s="73">
        <f>100-31-19</f>
        <v>50</v>
      </c>
      <c r="S61" s="73">
        <f>113-30-19</f>
        <v>64</v>
      </c>
      <c r="T61" s="73">
        <f>117-35-22</f>
        <v>60</v>
      </c>
      <c r="U61" s="73">
        <f>128-34-26</f>
        <v>68</v>
      </c>
      <c r="V61" s="73">
        <f>138-41-35</f>
        <v>62</v>
      </c>
      <c r="W61" s="73">
        <f>144-43-2-34</f>
        <v>65</v>
      </c>
      <c r="X61" s="73">
        <f>166-43-3-41-1</f>
        <v>78</v>
      </c>
      <c r="Y61" s="73">
        <f>149-41-3-46-Y63</f>
        <v>56</v>
      </c>
      <c r="Z61" s="73">
        <f>170-45-5-48</f>
        <v>72</v>
      </c>
      <c r="AA61" s="73">
        <f>169-5-40-6-53-5</f>
        <v>60</v>
      </c>
      <c r="AB61" s="73">
        <f>175-8-40-8-56-8</f>
        <v>55</v>
      </c>
      <c r="AC61" s="73">
        <f>172-9-35-7-58-11</f>
        <v>52</v>
      </c>
      <c r="AD61" s="73">
        <f>172-9-29-10-60-14</f>
        <v>50</v>
      </c>
      <c r="AE61" s="73">
        <f>150-9-14-12-52-17</f>
        <v>46</v>
      </c>
      <c r="AF61" s="73">
        <f>165-11-13-17-59-22</f>
        <v>43</v>
      </c>
      <c r="AG61" s="73">
        <f>196-12-18-22-61-30</f>
        <v>53</v>
      </c>
      <c r="AH61" s="73">
        <f>182-12-12-24-59-31</f>
        <v>44</v>
      </c>
      <c r="AI61" s="73">
        <f>179-12-27-60-33</f>
        <v>47</v>
      </c>
      <c r="AJ61" s="73">
        <v>52</v>
      </c>
      <c r="AP61" s="73">
        <v>56</v>
      </c>
      <c r="AR61" s="73">
        <v>33</v>
      </c>
      <c r="CP61" s="147">
        <v>708</v>
      </c>
      <c r="CQ61" s="147">
        <f>116+774</f>
        <v>890</v>
      </c>
      <c r="CR61" s="147">
        <f>72+763</f>
        <v>835</v>
      </c>
      <c r="CS61" s="146">
        <f>80+837</f>
        <v>917</v>
      </c>
      <c r="CT61" s="147">
        <f t="shared" si="137"/>
        <v>956</v>
      </c>
      <c r="CU61" s="147">
        <f t="shared" si="138"/>
        <v>307</v>
      </c>
      <c r="CV61" s="147">
        <f t="shared" si="139"/>
        <v>254</v>
      </c>
      <c r="CW61" s="146">
        <f t="shared" si="140"/>
        <v>271</v>
      </c>
      <c r="CX61" s="147">
        <f t="shared" si="141"/>
        <v>217</v>
      </c>
      <c r="CY61" s="147">
        <f>CX61*0.95</f>
        <v>206.14999999999998</v>
      </c>
      <c r="CZ61" s="147">
        <f t="shared" ref="CZ61:DE61" si="146">CY61*0.95</f>
        <v>195.84249999999997</v>
      </c>
      <c r="DA61" s="147">
        <f t="shared" si="146"/>
        <v>186.05037499999997</v>
      </c>
      <c r="DB61" s="147">
        <f t="shared" si="146"/>
        <v>176.74785624999996</v>
      </c>
      <c r="DC61" s="147">
        <f t="shared" si="146"/>
        <v>167.91046343749994</v>
      </c>
      <c r="DD61" s="147">
        <f t="shared" si="146"/>
        <v>159.51494026562494</v>
      </c>
      <c r="DE61" s="147">
        <f t="shared" si="146"/>
        <v>151.53919325234369</v>
      </c>
      <c r="DF61" s="147">
        <f t="shared" ref="DF61" si="147">DE61*0.95</f>
        <v>143.96223358972651</v>
      </c>
      <c r="DG61" s="147"/>
      <c r="DH61" s="146"/>
      <c r="DI61" s="146"/>
      <c r="DJ61" s="146"/>
      <c r="DK61" s="146"/>
      <c r="DL61" s="147"/>
      <c r="DM61" s="147"/>
      <c r="DN61" s="147"/>
    </row>
    <row r="62" spans="2:127" x14ac:dyDescent="0.2">
      <c r="B62" s="65" t="s">
        <v>719</v>
      </c>
      <c r="C62" s="171">
        <v>0</v>
      </c>
      <c r="D62" s="171">
        <v>0</v>
      </c>
      <c r="E62" s="171">
        <v>0</v>
      </c>
      <c r="F62" s="171">
        <v>0</v>
      </c>
      <c r="G62" s="147">
        <v>52</v>
      </c>
      <c r="H62" s="147">
        <v>55</v>
      </c>
      <c r="I62" s="147">
        <v>49</v>
      </c>
      <c r="J62" s="147">
        <v>55</v>
      </c>
      <c r="K62" s="146">
        <v>51</v>
      </c>
      <c r="L62" s="73">
        <v>56</v>
      </c>
      <c r="M62" s="73">
        <v>49</v>
      </c>
      <c r="N62" s="73">
        <v>53</v>
      </c>
      <c r="O62" s="73">
        <v>47</v>
      </c>
      <c r="P62" s="73">
        <v>45</v>
      </c>
      <c r="Q62" s="73">
        <v>41</v>
      </c>
      <c r="R62" s="73">
        <v>51</v>
      </c>
      <c r="S62" s="73">
        <v>51</v>
      </c>
      <c r="T62" s="73">
        <v>58</v>
      </c>
      <c r="U62" s="73">
        <v>59</v>
      </c>
      <c r="V62" s="73">
        <v>58</v>
      </c>
      <c r="W62" s="73">
        <v>55</v>
      </c>
      <c r="X62" s="73">
        <v>58</v>
      </c>
      <c r="Y62" s="73">
        <v>56</v>
      </c>
      <c r="Z62" s="73">
        <v>60</v>
      </c>
      <c r="AA62" s="73">
        <v>56</v>
      </c>
      <c r="AB62" s="73">
        <v>57</v>
      </c>
      <c r="AC62" s="73">
        <v>54</v>
      </c>
      <c r="AD62" s="73">
        <v>55</v>
      </c>
      <c r="AE62" s="73">
        <v>54</v>
      </c>
      <c r="AF62" s="73">
        <v>60</v>
      </c>
      <c r="AG62" s="73">
        <v>60</v>
      </c>
      <c r="AH62" s="73">
        <v>60</v>
      </c>
      <c r="AI62" s="73">
        <v>61</v>
      </c>
      <c r="AJ62" s="73">
        <v>59</v>
      </c>
      <c r="AP62" s="73">
        <v>55</v>
      </c>
      <c r="AR62" s="73">
        <v>0</v>
      </c>
      <c r="CP62" s="146">
        <v>0</v>
      </c>
      <c r="CQ62" s="146">
        <v>0</v>
      </c>
      <c r="CR62" s="146">
        <v>65</v>
      </c>
      <c r="CS62" s="146">
        <v>211</v>
      </c>
      <c r="CT62" s="147">
        <f t="shared" si="137"/>
        <v>209</v>
      </c>
      <c r="CU62" s="147">
        <f t="shared" si="138"/>
        <v>184</v>
      </c>
      <c r="CV62" s="147">
        <f t="shared" si="139"/>
        <v>226</v>
      </c>
      <c r="CW62" s="146">
        <f t="shared" si="140"/>
        <v>229</v>
      </c>
      <c r="CX62" s="147">
        <f t="shared" si="141"/>
        <v>222</v>
      </c>
      <c r="CY62" s="146">
        <f>SUM(AE62:AH62)</f>
        <v>234</v>
      </c>
      <c r="CZ62" s="146">
        <f t="shared" ref="CZ62:DE62" si="148">CY62*1.01</f>
        <v>236.34</v>
      </c>
      <c r="DA62" s="146">
        <f t="shared" si="148"/>
        <v>238.70340000000002</v>
      </c>
      <c r="DB62" s="146">
        <f t="shared" si="148"/>
        <v>241.09043400000002</v>
      </c>
      <c r="DC62" s="146">
        <f t="shared" si="148"/>
        <v>243.50133834000002</v>
      </c>
      <c r="DD62" s="146">
        <f t="shared" si="148"/>
        <v>245.93635172340001</v>
      </c>
      <c r="DE62" s="146">
        <f t="shared" si="148"/>
        <v>248.39571524063402</v>
      </c>
      <c r="DF62" s="146">
        <f>DE62*1.01</f>
        <v>250.87967239304035</v>
      </c>
      <c r="DG62" s="146"/>
      <c r="DH62" s="146"/>
      <c r="DI62" s="146"/>
      <c r="DJ62" s="146"/>
      <c r="DK62" s="146"/>
      <c r="DL62" s="146"/>
      <c r="DM62" s="146"/>
      <c r="DN62" s="146"/>
      <c r="DO62" s="112"/>
    </row>
    <row r="63" spans="2:127" x14ac:dyDescent="0.2">
      <c r="B63" s="65" t="s">
        <v>372</v>
      </c>
      <c r="C63" s="172"/>
      <c r="D63" s="172"/>
      <c r="E63" s="172"/>
      <c r="F63" s="172"/>
      <c r="G63" s="147"/>
      <c r="H63" s="147"/>
      <c r="I63" s="147"/>
      <c r="J63" s="147"/>
      <c r="W63" s="73">
        <v>2</v>
      </c>
      <c r="X63" s="73">
        <v>3</v>
      </c>
      <c r="Y63" s="177">
        <v>3</v>
      </c>
      <c r="Z63" s="73">
        <v>5</v>
      </c>
      <c r="AA63" s="73">
        <v>6</v>
      </c>
      <c r="AB63" s="73">
        <v>8</v>
      </c>
      <c r="AC63" s="73">
        <v>7</v>
      </c>
      <c r="AD63" s="73">
        <v>10</v>
      </c>
      <c r="AE63" s="73">
        <v>12</v>
      </c>
      <c r="AF63" s="73">
        <v>17</v>
      </c>
      <c r="AG63" s="73">
        <v>22</v>
      </c>
      <c r="AH63" s="73">
        <v>24</v>
      </c>
      <c r="AI63" s="73">
        <v>27</v>
      </c>
      <c r="AJ63" s="73">
        <v>30</v>
      </c>
      <c r="AP63" s="73">
        <v>52</v>
      </c>
      <c r="AR63" s="73">
        <v>55</v>
      </c>
      <c r="CP63" s="147"/>
      <c r="CQ63" s="147"/>
      <c r="CR63" s="147"/>
      <c r="CS63" s="146"/>
      <c r="CT63" s="146"/>
      <c r="CU63" s="147">
        <v>0</v>
      </c>
      <c r="CV63" s="147">
        <v>0</v>
      </c>
      <c r="CW63" s="146">
        <f t="shared" si="140"/>
        <v>13</v>
      </c>
      <c r="CX63" s="146">
        <f t="shared" si="141"/>
        <v>31</v>
      </c>
      <c r="CY63" s="146">
        <f>SUM(AE63:AH63)</f>
        <v>75</v>
      </c>
      <c r="CZ63" s="146">
        <v>75</v>
      </c>
      <c r="DA63" s="146">
        <v>100</v>
      </c>
      <c r="DB63" s="146">
        <v>100</v>
      </c>
      <c r="DC63" s="146">
        <v>100</v>
      </c>
      <c r="DD63" s="146">
        <v>100</v>
      </c>
      <c r="DE63" s="146">
        <v>100</v>
      </c>
      <c r="DF63" s="146">
        <v>100</v>
      </c>
      <c r="DG63" s="146"/>
      <c r="DH63" s="146"/>
      <c r="DI63" s="146"/>
      <c r="DJ63" s="146"/>
      <c r="DK63" s="146"/>
      <c r="DL63" s="146"/>
      <c r="DM63" s="146"/>
      <c r="DN63" s="146"/>
    </row>
    <row r="64" spans="2:127" x14ac:dyDescent="0.2">
      <c r="B64" s="65" t="s">
        <v>155</v>
      </c>
      <c r="C64" s="171"/>
      <c r="D64" s="171"/>
      <c r="E64" s="171"/>
      <c r="F64" s="171"/>
      <c r="G64" s="147"/>
      <c r="H64" s="147"/>
      <c r="I64" s="147"/>
      <c r="J64" s="147"/>
      <c r="K64" s="147">
        <v>0</v>
      </c>
      <c r="L64" s="73">
        <v>0</v>
      </c>
      <c r="M64" s="73">
        <v>0</v>
      </c>
      <c r="N64" s="73">
        <v>0</v>
      </c>
      <c r="O64" s="73">
        <v>4</v>
      </c>
      <c r="P64" s="73">
        <v>12</v>
      </c>
      <c r="Q64" s="73">
        <v>16</v>
      </c>
      <c r="R64" s="73">
        <v>19</v>
      </c>
      <c r="S64" s="73">
        <v>19</v>
      </c>
      <c r="T64" s="73">
        <v>22</v>
      </c>
      <c r="U64" s="73">
        <v>26</v>
      </c>
      <c r="V64" s="73">
        <v>35</v>
      </c>
      <c r="W64" s="73">
        <v>34</v>
      </c>
      <c r="X64" s="73">
        <v>41</v>
      </c>
      <c r="Y64" s="73">
        <v>46</v>
      </c>
      <c r="Z64" s="73">
        <v>48</v>
      </c>
      <c r="AA64" s="73">
        <v>53</v>
      </c>
      <c r="AB64" s="73">
        <v>56</v>
      </c>
      <c r="AC64" s="73">
        <v>58</v>
      </c>
      <c r="AD64" s="73">
        <v>60</v>
      </c>
      <c r="AE64" s="73">
        <v>52</v>
      </c>
      <c r="AF64" s="73">
        <v>59</v>
      </c>
      <c r="AG64" s="73">
        <v>61</v>
      </c>
      <c r="AH64" s="73">
        <v>59</v>
      </c>
      <c r="AI64" s="73">
        <v>60</v>
      </c>
      <c r="AJ64" s="73">
        <v>60</v>
      </c>
      <c r="AP64" s="73">
        <v>49</v>
      </c>
      <c r="AR64" s="73">
        <v>45</v>
      </c>
      <c r="CP64" s="146"/>
      <c r="CQ64" s="146"/>
      <c r="CR64" s="146"/>
      <c r="CS64" s="146"/>
      <c r="CT64" s="147"/>
      <c r="CU64" s="147">
        <f>SUM(O64:R64)</f>
        <v>51</v>
      </c>
      <c r="CV64" s="147">
        <f>SUM(S64:V64)</f>
        <v>102</v>
      </c>
      <c r="CW64" s="146">
        <f t="shared" si="140"/>
        <v>169</v>
      </c>
      <c r="CX64" s="147">
        <f t="shared" si="141"/>
        <v>227</v>
      </c>
      <c r="CY64" s="147">
        <f>SUM(AE64:AH64)</f>
        <v>231</v>
      </c>
      <c r="CZ64" s="147">
        <f>CY64*1.1</f>
        <v>254.10000000000002</v>
      </c>
      <c r="DA64" s="147">
        <f>CZ64*1.1</f>
        <v>279.51000000000005</v>
      </c>
      <c r="DB64" s="147">
        <f>DA64*1.1</f>
        <v>307.46100000000007</v>
      </c>
      <c r="DC64" s="147">
        <f>DB64*1.1</f>
        <v>338.20710000000008</v>
      </c>
      <c r="DD64" s="147">
        <v>425</v>
      </c>
      <c r="DE64" s="147">
        <v>425</v>
      </c>
      <c r="DF64" s="147">
        <v>425</v>
      </c>
      <c r="DG64" s="147"/>
      <c r="DH64" s="146"/>
      <c r="DI64" s="146"/>
      <c r="DJ64" s="146"/>
      <c r="DK64" s="146"/>
      <c r="DL64" s="147"/>
      <c r="DM64" s="147"/>
      <c r="DN64" s="147"/>
      <c r="DO64" s="112"/>
    </row>
    <row r="65" spans="2:119" x14ac:dyDescent="0.2">
      <c r="B65" s="65" t="s">
        <v>360</v>
      </c>
      <c r="C65" s="172">
        <v>32</v>
      </c>
      <c r="D65" s="172">
        <v>32</v>
      </c>
      <c r="E65" s="172">
        <v>36</v>
      </c>
      <c r="F65" s="172">
        <v>37</v>
      </c>
      <c r="G65" s="147">
        <v>32</v>
      </c>
      <c r="H65" s="147">
        <v>37</v>
      </c>
      <c r="I65" s="147">
        <v>38</v>
      </c>
      <c r="J65" s="147">
        <v>41</v>
      </c>
      <c r="K65" s="73">
        <f>434-K84-K86</f>
        <v>35</v>
      </c>
      <c r="L65" s="73">
        <f>529-L84-L86</f>
        <v>33</v>
      </c>
      <c r="M65" s="73">
        <f>438-M84-M86</f>
        <v>88</v>
      </c>
      <c r="N65" s="73">
        <f>474-N84-N86</f>
        <v>116</v>
      </c>
      <c r="O65" s="73">
        <f>476-O84-O86</f>
        <v>30</v>
      </c>
      <c r="P65" s="73">
        <f>420-P84-P86</f>
        <v>35</v>
      </c>
      <c r="Q65" s="73">
        <f>297-Q84-Q86</f>
        <v>31</v>
      </c>
      <c r="R65" s="73">
        <f>321-R84-R86</f>
        <v>38</v>
      </c>
      <c r="S65" s="73">
        <f>274-S84-S86</f>
        <v>34</v>
      </c>
      <c r="T65" s="73">
        <f>285-T84-T86</f>
        <v>35</v>
      </c>
      <c r="U65" s="73">
        <f>289-U84-U86</f>
        <v>42</v>
      </c>
      <c r="V65" s="73">
        <f>345-V84-V86</f>
        <v>40</v>
      </c>
      <c r="W65" s="73">
        <f>294-W84-W86</f>
        <v>35</v>
      </c>
      <c r="X65" s="73">
        <f>303-X84-X86</f>
        <v>39</v>
      </c>
      <c r="Y65" s="73">
        <f>284-Y84-Y86</f>
        <v>39</v>
      </c>
      <c r="Z65" s="73">
        <f>300-Z84-Z86</f>
        <v>42</v>
      </c>
      <c r="AA65" s="73">
        <f>230-169-23</f>
        <v>38</v>
      </c>
      <c r="AB65" s="73">
        <f>213-152-20</f>
        <v>41</v>
      </c>
      <c r="AC65" s="73">
        <f>125-70-17</f>
        <v>38</v>
      </c>
      <c r="AD65" s="73">
        <f>110-49-18</f>
        <v>43</v>
      </c>
      <c r="AE65" s="73">
        <f>91-36-16</f>
        <v>39</v>
      </c>
      <c r="AF65" s="73">
        <f>85-26-18</f>
        <v>41</v>
      </c>
      <c r="AG65" s="73">
        <f>83-22-17</f>
        <v>44</v>
      </c>
      <c r="AH65" s="73">
        <f>103-39-14</f>
        <v>50</v>
      </c>
      <c r="AI65" s="73">
        <f>33+8</f>
        <v>41</v>
      </c>
      <c r="AJ65" s="73">
        <v>42</v>
      </c>
      <c r="AP65" s="73">
        <v>43</v>
      </c>
      <c r="AR65" s="73">
        <v>0</v>
      </c>
      <c r="CP65" s="147"/>
      <c r="CQ65" s="147">
        <v>148</v>
      </c>
      <c r="CR65" s="147">
        <v>137</v>
      </c>
      <c r="CS65" s="147">
        <v>148</v>
      </c>
      <c r="CT65" s="147">
        <f>SUM(K65:N65)</f>
        <v>272</v>
      </c>
      <c r="CU65" s="147">
        <f>SUM(O65:R65)</f>
        <v>134</v>
      </c>
      <c r="CV65" s="147">
        <f>SUM(S65:V65)</f>
        <v>151</v>
      </c>
      <c r="CW65" s="146">
        <f t="shared" si="140"/>
        <v>155</v>
      </c>
      <c r="CX65" s="147">
        <f>SUM(AA65:AD65)</f>
        <v>160</v>
      </c>
      <c r="CY65" s="147">
        <f>CX65*0.9</f>
        <v>144</v>
      </c>
      <c r="CZ65" s="147">
        <f t="shared" ref="CZ65:DE65" si="149">CY65*0.9</f>
        <v>129.6</v>
      </c>
      <c r="DA65" s="147">
        <f t="shared" si="149"/>
        <v>116.64</v>
      </c>
      <c r="DB65" s="147">
        <f t="shared" si="149"/>
        <v>104.976</v>
      </c>
      <c r="DC65" s="147">
        <f t="shared" si="149"/>
        <v>94.478400000000008</v>
      </c>
      <c r="DD65" s="147">
        <f t="shared" si="149"/>
        <v>85.030560000000008</v>
      </c>
      <c r="DE65" s="147">
        <f t="shared" si="149"/>
        <v>76.527504000000008</v>
      </c>
      <c r="DF65" s="147">
        <f>DE65*0.9</f>
        <v>68.874753600000005</v>
      </c>
      <c r="DG65" s="147"/>
      <c r="DH65" s="146"/>
      <c r="DI65" s="146"/>
      <c r="DJ65" s="146"/>
      <c r="DK65" s="146"/>
      <c r="DL65" s="147"/>
      <c r="DM65" s="147"/>
      <c r="DN65" s="147"/>
    </row>
    <row r="66" spans="2:119" x14ac:dyDescent="0.2">
      <c r="B66" s="65" t="s">
        <v>74</v>
      </c>
      <c r="C66" s="171">
        <v>30</v>
      </c>
      <c r="D66" s="171">
        <v>33</v>
      </c>
      <c r="E66" s="171">
        <v>33</v>
      </c>
      <c r="F66" s="171">
        <v>34</v>
      </c>
      <c r="G66" s="147">
        <v>29</v>
      </c>
      <c r="H66" s="147">
        <v>37</v>
      </c>
      <c r="I66" s="147">
        <v>37</v>
      </c>
      <c r="J66" s="147">
        <v>42</v>
      </c>
      <c r="K66" s="147">
        <v>38</v>
      </c>
      <c r="L66" s="73">
        <v>40</v>
      </c>
      <c r="M66" s="73">
        <v>42</v>
      </c>
      <c r="N66" s="73">
        <v>42</v>
      </c>
      <c r="O66" s="73">
        <v>40</v>
      </c>
      <c r="P66" s="73">
        <v>44</v>
      </c>
      <c r="Q66" s="73">
        <v>42</v>
      </c>
      <c r="R66" s="73">
        <v>42</v>
      </c>
      <c r="S66" s="73">
        <v>46</v>
      </c>
      <c r="T66" s="73">
        <v>47</v>
      </c>
      <c r="U66" s="73">
        <v>42</v>
      </c>
      <c r="V66" s="73">
        <v>53</v>
      </c>
      <c r="W66" s="73">
        <v>53</v>
      </c>
      <c r="X66" s="73">
        <v>55</v>
      </c>
      <c r="Y66" s="73">
        <v>54</v>
      </c>
      <c r="Z66" s="73">
        <v>55</v>
      </c>
      <c r="AA66" s="73">
        <v>52</v>
      </c>
      <c r="AB66" s="73">
        <v>62</v>
      </c>
      <c r="AC66" s="73">
        <v>55</v>
      </c>
      <c r="AD66" s="73">
        <v>64</v>
      </c>
      <c r="AE66" s="73">
        <v>56</v>
      </c>
      <c r="AF66" s="73">
        <v>62</v>
      </c>
      <c r="AG66" s="73">
        <v>63</v>
      </c>
      <c r="AH66" s="73">
        <v>56</v>
      </c>
      <c r="AI66" s="73">
        <v>58</v>
      </c>
      <c r="AJ66" s="73">
        <v>60</v>
      </c>
      <c r="AP66" s="73">
        <v>43</v>
      </c>
      <c r="AR66" s="73">
        <v>40</v>
      </c>
      <c r="CP66" s="146">
        <v>123</v>
      </c>
      <c r="CQ66" s="146">
        <v>129</v>
      </c>
      <c r="CR66" s="146">
        <v>132</v>
      </c>
      <c r="CS66" s="146">
        <v>145</v>
      </c>
      <c r="CT66" s="147">
        <f>SUM(K66:N66)</f>
        <v>162</v>
      </c>
      <c r="CU66" s="147">
        <f>SUM(O66:R66)</f>
        <v>168</v>
      </c>
      <c r="CV66" s="147">
        <f>SUM(S66:V66)</f>
        <v>188</v>
      </c>
      <c r="CW66" s="146">
        <f t="shared" si="140"/>
        <v>217</v>
      </c>
      <c r="CX66" s="147">
        <f>SUM(AA66:AD66)</f>
        <v>233</v>
      </c>
      <c r="CY66" s="146">
        <f>SUM(AE66:AH66)</f>
        <v>237</v>
      </c>
      <c r="CZ66" s="147">
        <f t="shared" ref="CZ66:DD66" si="150">CY66*0.9</f>
        <v>213.3</v>
      </c>
      <c r="DA66" s="147">
        <f t="shared" si="150"/>
        <v>191.97000000000003</v>
      </c>
      <c r="DB66" s="147">
        <f t="shared" si="150"/>
        <v>172.77300000000002</v>
      </c>
      <c r="DC66" s="147">
        <f t="shared" si="150"/>
        <v>155.49570000000003</v>
      </c>
      <c r="DD66" s="147">
        <f t="shared" si="150"/>
        <v>139.94613000000004</v>
      </c>
      <c r="DE66" s="147">
        <f>DD66*0.5</f>
        <v>69.97306500000002</v>
      </c>
      <c r="DF66" s="147">
        <f>DE66*0.5</f>
        <v>34.98653250000001</v>
      </c>
      <c r="DG66" s="147"/>
      <c r="DH66" s="146"/>
      <c r="DI66" s="146"/>
      <c r="DJ66" s="146"/>
      <c r="DK66" s="146"/>
      <c r="DL66" s="147"/>
      <c r="DM66" s="147"/>
      <c r="DN66" s="147"/>
    </row>
    <row r="67" spans="2:119" x14ac:dyDescent="0.2">
      <c r="B67" s="65" t="s">
        <v>562</v>
      </c>
      <c r="C67" s="172"/>
      <c r="D67" s="172"/>
      <c r="E67" s="172"/>
      <c r="F67" s="172"/>
      <c r="G67" s="147"/>
      <c r="H67" s="147"/>
      <c r="I67" s="147"/>
      <c r="J67" s="147"/>
      <c r="W67" s="73">
        <v>2</v>
      </c>
      <c r="X67" s="73">
        <v>4</v>
      </c>
      <c r="Y67" s="73">
        <v>6</v>
      </c>
      <c r="Z67" s="73">
        <v>7</v>
      </c>
      <c r="AA67" s="73">
        <v>9</v>
      </c>
      <c r="AB67" s="73">
        <v>10</v>
      </c>
      <c r="AC67" s="73">
        <v>11</v>
      </c>
      <c r="AD67" s="73">
        <v>16</v>
      </c>
      <c r="AE67" s="73">
        <v>22</v>
      </c>
      <c r="AF67" s="73">
        <v>22</v>
      </c>
      <c r="AG67" s="73">
        <v>25</v>
      </c>
      <c r="AH67" s="73">
        <v>28</v>
      </c>
      <c r="AI67" s="73">
        <v>28</v>
      </c>
      <c r="AJ67" s="73">
        <v>31</v>
      </c>
      <c r="AP67" s="73">
        <v>40</v>
      </c>
      <c r="AR67" s="73">
        <v>0</v>
      </c>
      <c r="CP67" s="147"/>
      <c r="CQ67" s="147"/>
      <c r="CR67" s="147"/>
      <c r="CS67" s="146"/>
      <c r="CT67" s="146"/>
      <c r="CU67" s="147"/>
      <c r="CV67" s="147"/>
      <c r="CW67" s="146">
        <f>SUM(W67:AA67)</f>
        <v>28</v>
      </c>
      <c r="CX67" s="146">
        <f>SUM(AA67:AD67)</f>
        <v>46</v>
      </c>
      <c r="CY67" s="146">
        <f>SUM(AE67:AH67)</f>
        <v>97</v>
      </c>
      <c r="CZ67" s="146"/>
      <c r="DA67" s="146"/>
      <c r="DB67" s="146"/>
      <c r="DC67" s="146"/>
      <c r="DD67" s="146"/>
      <c r="DH67" s="146"/>
      <c r="DI67" s="146"/>
      <c r="DJ67" s="146"/>
      <c r="DK67" s="146"/>
    </row>
    <row r="68" spans="2:119" x14ac:dyDescent="0.2">
      <c r="B68" s="112" t="s">
        <v>1319</v>
      </c>
      <c r="C68" s="172"/>
      <c r="D68" s="172"/>
      <c r="E68" s="172"/>
      <c r="F68" s="172"/>
      <c r="G68" s="147"/>
      <c r="H68" s="147"/>
      <c r="I68" s="147"/>
      <c r="J68" s="147"/>
      <c r="AE68" s="73">
        <v>15</v>
      </c>
      <c r="AF68" s="73">
        <v>15</v>
      </c>
      <c r="AG68" s="73">
        <v>12</v>
      </c>
      <c r="AH68" s="73">
        <v>22</v>
      </c>
      <c r="AI68" s="73">
        <v>36</v>
      </c>
      <c r="AJ68" s="73">
        <v>32</v>
      </c>
      <c r="AP68" s="73">
        <v>36</v>
      </c>
      <c r="AR68" s="73">
        <v>0</v>
      </c>
      <c r="CP68" s="147"/>
      <c r="CQ68" s="147"/>
      <c r="CR68" s="147"/>
      <c r="CS68" s="146"/>
      <c r="CT68" s="146"/>
      <c r="CU68" s="147"/>
      <c r="CV68" s="147"/>
      <c r="CW68" s="146"/>
      <c r="CX68" s="146"/>
      <c r="CY68" s="146">
        <f>SUM(AE68:AH68)</f>
        <v>64</v>
      </c>
      <c r="CZ68" s="146"/>
      <c r="DA68" s="146"/>
      <c r="DB68" s="146"/>
      <c r="DC68" s="146"/>
      <c r="DD68" s="146"/>
      <c r="DH68" s="146"/>
      <c r="DI68" s="146"/>
      <c r="DJ68" s="146"/>
      <c r="DK68" s="146"/>
    </row>
    <row r="69" spans="2:119" x14ac:dyDescent="0.2">
      <c r="B69" s="112" t="s">
        <v>1345</v>
      </c>
      <c r="C69" s="172"/>
      <c r="D69" s="172"/>
      <c r="E69" s="172"/>
      <c r="F69" s="172"/>
      <c r="G69" s="147"/>
      <c r="H69" s="147"/>
      <c r="I69" s="147"/>
      <c r="J69" s="147"/>
      <c r="AR69" s="73">
        <v>33</v>
      </c>
      <c r="CP69" s="147"/>
      <c r="CQ69" s="147"/>
      <c r="CR69" s="147"/>
      <c r="CS69" s="146"/>
      <c r="CT69" s="146"/>
      <c r="CU69" s="147"/>
      <c r="CV69" s="147"/>
      <c r="CW69" s="146"/>
      <c r="CX69" s="146"/>
      <c r="CY69" s="146"/>
      <c r="CZ69" s="146"/>
      <c r="DA69" s="146"/>
      <c r="DB69" s="146"/>
      <c r="DC69" s="146"/>
      <c r="DD69" s="146"/>
      <c r="DH69" s="146"/>
      <c r="DI69" s="146"/>
      <c r="DJ69" s="146"/>
      <c r="DK69" s="146"/>
    </row>
    <row r="70" spans="2:119" x14ac:dyDescent="0.2">
      <c r="B70" s="112" t="s">
        <v>1344</v>
      </c>
      <c r="C70" s="172"/>
      <c r="D70" s="172"/>
      <c r="E70" s="172"/>
      <c r="F70" s="172"/>
      <c r="G70" s="147"/>
      <c r="H70" s="147"/>
      <c r="I70" s="147"/>
      <c r="J70" s="147"/>
      <c r="AR70" s="73">
        <v>16</v>
      </c>
      <c r="CP70" s="147"/>
      <c r="CQ70" s="147"/>
      <c r="CR70" s="147"/>
      <c r="CS70" s="146"/>
      <c r="CT70" s="146"/>
      <c r="CU70" s="147"/>
      <c r="CV70" s="147"/>
      <c r="CW70" s="146"/>
      <c r="CX70" s="146"/>
      <c r="CY70" s="146"/>
      <c r="CZ70" s="146"/>
      <c r="DA70" s="146"/>
      <c r="DB70" s="146"/>
      <c r="DC70" s="146"/>
      <c r="DD70" s="146"/>
      <c r="DH70" s="146"/>
      <c r="DI70" s="146"/>
      <c r="DJ70" s="146"/>
      <c r="DK70" s="146"/>
    </row>
    <row r="71" spans="2:119" x14ac:dyDescent="0.2">
      <c r="B71" s="65" t="s">
        <v>82</v>
      </c>
      <c r="C71" s="171">
        <v>0</v>
      </c>
      <c r="D71" s="171">
        <v>0</v>
      </c>
      <c r="E71" s="171">
        <v>0</v>
      </c>
      <c r="F71" s="171">
        <v>0</v>
      </c>
      <c r="G71" s="147">
        <v>4</v>
      </c>
      <c r="H71" s="147">
        <v>5</v>
      </c>
      <c r="I71" s="147">
        <v>7</v>
      </c>
      <c r="J71" s="147">
        <v>8</v>
      </c>
      <c r="K71" s="146">
        <v>11</v>
      </c>
      <c r="L71" s="73">
        <v>13</v>
      </c>
      <c r="M71" s="73">
        <v>13</v>
      </c>
      <c r="N71" s="73">
        <v>21</v>
      </c>
      <c r="O71" s="73">
        <v>20</v>
      </c>
      <c r="P71" s="73">
        <v>26</v>
      </c>
      <c r="Q71" s="73">
        <v>25</v>
      </c>
      <c r="R71" s="73">
        <v>29</v>
      </c>
      <c r="S71" s="73">
        <v>35</v>
      </c>
      <c r="T71" s="73">
        <v>36</v>
      </c>
      <c r="U71" s="73">
        <v>44</v>
      </c>
      <c r="V71" s="73">
        <v>55</v>
      </c>
      <c r="W71" s="73">
        <v>59</v>
      </c>
      <c r="X71" s="73">
        <v>61</v>
      </c>
      <c r="Y71" s="73">
        <v>60</v>
      </c>
      <c r="Z71" s="73">
        <v>74</v>
      </c>
      <c r="AA71" s="73">
        <v>70</v>
      </c>
      <c r="AB71" s="73">
        <v>79</v>
      </c>
      <c r="AC71" s="73">
        <v>72</v>
      </c>
      <c r="AD71" s="73">
        <v>80</v>
      </c>
      <c r="AE71" s="73">
        <v>74</v>
      </c>
      <c r="AF71" s="73">
        <v>75</v>
      </c>
      <c r="AG71" s="73">
        <v>71</v>
      </c>
      <c r="AH71" s="73">
        <v>56</v>
      </c>
      <c r="AI71" s="73">
        <v>48</v>
      </c>
      <c r="AJ71" s="73">
        <v>47</v>
      </c>
      <c r="AK71" s="73">
        <v>47</v>
      </c>
      <c r="AP71" s="73">
        <v>33</v>
      </c>
      <c r="CP71" s="146"/>
      <c r="CQ71" s="146">
        <v>0</v>
      </c>
      <c r="CR71" s="146">
        <v>0</v>
      </c>
      <c r="CS71" s="146">
        <v>24</v>
      </c>
      <c r="CT71" s="147">
        <f>SUM(K71:N71)</f>
        <v>58</v>
      </c>
      <c r="CU71" s="147">
        <f>SUM(O71:R71)</f>
        <v>100</v>
      </c>
      <c r="CV71" s="147">
        <f>SUM(S71:V71)</f>
        <v>170</v>
      </c>
      <c r="CW71" s="146">
        <f>SUM(W71:Z71)</f>
        <v>254</v>
      </c>
      <c r="CX71" s="147">
        <f>SUM(AA71:AD71)</f>
        <v>301</v>
      </c>
      <c r="CY71" s="146">
        <f>CX71*1.01</f>
        <v>304.01</v>
      </c>
      <c r="CZ71" s="146">
        <f t="shared" ref="CZ71:DE71" si="151">CY71*1.01</f>
        <v>307.05009999999999</v>
      </c>
      <c r="DA71" s="146">
        <f t="shared" si="151"/>
        <v>310.12060099999997</v>
      </c>
      <c r="DB71" s="146">
        <f t="shared" si="151"/>
        <v>313.22180700999996</v>
      </c>
      <c r="DC71" s="146">
        <f t="shared" si="151"/>
        <v>316.35402508009997</v>
      </c>
      <c r="DD71" s="146">
        <f t="shared" si="151"/>
        <v>319.51756533090099</v>
      </c>
      <c r="DE71" s="146">
        <f t="shared" si="151"/>
        <v>322.71274098421003</v>
      </c>
      <c r="DF71" s="146">
        <f>DE71*1.01</f>
        <v>325.93986839405216</v>
      </c>
      <c r="DG71" s="146">
        <f>DF71*1.01</f>
        <v>329.19926707799266</v>
      </c>
      <c r="DH71" s="146"/>
      <c r="DI71" s="146"/>
      <c r="DJ71" s="146"/>
      <c r="DK71" s="146"/>
      <c r="DL71" s="146"/>
      <c r="DM71" s="146"/>
      <c r="DN71" s="146"/>
      <c r="DO71" s="112"/>
    </row>
    <row r="72" spans="2:119" x14ac:dyDescent="0.2">
      <c r="B72" s="65" t="s">
        <v>60</v>
      </c>
      <c r="C72" s="171">
        <v>89</v>
      </c>
      <c r="D72" s="171">
        <v>93</v>
      </c>
      <c r="E72" s="171">
        <v>82</v>
      </c>
      <c r="F72" s="171">
        <v>85</v>
      </c>
      <c r="G72" s="146">
        <v>79</v>
      </c>
      <c r="H72" s="146">
        <v>85</v>
      </c>
      <c r="I72" s="146">
        <v>79</v>
      </c>
      <c r="J72" s="146">
        <v>87</v>
      </c>
      <c r="K72" s="146">
        <v>74</v>
      </c>
      <c r="L72" s="73">
        <v>74</v>
      </c>
      <c r="M72" s="73">
        <v>69</v>
      </c>
      <c r="N72" s="73">
        <v>74</v>
      </c>
      <c r="O72" s="73">
        <v>65</v>
      </c>
      <c r="P72" s="73">
        <v>70</v>
      </c>
      <c r="Q72" s="73">
        <v>63</v>
      </c>
      <c r="R72" s="73">
        <v>71</v>
      </c>
      <c r="S72" s="73">
        <v>67</v>
      </c>
      <c r="T72" s="73">
        <v>66</v>
      </c>
      <c r="U72" s="73">
        <v>60</v>
      </c>
      <c r="V72" s="73">
        <v>70</v>
      </c>
      <c r="W72" s="73">
        <v>62</v>
      </c>
      <c r="X72" s="73">
        <v>59</v>
      </c>
      <c r="Y72" s="73">
        <v>54</v>
      </c>
      <c r="Z72" s="73">
        <v>61</v>
      </c>
      <c r="AA72" s="73">
        <v>51</v>
      </c>
      <c r="AB72" s="73">
        <v>52</v>
      </c>
      <c r="AC72" s="73">
        <v>48</v>
      </c>
      <c r="AD72" s="73">
        <v>50</v>
      </c>
      <c r="AE72" s="73">
        <v>52</v>
      </c>
      <c r="AF72" s="73">
        <v>43</v>
      </c>
      <c r="AG72" s="73">
        <v>43</v>
      </c>
      <c r="AH72" s="73">
        <v>44</v>
      </c>
      <c r="AI72" s="73">
        <v>38</v>
      </c>
      <c r="AJ72" s="73">
        <v>38</v>
      </c>
      <c r="AP72" s="73">
        <v>31</v>
      </c>
      <c r="AR72" s="73">
        <v>26</v>
      </c>
      <c r="CP72" s="146">
        <v>523</v>
      </c>
      <c r="CQ72" s="146">
        <v>432</v>
      </c>
      <c r="CR72" s="146">
        <v>349</v>
      </c>
      <c r="CS72" s="146">
        <v>330</v>
      </c>
      <c r="CT72" s="147">
        <f>SUM(K72:N72)</f>
        <v>291</v>
      </c>
      <c r="CU72" s="146">
        <f>SUM(O72:R72)</f>
        <v>269</v>
      </c>
      <c r="CV72" s="147">
        <f>SUM(S72:V72)</f>
        <v>263</v>
      </c>
      <c r="CW72" s="146">
        <f>SUM(W72:Z72)</f>
        <v>236</v>
      </c>
      <c r="CX72" s="147">
        <f>SUM(AA72:AD72)</f>
        <v>201</v>
      </c>
      <c r="CY72" s="146">
        <f>CX72*0.9</f>
        <v>180.9</v>
      </c>
      <c r="CZ72" s="146">
        <f t="shared" ref="CZ72:DE72" si="152">CY72*0.9</f>
        <v>162.81</v>
      </c>
      <c r="DA72" s="146">
        <f t="shared" si="152"/>
        <v>146.529</v>
      </c>
      <c r="DB72" s="146">
        <f t="shared" si="152"/>
        <v>131.87610000000001</v>
      </c>
      <c r="DC72" s="146">
        <f t="shared" si="152"/>
        <v>118.68849000000002</v>
      </c>
      <c r="DD72" s="146">
        <f t="shared" si="152"/>
        <v>106.81964100000002</v>
      </c>
      <c r="DE72" s="146">
        <f t="shared" si="152"/>
        <v>96.137676900000017</v>
      </c>
      <c r="DF72" s="146">
        <f>DE72*0.9</f>
        <v>86.523909210000014</v>
      </c>
      <c r="DG72" s="146">
        <f>DF72*0.9</f>
        <v>77.871518289000008</v>
      </c>
      <c r="DH72" s="146"/>
      <c r="DI72" s="146"/>
      <c r="DJ72" s="146"/>
      <c r="DK72" s="146"/>
      <c r="DL72" s="146"/>
      <c r="DM72" s="146"/>
      <c r="DN72" s="146"/>
    </row>
    <row r="73" spans="2:119" x14ac:dyDescent="0.2">
      <c r="B73" s="65" t="s">
        <v>64</v>
      </c>
      <c r="C73" s="171">
        <v>26</v>
      </c>
      <c r="D73" s="171">
        <v>29</v>
      </c>
      <c r="E73" s="171">
        <v>29</v>
      </c>
      <c r="F73" s="171">
        <v>32</v>
      </c>
      <c r="G73" s="147">
        <v>30</v>
      </c>
      <c r="H73" s="147">
        <v>34</v>
      </c>
      <c r="I73" s="147">
        <v>42</v>
      </c>
      <c r="J73" s="147">
        <v>50</v>
      </c>
      <c r="K73" s="147">
        <v>58</v>
      </c>
      <c r="L73" s="73">
        <v>64</v>
      </c>
      <c r="M73" s="73">
        <v>70</v>
      </c>
      <c r="N73" s="73">
        <v>76</v>
      </c>
      <c r="O73" s="73">
        <v>80</v>
      </c>
      <c r="P73" s="73">
        <v>84</v>
      </c>
      <c r="Q73" s="73">
        <v>87</v>
      </c>
      <c r="R73" s="73">
        <v>95</v>
      </c>
      <c r="S73" s="73">
        <v>94</v>
      </c>
      <c r="T73" s="73">
        <v>58</v>
      </c>
      <c r="U73" s="73">
        <v>56</v>
      </c>
      <c r="V73" s="73">
        <v>58</v>
      </c>
      <c r="W73" s="73">
        <v>50</v>
      </c>
      <c r="X73" s="73">
        <v>51</v>
      </c>
      <c r="Y73" s="73">
        <v>43</v>
      </c>
      <c r="Z73" s="73">
        <v>65</v>
      </c>
      <c r="AA73" s="73">
        <v>55</v>
      </c>
      <c r="AB73" s="73">
        <v>60</v>
      </c>
      <c r="AC73" s="73">
        <v>58</v>
      </c>
      <c r="AD73" s="73">
        <v>60</v>
      </c>
      <c r="AE73" s="73">
        <v>53</v>
      </c>
      <c r="AF73" s="73">
        <v>57</v>
      </c>
      <c r="AG73" s="73">
        <v>56</v>
      </c>
      <c r="AH73" s="73">
        <v>52</v>
      </c>
      <c r="AI73" s="73">
        <v>45</v>
      </c>
      <c r="AJ73" s="73">
        <v>44</v>
      </c>
      <c r="AP73" s="73">
        <v>29</v>
      </c>
      <c r="AR73" s="73">
        <v>26</v>
      </c>
      <c r="CP73" s="146">
        <v>89</v>
      </c>
      <c r="CQ73" s="146">
        <v>98</v>
      </c>
      <c r="CR73" s="146">
        <v>116</v>
      </c>
      <c r="CS73" s="146">
        <v>156</v>
      </c>
      <c r="CT73" s="147">
        <f t="shared" ref="CT73:CT76" si="153">SUM(K73:N73)</f>
        <v>268</v>
      </c>
      <c r="CU73" s="147">
        <f t="shared" ref="CU73:CU74" si="154">SUM(O73:R73)</f>
        <v>346</v>
      </c>
      <c r="CV73" s="147">
        <f t="shared" ref="CV73:CV76" si="155">SUM(S73:V73)</f>
        <v>266</v>
      </c>
      <c r="CW73" s="146">
        <f t="shared" ref="CW73:CW74" si="156">SUM(W73:Z73)</f>
        <v>209</v>
      </c>
      <c r="CX73" s="147">
        <f t="shared" ref="CX73" si="157">SUM(AA73:AD73)</f>
        <v>233</v>
      </c>
      <c r="CY73" s="146">
        <f>SUM(AE73:AH73)</f>
        <v>218</v>
      </c>
      <c r="CZ73" s="147">
        <f t="shared" ref="CZ73:DD73" si="158">CY73*0.8</f>
        <v>174.4</v>
      </c>
      <c r="DA73" s="147">
        <f t="shared" si="158"/>
        <v>139.52000000000001</v>
      </c>
      <c r="DB73" s="147">
        <f t="shared" si="158"/>
        <v>111.61600000000001</v>
      </c>
      <c r="DC73" s="147">
        <f t="shared" si="158"/>
        <v>89.292800000000014</v>
      </c>
      <c r="DD73" s="147">
        <f t="shared" si="158"/>
        <v>71.434240000000017</v>
      </c>
      <c r="DE73" s="147">
        <f>DD73*0.8</f>
        <v>57.147392000000018</v>
      </c>
      <c r="DF73" s="147">
        <f>DE73*0.8</f>
        <v>45.717913600000017</v>
      </c>
      <c r="DG73" s="147">
        <f>DF73*0.8</f>
        <v>36.574330880000012</v>
      </c>
      <c r="DH73" s="146"/>
      <c r="DI73" s="146"/>
      <c r="DJ73" s="146"/>
      <c r="DK73" s="146"/>
      <c r="DL73" s="147"/>
      <c r="DM73" s="147"/>
      <c r="DN73" s="147"/>
    </row>
    <row r="74" spans="2:119" x14ac:dyDescent="0.2">
      <c r="B74" s="65" t="s">
        <v>79</v>
      </c>
      <c r="C74" s="171">
        <v>94</v>
      </c>
      <c r="D74" s="171">
        <v>113</v>
      </c>
      <c r="E74" s="171">
        <v>110</v>
      </c>
      <c r="F74" s="171">
        <v>115</v>
      </c>
      <c r="G74" s="147">
        <v>135</v>
      </c>
      <c r="H74" s="147">
        <v>125</v>
      </c>
      <c r="I74" s="147">
        <v>154</v>
      </c>
      <c r="J74" s="147">
        <v>159</v>
      </c>
      <c r="K74" s="147">
        <v>225</v>
      </c>
      <c r="L74" s="73">
        <v>160</v>
      </c>
      <c r="M74" s="73">
        <v>195</v>
      </c>
      <c r="N74" s="73">
        <v>199</v>
      </c>
      <c r="O74" s="73">
        <v>217</v>
      </c>
      <c r="P74" s="73">
        <v>202</v>
      </c>
      <c r="Q74" s="73">
        <v>145</v>
      </c>
      <c r="R74" s="73">
        <v>23</v>
      </c>
      <c r="S74" s="73">
        <v>48</v>
      </c>
      <c r="T74" s="73">
        <v>44</v>
      </c>
      <c r="U74" s="73">
        <v>50</v>
      </c>
      <c r="V74" s="73">
        <v>61</v>
      </c>
      <c r="W74" s="73">
        <v>51</v>
      </c>
      <c r="X74" s="73">
        <v>51</v>
      </c>
      <c r="Y74" s="73">
        <v>39</v>
      </c>
      <c r="Z74" s="73">
        <v>31</v>
      </c>
      <c r="AA74" s="73">
        <v>42</v>
      </c>
      <c r="AB74" s="73">
        <v>44</v>
      </c>
      <c r="AC74" s="73">
        <v>44</v>
      </c>
      <c r="AD74" s="73">
        <v>41</v>
      </c>
      <c r="AE74" s="73">
        <v>37</v>
      </c>
      <c r="AF74" s="73">
        <v>39</v>
      </c>
      <c r="AG74" s="73">
        <v>38</v>
      </c>
      <c r="AH74" s="73">
        <v>41</v>
      </c>
      <c r="AI74" s="73">
        <v>35</v>
      </c>
      <c r="AJ74" s="73">
        <v>35</v>
      </c>
      <c r="AP74" s="73">
        <v>29</v>
      </c>
      <c r="AR74" s="73">
        <v>30</v>
      </c>
      <c r="CP74" s="146">
        <v>306</v>
      </c>
      <c r="CQ74" s="146">
        <v>361</v>
      </c>
      <c r="CR74" s="146">
        <v>432</v>
      </c>
      <c r="CS74" s="146">
        <v>573</v>
      </c>
      <c r="CT74" s="147">
        <f t="shared" si="153"/>
        <v>779</v>
      </c>
      <c r="CU74" s="147">
        <f t="shared" si="154"/>
        <v>587</v>
      </c>
      <c r="CV74" s="147">
        <f t="shared" si="155"/>
        <v>203</v>
      </c>
      <c r="CW74" s="146">
        <f t="shared" si="156"/>
        <v>172</v>
      </c>
      <c r="CX74" s="147">
        <f>CW74</f>
        <v>172</v>
      </c>
      <c r="CY74" s="147">
        <f>CX74*0.9</f>
        <v>154.80000000000001</v>
      </c>
      <c r="CZ74" s="147">
        <f t="shared" ref="CZ74:DD74" si="159">CY74*0.9</f>
        <v>139.32000000000002</v>
      </c>
      <c r="DA74" s="147">
        <f t="shared" si="159"/>
        <v>125.38800000000002</v>
      </c>
      <c r="DB74" s="147">
        <f t="shared" si="159"/>
        <v>112.84920000000002</v>
      </c>
      <c r="DC74" s="147">
        <f t="shared" si="159"/>
        <v>101.56428000000002</v>
      </c>
      <c r="DD74" s="147">
        <f t="shared" si="159"/>
        <v>91.40785200000002</v>
      </c>
      <c r="DE74" s="147">
        <f>DD74*0.9</f>
        <v>82.267066800000023</v>
      </c>
      <c r="DF74" s="147">
        <f>DE74*0.9</f>
        <v>74.040360120000017</v>
      </c>
      <c r="DG74" s="147">
        <f>DF74*0.9</f>
        <v>66.636324108000011</v>
      </c>
      <c r="DH74" s="146"/>
      <c r="DI74" s="146"/>
      <c r="DJ74" s="146"/>
      <c r="DK74" s="146"/>
      <c r="DL74" s="147"/>
      <c r="DM74" s="147"/>
      <c r="DN74" s="147"/>
    </row>
    <row r="75" spans="2:119" x14ac:dyDescent="0.2">
      <c r="B75" s="65" t="s">
        <v>61</v>
      </c>
      <c r="C75" s="171">
        <v>221</v>
      </c>
      <c r="D75" s="171">
        <v>193</v>
      </c>
      <c r="E75" s="171">
        <v>173</v>
      </c>
      <c r="F75" s="171">
        <v>164</v>
      </c>
      <c r="G75" s="147">
        <v>163</v>
      </c>
      <c r="H75" s="147">
        <v>167</v>
      </c>
      <c r="I75" s="147">
        <v>191</v>
      </c>
      <c r="J75" s="147">
        <v>217</v>
      </c>
      <c r="K75" s="146">
        <v>217</v>
      </c>
      <c r="L75" s="73">
        <v>237</v>
      </c>
      <c r="M75" s="73">
        <v>234</v>
      </c>
      <c r="N75" s="73">
        <v>212</v>
      </c>
      <c r="O75" s="73">
        <v>132</v>
      </c>
      <c r="P75" s="73">
        <v>132</v>
      </c>
      <c r="Q75" s="73">
        <v>135</v>
      </c>
      <c r="R75" s="73">
        <v>130</v>
      </c>
      <c r="S75" s="73">
        <v>126</v>
      </c>
      <c r="T75" s="73">
        <v>97</v>
      </c>
      <c r="U75" s="73">
        <v>53</v>
      </c>
      <c r="V75" s="73">
        <v>66</v>
      </c>
      <c r="W75" s="73">
        <v>64</v>
      </c>
      <c r="X75" s="73">
        <v>30</v>
      </c>
      <c r="Y75" s="73">
        <v>16</v>
      </c>
      <c r="Z75" s="73">
        <v>22</v>
      </c>
      <c r="AA75" s="73">
        <v>20</v>
      </c>
      <c r="AB75" s="73">
        <v>21</v>
      </c>
      <c r="AC75" s="73">
        <v>18</v>
      </c>
      <c r="AD75" s="73">
        <v>22</v>
      </c>
      <c r="AE75" s="73">
        <v>19</v>
      </c>
      <c r="AF75" s="73">
        <v>23</v>
      </c>
      <c r="AG75" s="73">
        <v>23</v>
      </c>
      <c r="AH75" s="73">
        <v>20</v>
      </c>
      <c r="AI75" s="73">
        <v>20</v>
      </c>
      <c r="AJ75" s="73">
        <v>20</v>
      </c>
      <c r="AP75" s="73">
        <v>26</v>
      </c>
      <c r="CP75" s="146">
        <v>882</v>
      </c>
      <c r="CQ75" s="146">
        <v>953</v>
      </c>
      <c r="CR75" s="146">
        <v>750</v>
      </c>
      <c r="CS75" s="146">
        <v>739</v>
      </c>
      <c r="CT75" s="147">
        <f>SUM(K75:N75)</f>
        <v>900</v>
      </c>
      <c r="CU75" s="146">
        <f>SUM(O75:R75)</f>
        <v>529</v>
      </c>
      <c r="CV75" s="147">
        <f>SUM(S75:V75)</f>
        <v>342</v>
      </c>
      <c r="CW75" s="146">
        <f>SUM(W75:Z75)</f>
        <v>132</v>
      </c>
      <c r="CX75" s="147">
        <f>SUM(AA75:AD75)</f>
        <v>81</v>
      </c>
      <c r="CY75" s="146">
        <f>SUM(AE75:AH75)</f>
        <v>85</v>
      </c>
      <c r="CZ75" s="146">
        <f>CY75*0.99</f>
        <v>84.15</v>
      </c>
      <c r="DA75" s="146">
        <f t="shared" ref="DA75:DG75" si="160">CZ75*0.99</f>
        <v>83.308500000000009</v>
      </c>
      <c r="DB75" s="146">
        <f t="shared" si="160"/>
        <v>82.475415000000012</v>
      </c>
      <c r="DC75" s="146">
        <f t="shared" si="160"/>
        <v>81.650660850000008</v>
      </c>
      <c r="DD75" s="146">
        <f t="shared" si="160"/>
        <v>80.834154241500002</v>
      </c>
      <c r="DE75" s="146">
        <f t="shared" si="160"/>
        <v>80.025812699084995</v>
      </c>
      <c r="DF75" s="146">
        <f t="shared" si="160"/>
        <v>79.22555457209414</v>
      </c>
      <c r="DG75" s="146">
        <f t="shared" si="160"/>
        <v>78.433299026373192</v>
      </c>
      <c r="DH75" s="146"/>
      <c r="DI75" s="146"/>
      <c r="DJ75" s="146"/>
      <c r="DK75" s="146"/>
      <c r="DL75" s="146"/>
      <c r="DM75" s="146"/>
      <c r="DN75" s="146"/>
    </row>
    <row r="76" spans="2:119" x14ac:dyDescent="0.2">
      <c r="B76" s="65" t="s">
        <v>78</v>
      </c>
      <c r="C76" s="171">
        <v>24</v>
      </c>
      <c r="D76" s="171">
        <v>25</v>
      </c>
      <c r="E76" s="171">
        <v>26</v>
      </c>
      <c r="F76" s="171">
        <v>24</v>
      </c>
      <c r="G76" s="147">
        <v>25</v>
      </c>
      <c r="H76" s="147">
        <v>23</v>
      </c>
      <c r="I76" s="147">
        <v>26</v>
      </c>
      <c r="J76" s="147">
        <v>25</v>
      </c>
      <c r="K76" s="147">
        <v>29</v>
      </c>
      <c r="L76" s="73">
        <v>28</v>
      </c>
      <c r="M76" s="73">
        <v>28</v>
      </c>
      <c r="N76" s="73">
        <v>28</v>
      </c>
      <c r="O76" s="73">
        <v>30</v>
      </c>
      <c r="P76" s="73">
        <v>28</v>
      </c>
      <c r="Q76" s="73">
        <v>30</v>
      </c>
      <c r="R76" s="73">
        <v>31</v>
      </c>
      <c r="S76" s="73">
        <v>30</v>
      </c>
      <c r="T76" s="73">
        <v>35</v>
      </c>
      <c r="U76" s="73">
        <v>34</v>
      </c>
      <c r="V76" s="73">
        <v>41</v>
      </c>
      <c r="W76" s="73">
        <v>43</v>
      </c>
      <c r="X76" s="73">
        <v>43</v>
      </c>
      <c r="Y76" s="73">
        <v>41</v>
      </c>
      <c r="Z76" s="73">
        <v>45</v>
      </c>
      <c r="AA76" s="73">
        <v>40</v>
      </c>
      <c r="AB76" s="73">
        <v>40</v>
      </c>
      <c r="AC76" s="73">
        <v>35</v>
      </c>
      <c r="AD76" s="73">
        <v>29</v>
      </c>
      <c r="AE76" s="73">
        <v>14</v>
      </c>
      <c r="AF76" s="73">
        <v>13</v>
      </c>
      <c r="AG76" s="73">
        <v>18</v>
      </c>
      <c r="AH76" s="73">
        <v>12</v>
      </c>
      <c r="AI76" s="73">
        <v>0</v>
      </c>
      <c r="AJ76" s="73">
        <v>0</v>
      </c>
      <c r="AP76" s="73">
        <v>0</v>
      </c>
      <c r="CP76" s="146">
        <v>94</v>
      </c>
      <c r="CQ76" s="146">
        <v>110</v>
      </c>
      <c r="CR76" s="146">
        <v>99</v>
      </c>
      <c r="CS76" s="146">
        <v>99</v>
      </c>
      <c r="CT76" s="147">
        <f t="shared" si="153"/>
        <v>113</v>
      </c>
      <c r="CU76" s="147">
        <f t="shared" ref="CU76:CU77" si="161">SUM(O76:R76)</f>
        <v>119</v>
      </c>
      <c r="CV76" s="147">
        <f t="shared" si="155"/>
        <v>140</v>
      </c>
      <c r="CW76" s="146">
        <f t="shared" ref="CW76" si="162">SUM(W76:Z76)</f>
        <v>172</v>
      </c>
      <c r="CX76" s="147">
        <f t="shared" ref="CX76:CX77" si="163">SUM(AA76:AD76)</f>
        <v>144</v>
      </c>
      <c r="CY76" s="147">
        <f>CX76*0.5</f>
        <v>72</v>
      </c>
      <c r="CZ76" s="147">
        <f t="shared" ref="CZ76:DE76" si="164">CY76*0.8</f>
        <v>57.6</v>
      </c>
      <c r="DA76" s="147">
        <f t="shared" si="164"/>
        <v>46.080000000000005</v>
      </c>
      <c r="DB76" s="147">
        <f t="shared" si="164"/>
        <v>36.864000000000004</v>
      </c>
      <c r="DC76" s="147">
        <f t="shared" si="164"/>
        <v>29.491200000000006</v>
      </c>
      <c r="DD76" s="147">
        <f t="shared" si="164"/>
        <v>23.592960000000005</v>
      </c>
      <c r="DE76" s="147">
        <f t="shared" si="164"/>
        <v>18.874368000000004</v>
      </c>
      <c r="DF76" s="147">
        <f>DE76*0.8</f>
        <v>15.099494400000005</v>
      </c>
      <c r="DG76" s="147">
        <f>DF76*0.8</f>
        <v>12.079595520000005</v>
      </c>
      <c r="DH76" s="146"/>
      <c r="DI76" s="146"/>
      <c r="DJ76" s="146"/>
      <c r="DK76" s="146"/>
      <c r="DL76" s="147"/>
      <c r="DM76" s="147"/>
      <c r="DN76" s="147"/>
    </row>
    <row r="77" spans="2:119" x14ac:dyDescent="0.2">
      <c r="B77" s="65" t="s">
        <v>333</v>
      </c>
      <c r="C77" s="171">
        <v>157</v>
      </c>
      <c r="D77" s="171">
        <v>133</v>
      </c>
      <c r="E77" s="171">
        <v>145</v>
      </c>
      <c r="F77" s="171">
        <v>143</v>
      </c>
      <c r="G77" s="146">
        <v>171</v>
      </c>
      <c r="H77" s="146">
        <v>148</v>
      </c>
      <c r="I77" s="146">
        <v>166</v>
      </c>
      <c r="J77" s="146">
        <v>171</v>
      </c>
      <c r="K77" s="146">
        <v>131</v>
      </c>
      <c r="L77" s="73">
        <v>68</v>
      </c>
      <c r="M77" s="73">
        <v>64</v>
      </c>
      <c r="N77" s="73">
        <v>48</v>
      </c>
      <c r="O77" s="73">
        <v>63</v>
      </c>
      <c r="P77" s="73">
        <v>55</v>
      </c>
      <c r="Q77" s="73">
        <v>49</v>
      </c>
      <c r="R77" s="73">
        <v>32</v>
      </c>
      <c r="S77" s="73">
        <v>46</v>
      </c>
      <c r="T77" s="73">
        <v>65</v>
      </c>
      <c r="U77" s="73">
        <v>33</v>
      </c>
      <c r="V77" s="73">
        <v>42</v>
      </c>
      <c r="W77" s="73">
        <v>69</v>
      </c>
      <c r="X77" s="73">
        <f>8+12+19</f>
        <v>39</v>
      </c>
      <c r="Y77" s="73">
        <v>28</v>
      </c>
      <c r="Z77" s="73">
        <v>35</v>
      </c>
      <c r="AA77" s="73">
        <v>45</v>
      </c>
      <c r="AB77" s="73">
        <v>50</v>
      </c>
      <c r="AC77" s="73">
        <v>32</v>
      </c>
      <c r="AD77" s="73">
        <v>37</v>
      </c>
      <c r="AE77" s="73">
        <v>48</v>
      </c>
      <c r="AF77" s="73">
        <v>31</v>
      </c>
      <c r="AG77" s="73">
        <v>28</v>
      </c>
      <c r="AH77" s="73">
        <v>31</v>
      </c>
      <c r="AI77" s="73">
        <v>42</v>
      </c>
      <c r="AJ77" s="73">
        <v>31</v>
      </c>
      <c r="AP77" s="73">
        <v>25</v>
      </c>
      <c r="CP77" s="146">
        <v>534</v>
      </c>
      <c r="CQ77" s="146">
        <v>594</v>
      </c>
      <c r="CR77" s="146">
        <v>578</v>
      </c>
      <c r="CS77" s="146">
        <v>656</v>
      </c>
      <c r="CT77" s="147">
        <f>SUM(K77:N77)</f>
        <v>311</v>
      </c>
      <c r="CU77" s="146">
        <f t="shared" si="161"/>
        <v>199</v>
      </c>
      <c r="CV77" s="147">
        <f>SUM(S77:V77)</f>
        <v>186</v>
      </c>
      <c r="CW77" s="146">
        <f>SUM(W77:Z77)</f>
        <v>171</v>
      </c>
      <c r="CX77" s="147">
        <f t="shared" si="163"/>
        <v>164</v>
      </c>
      <c r="CY77" s="146">
        <f>CX77*0.95</f>
        <v>155.79999999999998</v>
      </c>
      <c r="CZ77" s="146">
        <f t="shared" ref="CZ77:DE77" si="165">CY77*0.95</f>
        <v>148.01</v>
      </c>
      <c r="DA77" s="146">
        <f t="shared" si="165"/>
        <v>140.6095</v>
      </c>
      <c r="DB77" s="146">
        <f t="shared" si="165"/>
        <v>133.579025</v>
      </c>
      <c r="DC77" s="146">
        <f t="shared" si="165"/>
        <v>126.90007374999999</v>
      </c>
      <c r="DD77" s="146">
        <f t="shared" si="165"/>
        <v>120.55507006249998</v>
      </c>
      <c r="DE77" s="146">
        <f t="shared" si="165"/>
        <v>114.52731655937498</v>
      </c>
      <c r="DF77" s="146">
        <f>DE77*0.95</f>
        <v>108.80095073140623</v>
      </c>
      <c r="DG77" s="146">
        <f>DF77*0.95</f>
        <v>103.36090319483591</v>
      </c>
      <c r="DH77" s="146"/>
      <c r="DI77" s="146"/>
      <c r="DJ77" s="146"/>
      <c r="DK77" s="146"/>
      <c r="DL77" s="146"/>
      <c r="DM77" s="146"/>
      <c r="DN77" s="146"/>
    </row>
    <row r="78" spans="2:119" x14ac:dyDescent="0.2">
      <c r="B78" s="112" t="s">
        <v>1313</v>
      </c>
      <c r="C78" s="172"/>
      <c r="D78" s="172"/>
      <c r="E78" s="172"/>
      <c r="F78" s="172"/>
      <c r="G78" s="147"/>
      <c r="H78" s="147"/>
      <c r="I78" s="147"/>
      <c r="J78" s="147"/>
      <c r="AD78" s="73">
        <v>33</v>
      </c>
      <c r="AE78" s="73">
        <v>28</v>
      </c>
      <c r="AF78" s="73">
        <v>30</v>
      </c>
      <c r="AG78" s="73">
        <v>32</v>
      </c>
      <c r="AH78" s="73">
        <v>37</v>
      </c>
      <c r="AI78" s="73">
        <v>29</v>
      </c>
      <c r="AJ78" s="73">
        <v>32</v>
      </c>
      <c r="AP78" s="73">
        <v>23</v>
      </c>
      <c r="AR78" s="73">
        <v>21</v>
      </c>
      <c r="CP78" s="147"/>
      <c r="CQ78" s="147"/>
      <c r="CR78" s="147"/>
      <c r="CS78" s="146"/>
      <c r="CT78" s="146"/>
      <c r="CU78" s="147"/>
      <c r="CV78" s="147"/>
      <c r="CW78" s="146"/>
      <c r="CX78" s="146">
        <f>SUM(AA78:AD78)</f>
        <v>33</v>
      </c>
      <c r="CY78" s="146">
        <f>SUM(AE78:AH78)</f>
        <v>127</v>
      </c>
      <c r="CZ78" s="146"/>
      <c r="DA78" s="146"/>
      <c r="DB78" s="146"/>
      <c r="DC78" s="146"/>
      <c r="DD78" s="146"/>
      <c r="DH78" s="146"/>
      <c r="DI78" s="146"/>
      <c r="DJ78" s="146"/>
      <c r="DK78" s="146"/>
    </row>
    <row r="79" spans="2:119" x14ac:dyDescent="0.2">
      <c r="B79" s="112" t="s">
        <v>1330</v>
      </c>
      <c r="C79" s="172"/>
      <c r="D79" s="172"/>
      <c r="E79" s="172"/>
      <c r="F79" s="172"/>
      <c r="G79" s="147"/>
      <c r="H79" s="147"/>
      <c r="I79" s="147"/>
      <c r="J79" s="147"/>
      <c r="K79" s="146"/>
      <c r="AF79" s="73">
        <v>0</v>
      </c>
      <c r="AG79" s="73">
        <v>0</v>
      </c>
      <c r="AH79" s="73">
        <v>0</v>
      </c>
      <c r="AI79" s="73">
        <v>35</v>
      </c>
      <c r="AJ79" s="73">
        <v>35</v>
      </c>
      <c r="AK79" s="73">
        <v>31</v>
      </c>
      <c r="AP79" s="73">
        <v>23</v>
      </c>
      <c r="CP79" s="147"/>
      <c r="CQ79" s="147"/>
      <c r="CR79" s="147"/>
      <c r="CS79" s="146"/>
      <c r="CT79" s="147"/>
      <c r="CU79" s="147"/>
      <c r="CV79" s="147"/>
      <c r="CW79" s="146"/>
      <c r="CX79" s="146"/>
      <c r="CY79" s="146"/>
      <c r="CZ79" s="146"/>
      <c r="DA79" s="146"/>
      <c r="DB79" s="146"/>
      <c r="DC79" s="146"/>
      <c r="DD79" s="146"/>
      <c r="DE79" s="146"/>
      <c r="DF79" s="146"/>
      <c r="DG79" s="146"/>
      <c r="DH79" s="146"/>
      <c r="DI79" s="146"/>
      <c r="DJ79" s="146"/>
      <c r="DK79" s="146"/>
      <c r="DL79" s="146"/>
      <c r="DM79" s="146"/>
      <c r="DN79" s="146"/>
      <c r="DO79" s="112"/>
    </row>
    <row r="80" spans="2:119" x14ac:dyDescent="0.2">
      <c r="B80" s="65" t="s">
        <v>455</v>
      </c>
      <c r="C80" s="172"/>
      <c r="D80" s="172"/>
      <c r="E80" s="172"/>
      <c r="F80" s="172"/>
      <c r="G80" s="147"/>
      <c r="H80" s="147"/>
      <c r="I80" s="147"/>
      <c r="J80" s="147"/>
      <c r="T80" s="73">
        <v>8</v>
      </c>
      <c r="U80" s="73">
        <v>4</v>
      </c>
      <c r="V80" s="73">
        <v>13</v>
      </c>
      <c r="W80" s="73">
        <v>14</v>
      </c>
      <c r="X80" s="73">
        <v>12</v>
      </c>
      <c r="Y80" s="73">
        <v>15</v>
      </c>
      <c r="Z80" s="73">
        <v>14</v>
      </c>
      <c r="AA80" s="73">
        <v>13</v>
      </c>
      <c r="AB80" s="73">
        <v>16</v>
      </c>
      <c r="AC80" s="73">
        <v>13</v>
      </c>
      <c r="AD80" s="73">
        <v>14</v>
      </c>
      <c r="AE80" s="73">
        <v>14</v>
      </c>
      <c r="AF80" s="73">
        <v>14</v>
      </c>
      <c r="AG80" s="73">
        <v>14</v>
      </c>
      <c r="AH80" s="73">
        <v>15</v>
      </c>
      <c r="AI80" s="73">
        <v>12</v>
      </c>
      <c r="AJ80" s="73">
        <v>13</v>
      </c>
      <c r="AP80" s="73">
        <v>0</v>
      </c>
      <c r="CP80" s="147"/>
      <c r="CQ80" s="147"/>
      <c r="CR80" s="147"/>
      <c r="CS80" s="146"/>
      <c r="CT80" s="147"/>
      <c r="CU80" s="147">
        <f>SUM(O80:R80)</f>
        <v>0</v>
      </c>
      <c r="CV80" s="147">
        <f>SUM(S80:V80)</f>
        <v>25</v>
      </c>
      <c r="CW80" s="146">
        <f>SUM(W80:Z80)</f>
        <v>55</v>
      </c>
      <c r="CX80" s="146">
        <f>SUM(AA80:AD80)</f>
        <v>56</v>
      </c>
      <c r="CY80" s="146">
        <f>+CX80*1.2</f>
        <v>67.2</v>
      </c>
      <c r="CZ80" s="146">
        <f t="shared" ref="CZ80:DE80" si="166">+CY80*1.2</f>
        <v>80.64</v>
      </c>
      <c r="DA80" s="146">
        <f t="shared" si="166"/>
        <v>96.768000000000001</v>
      </c>
      <c r="DB80" s="146">
        <f t="shared" si="166"/>
        <v>116.1216</v>
      </c>
      <c r="DC80" s="146">
        <f t="shared" si="166"/>
        <v>139.34592000000001</v>
      </c>
      <c r="DD80" s="146">
        <f t="shared" si="166"/>
        <v>167.215104</v>
      </c>
      <c r="DE80" s="146">
        <f t="shared" si="166"/>
        <v>200.6581248</v>
      </c>
      <c r="DF80" s="146">
        <v>100</v>
      </c>
      <c r="DG80" s="146">
        <v>50</v>
      </c>
      <c r="DH80" s="146"/>
      <c r="DI80" s="146"/>
      <c r="DJ80" s="146"/>
      <c r="DK80" s="146"/>
      <c r="DL80" s="146"/>
      <c r="DM80" s="146"/>
      <c r="DN80" s="146"/>
    </row>
    <row r="81" spans="2:119" x14ac:dyDescent="0.2">
      <c r="B81" s="65" t="s">
        <v>73</v>
      </c>
      <c r="C81" s="171">
        <v>41</v>
      </c>
      <c r="D81" s="171">
        <v>37</v>
      </c>
      <c r="E81" s="171">
        <v>32</v>
      </c>
      <c r="F81" s="171">
        <v>37</v>
      </c>
      <c r="G81" s="147">
        <v>33</v>
      </c>
      <c r="H81" s="147">
        <v>33</v>
      </c>
      <c r="I81" s="147">
        <v>31</v>
      </c>
      <c r="J81" s="147">
        <v>34</v>
      </c>
      <c r="K81" s="147">
        <v>32</v>
      </c>
      <c r="L81" s="73">
        <v>31</v>
      </c>
      <c r="M81" s="73">
        <v>27</v>
      </c>
      <c r="N81" s="73">
        <v>30</v>
      </c>
      <c r="O81" s="73">
        <v>26</v>
      </c>
      <c r="P81" s="73">
        <v>26</v>
      </c>
      <c r="Q81" s="73">
        <v>27</v>
      </c>
      <c r="R81" s="73">
        <v>28</v>
      </c>
      <c r="S81" s="73">
        <v>25</v>
      </c>
      <c r="AA81" s="73">
        <v>49</v>
      </c>
      <c r="AB81" s="73">
        <v>33</v>
      </c>
      <c r="AC81" s="73">
        <v>31</v>
      </c>
      <c r="AD81" s="73">
        <v>39</v>
      </c>
      <c r="AE81" s="73">
        <v>36</v>
      </c>
      <c r="AF81" s="73">
        <v>0</v>
      </c>
      <c r="AG81" s="73">
        <v>0</v>
      </c>
      <c r="AH81" s="73">
        <v>0</v>
      </c>
      <c r="AI81" s="73">
        <v>24</v>
      </c>
      <c r="AJ81" s="73">
        <v>22</v>
      </c>
      <c r="AP81" s="73">
        <v>20</v>
      </c>
      <c r="CP81" s="146">
        <v>228</v>
      </c>
      <c r="CQ81" s="146">
        <v>170</v>
      </c>
      <c r="CR81" s="146">
        <v>147</v>
      </c>
      <c r="CS81" s="146">
        <v>131</v>
      </c>
      <c r="CT81" s="147">
        <f>SUM(K81:N81)</f>
        <v>120</v>
      </c>
      <c r="CU81" s="147">
        <f>SUM(O81:R81)</f>
        <v>107</v>
      </c>
      <c r="CV81" s="147">
        <f>SUM(S81:V81)</f>
        <v>25</v>
      </c>
      <c r="CW81" s="147"/>
      <c r="CX81" s="146">
        <f>SUM(AA81:AD81)</f>
        <v>152</v>
      </c>
      <c r="CY81" s="146">
        <f>SUM(AE81:AH81)</f>
        <v>36</v>
      </c>
      <c r="CZ81" s="147"/>
      <c r="DA81" s="147"/>
      <c r="DB81" s="147"/>
      <c r="DC81" s="147"/>
      <c r="DD81" s="147"/>
      <c r="DE81" s="147"/>
      <c r="DH81" s="146"/>
      <c r="DI81" s="146"/>
      <c r="DJ81" s="146"/>
      <c r="DK81" s="146"/>
    </row>
    <row r="82" spans="2:119" x14ac:dyDescent="0.2">
      <c r="B82" s="65" t="s">
        <v>570</v>
      </c>
      <c r="C82" s="172"/>
      <c r="D82" s="172"/>
      <c r="E82" s="172"/>
      <c r="F82" s="172"/>
      <c r="G82" s="147"/>
      <c r="H82" s="147"/>
      <c r="I82" s="147"/>
      <c r="J82" s="147"/>
      <c r="K82" s="146"/>
      <c r="X82" s="73">
        <v>17</v>
      </c>
      <c r="Y82" s="73">
        <v>18</v>
      </c>
      <c r="Z82" s="73">
        <v>22</v>
      </c>
      <c r="AA82" s="73">
        <v>20</v>
      </c>
      <c r="AB82" s="73">
        <v>20</v>
      </c>
      <c r="AC82" s="73">
        <v>19</v>
      </c>
      <c r="AD82" s="73">
        <v>23</v>
      </c>
      <c r="AE82" s="73">
        <v>31</v>
      </c>
      <c r="AF82" s="73">
        <v>20</v>
      </c>
      <c r="AG82" s="73">
        <v>21</v>
      </c>
      <c r="AH82" s="73">
        <v>24</v>
      </c>
      <c r="AI82" s="73">
        <v>24</v>
      </c>
      <c r="AJ82" s="73">
        <v>18</v>
      </c>
      <c r="AP82" s="73">
        <v>20</v>
      </c>
      <c r="CP82" s="147"/>
      <c r="CQ82" s="147"/>
      <c r="CR82" s="147"/>
      <c r="CS82" s="146"/>
      <c r="CT82" s="147"/>
      <c r="CU82" s="147"/>
      <c r="CV82" s="147"/>
      <c r="CW82" s="146">
        <f>SUM(W82:AA82)</f>
        <v>77</v>
      </c>
      <c r="CX82" s="146">
        <f>SUM(AA82:AD82)</f>
        <v>82</v>
      </c>
      <c r="CY82" s="146">
        <f t="shared" ref="CY82:CY83" si="167">SUM(AE82:AH82)</f>
        <v>96</v>
      </c>
      <c r="CZ82" s="146"/>
      <c r="DA82" s="146"/>
      <c r="DB82" s="146"/>
      <c r="DC82" s="146"/>
      <c r="DD82" s="146"/>
      <c r="DF82" s="152"/>
      <c r="DG82" s="152"/>
      <c r="DH82" s="146"/>
      <c r="DI82" s="146"/>
      <c r="DJ82" s="146"/>
      <c r="DK82" s="146"/>
      <c r="DL82" s="152"/>
      <c r="DM82" s="152"/>
      <c r="DN82" s="152"/>
    </row>
    <row r="83" spans="2:119" x14ac:dyDescent="0.2">
      <c r="B83" s="65" t="s">
        <v>603</v>
      </c>
      <c r="C83" s="172"/>
      <c r="D83" s="172"/>
      <c r="E83" s="172"/>
      <c r="F83" s="172"/>
      <c r="G83" s="147"/>
      <c r="H83" s="147"/>
      <c r="I83" s="147"/>
      <c r="J83" s="147"/>
      <c r="AA83" s="73">
        <v>5</v>
      </c>
      <c r="AB83" s="73">
        <v>8</v>
      </c>
      <c r="AC83" s="73">
        <v>9</v>
      </c>
      <c r="AD83" s="73">
        <v>9</v>
      </c>
      <c r="AE83" s="73">
        <v>9</v>
      </c>
      <c r="AF83" s="73">
        <v>11</v>
      </c>
      <c r="AG83" s="73">
        <v>12</v>
      </c>
      <c r="AH83" s="73">
        <v>12</v>
      </c>
      <c r="AI83" s="73">
        <v>12</v>
      </c>
      <c r="AJ83" s="73">
        <v>15</v>
      </c>
      <c r="AP83" s="73">
        <v>19</v>
      </c>
      <c r="AR83" s="73">
        <v>12</v>
      </c>
      <c r="CP83" s="147"/>
      <c r="CQ83" s="147"/>
      <c r="CR83" s="147"/>
      <c r="CS83" s="146"/>
      <c r="CT83" s="146"/>
      <c r="CU83" s="147" t="s">
        <v>449</v>
      </c>
      <c r="CV83" s="147" t="s">
        <v>449</v>
      </c>
      <c r="CW83" s="146" t="s">
        <v>449</v>
      </c>
      <c r="CX83" s="146">
        <v>20</v>
      </c>
      <c r="CY83" s="146">
        <f t="shared" si="167"/>
        <v>44</v>
      </c>
      <c r="CZ83" s="146">
        <v>150</v>
      </c>
      <c r="DA83" s="146">
        <v>200</v>
      </c>
      <c r="DB83" s="146">
        <v>200</v>
      </c>
      <c r="DC83" s="146">
        <v>200</v>
      </c>
      <c r="DD83" s="146">
        <v>200</v>
      </c>
      <c r="DE83" s="146">
        <v>200</v>
      </c>
      <c r="DF83" s="146">
        <v>200</v>
      </c>
      <c r="DG83" s="146">
        <v>200</v>
      </c>
      <c r="DH83" s="146"/>
      <c r="DI83" s="146"/>
      <c r="DJ83" s="146"/>
      <c r="DK83" s="146"/>
      <c r="DL83" s="146"/>
      <c r="DM83" s="146"/>
      <c r="DN83" s="146"/>
    </row>
    <row r="84" spans="2:119" x14ac:dyDescent="0.2">
      <c r="B84" s="65" t="s">
        <v>14</v>
      </c>
      <c r="C84" s="171">
        <v>237</v>
      </c>
      <c r="D84" s="171">
        <v>306</v>
      </c>
      <c r="E84" s="171">
        <v>284</v>
      </c>
      <c r="F84" s="171">
        <v>287</v>
      </c>
      <c r="G84" s="147">
        <v>287</v>
      </c>
      <c r="H84" s="147">
        <v>352</v>
      </c>
      <c r="I84" s="147">
        <v>355</v>
      </c>
      <c r="J84" s="147">
        <v>335</v>
      </c>
      <c r="K84" s="147">
        <f>344+28+12</f>
        <v>384</v>
      </c>
      <c r="L84" s="73">
        <f>408+64+5</f>
        <v>477</v>
      </c>
      <c r="M84" s="73">
        <v>323</v>
      </c>
      <c r="N84" s="73">
        <v>324</v>
      </c>
      <c r="O84" s="73">
        <v>414</v>
      </c>
      <c r="P84" s="73">
        <v>349</v>
      </c>
      <c r="Q84" s="73">
        <v>225</v>
      </c>
      <c r="R84" s="73">
        <v>231</v>
      </c>
      <c r="S84" s="73">
        <v>191</v>
      </c>
      <c r="T84" s="73">
        <v>194</v>
      </c>
      <c r="U84" s="73">
        <v>191</v>
      </c>
      <c r="V84" s="73">
        <v>229</v>
      </c>
      <c r="W84" s="73">
        <v>197</v>
      </c>
      <c r="X84" s="73">
        <v>198</v>
      </c>
      <c r="Y84" s="73">
        <v>185</v>
      </c>
      <c r="Z84" s="73">
        <v>191</v>
      </c>
      <c r="AA84" s="73">
        <v>169</v>
      </c>
      <c r="AB84" s="73">
        <v>152</v>
      </c>
      <c r="AC84" s="73">
        <v>70</v>
      </c>
      <c r="AD84" s="73">
        <v>49</v>
      </c>
      <c r="AE84" s="73">
        <v>36</v>
      </c>
      <c r="AF84" s="73">
        <v>26</v>
      </c>
      <c r="AG84" s="73">
        <v>22</v>
      </c>
      <c r="AH84" s="73">
        <v>39</v>
      </c>
      <c r="AI84" s="73">
        <v>-8</v>
      </c>
      <c r="AJ84" s="73">
        <v>3</v>
      </c>
      <c r="AP84" s="73">
        <v>0</v>
      </c>
      <c r="CP84" s="146">
        <v>809</v>
      </c>
      <c r="CQ84" s="146">
        <v>929</v>
      </c>
      <c r="CR84" s="146">
        <v>1140</v>
      </c>
      <c r="CS84" s="146">
        <v>1329</v>
      </c>
      <c r="CT84" s="147">
        <f>SUM(K84:N84)</f>
        <v>1508</v>
      </c>
      <c r="CU84" s="147">
        <f>SUM(O84:R84)</f>
        <v>1219</v>
      </c>
      <c r="CV84" s="147">
        <f>SUM(S84:V84)</f>
        <v>805</v>
      </c>
      <c r="CW84" s="146">
        <f>SUM(W84:Z84)</f>
        <v>771</v>
      </c>
      <c r="CX84" s="146">
        <f>SUM(AA84:AD84)</f>
        <v>440</v>
      </c>
      <c r="CY84" s="147">
        <f>SUM(AE84:AH84)</f>
        <v>123</v>
      </c>
      <c r="CZ84" s="147">
        <f>CY84*0.5</f>
        <v>61.5</v>
      </c>
      <c r="DA84" s="147">
        <f>CZ84*0.3</f>
        <v>18.45</v>
      </c>
      <c r="DB84" s="147">
        <f t="shared" ref="DB84:DG84" si="168">DA84*0.9</f>
        <v>16.605</v>
      </c>
      <c r="DC84" s="147">
        <f t="shared" si="168"/>
        <v>14.944500000000001</v>
      </c>
      <c r="DD84" s="147">
        <f t="shared" si="168"/>
        <v>13.450050000000001</v>
      </c>
      <c r="DE84" s="147">
        <f t="shared" si="168"/>
        <v>12.105045</v>
      </c>
      <c r="DF84" s="147">
        <f t="shared" si="168"/>
        <v>10.894540500000002</v>
      </c>
      <c r="DG84" s="147">
        <f t="shared" si="168"/>
        <v>9.805086450000001</v>
      </c>
      <c r="DH84" s="146"/>
      <c r="DI84" s="146"/>
      <c r="DJ84" s="146"/>
      <c r="DK84" s="146"/>
      <c r="DL84" s="147"/>
      <c r="DM84" s="147"/>
      <c r="DN84" s="147"/>
      <c r="DO84" s="112"/>
    </row>
    <row r="85" spans="2:119" x14ac:dyDescent="0.2">
      <c r="B85" s="112" t="s">
        <v>1320</v>
      </c>
      <c r="C85" s="172"/>
      <c r="D85" s="172"/>
      <c r="E85" s="172"/>
      <c r="F85" s="172"/>
      <c r="G85" s="147"/>
      <c r="H85" s="147"/>
      <c r="I85" s="147"/>
      <c r="J85" s="147"/>
      <c r="AE85" s="73">
        <v>11</v>
      </c>
      <c r="AF85" s="73">
        <v>12</v>
      </c>
      <c r="AG85" s="73">
        <v>13</v>
      </c>
      <c r="AH85" s="73">
        <v>17</v>
      </c>
      <c r="AI85" s="73">
        <v>0</v>
      </c>
      <c r="AJ85" s="73">
        <v>0</v>
      </c>
      <c r="AP85" s="73">
        <v>0</v>
      </c>
      <c r="CP85" s="147"/>
      <c r="CQ85" s="147"/>
      <c r="CR85" s="147"/>
      <c r="CS85" s="146"/>
      <c r="CT85" s="146"/>
      <c r="CU85" s="147"/>
      <c r="CV85" s="147"/>
      <c r="CW85" s="146"/>
      <c r="CX85" s="146"/>
      <c r="CY85" s="146">
        <f t="shared" ref="CY85" si="169">SUM(AE85:AH85)</f>
        <v>53</v>
      </c>
      <c r="CZ85" s="146"/>
      <c r="DA85" s="146"/>
      <c r="DB85" s="146"/>
      <c r="DC85" s="146"/>
      <c r="DD85" s="146"/>
      <c r="DH85" s="146"/>
      <c r="DI85" s="146"/>
      <c r="DJ85" s="146"/>
      <c r="DK85" s="146"/>
    </row>
    <row r="86" spans="2:119" x14ac:dyDescent="0.2">
      <c r="B86" s="65" t="s">
        <v>76</v>
      </c>
      <c r="C86" s="171"/>
      <c r="D86" s="171"/>
      <c r="E86" s="171"/>
      <c r="F86" s="171"/>
      <c r="G86" s="147">
        <v>0</v>
      </c>
      <c r="H86" s="147">
        <v>4</v>
      </c>
      <c r="I86" s="147">
        <v>3</v>
      </c>
      <c r="J86" s="147">
        <v>11</v>
      </c>
      <c r="K86" s="146">
        <v>15</v>
      </c>
      <c r="L86" s="73">
        <v>19</v>
      </c>
      <c r="M86" s="73">
        <v>27</v>
      </c>
      <c r="N86" s="73">
        <v>34</v>
      </c>
      <c r="O86" s="73">
        <v>32</v>
      </c>
      <c r="P86" s="73">
        <v>36</v>
      </c>
      <c r="Q86" s="73">
        <v>41</v>
      </c>
      <c r="R86" s="73">
        <v>52</v>
      </c>
      <c r="S86" s="73">
        <v>49</v>
      </c>
      <c r="T86" s="73">
        <v>56</v>
      </c>
      <c r="U86" s="73">
        <v>56</v>
      </c>
      <c r="V86" s="73">
        <v>76</v>
      </c>
      <c r="W86" s="73">
        <v>62</v>
      </c>
      <c r="X86" s="73">
        <v>66</v>
      </c>
      <c r="Y86" s="73">
        <v>60</v>
      </c>
      <c r="Z86" s="73">
        <v>67</v>
      </c>
      <c r="AA86" s="73">
        <v>23</v>
      </c>
      <c r="AB86" s="73">
        <v>20</v>
      </c>
      <c r="AC86" s="73">
        <v>17</v>
      </c>
      <c r="AD86" s="73">
        <v>18</v>
      </c>
      <c r="AE86" s="73">
        <v>16</v>
      </c>
      <c r="AF86" s="73">
        <v>18</v>
      </c>
      <c r="AG86" s="73">
        <v>17</v>
      </c>
      <c r="AH86" s="73">
        <v>14</v>
      </c>
      <c r="AI86" s="73">
        <v>0</v>
      </c>
      <c r="AJ86" s="73">
        <v>0</v>
      </c>
      <c r="AP86" s="73">
        <v>0</v>
      </c>
      <c r="CP86" s="146">
        <v>0</v>
      </c>
      <c r="CQ86" s="146">
        <v>0</v>
      </c>
      <c r="CR86" s="146">
        <v>0</v>
      </c>
      <c r="CS86" s="146">
        <v>18</v>
      </c>
      <c r="CT86" s="147">
        <f>SUM(K86:N86)</f>
        <v>95</v>
      </c>
      <c r="CU86" s="147">
        <f>SUM(O86:R86)</f>
        <v>161</v>
      </c>
      <c r="CV86" s="147">
        <f>SUM(S86:V86)</f>
        <v>237</v>
      </c>
      <c r="CW86" s="146">
        <f>SUM(W86:Z86)</f>
        <v>255</v>
      </c>
      <c r="CX86" s="146">
        <f>CW86*1.15</f>
        <v>293.25</v>
      </c>
      <c r="CY86" s="146">
        <f>CX86*1.15</f>
        <v>337.23749999999995</v>
      </c>
      <c r="CZ86" s="146">
        <f>CY86*1.15</f>
        <v>387.82312499999989</v>
      </c>
      <c r="DA86" s="146">
        <f t="shared" ref="DA86:DG86" si="170">CZ86*0.5</f>
        <v>193.91156249999995</v>
      </c>
      <c r="DB86" s="146">
        <f t="shared" si="170"/>
        <v>96.955781249999973</v>
      </c>
      <c r="DC86" s="146">
        <f t="shared" si="170"/>
        <v>48.477890624999986</v>
      </c>
      <c r="DD86" s="146">
        <f t="shared" si="170"/>
        <v>24.238945312499993</v>
      </c>
      <c r="DE86" s="146">
        <f t="shared" si="170"/>
        <v>12.119472656249997</v>
      </c>
      <c r="DF86" s="146">
        <f t="shared" si="170"/>
        <v>6.0597363281249983</v>
      </c>
      <c r="DG86" s="146">
        <f t="shared" si="170"/>
        <v>3.0298681640624991</v>
      </c>
      <c r="DH86" s="146"/>
      <c r="DI86" s="146"/>
      <c r="DJ86" s="146"/>
      <c r="DK86" s="146"/>
      <c r="DL86" s="146"/>
      <c r="DM86" s="146"/>
      <c r="DN86" s="146"/>
    </row>
    <row r="87" spans="2:119" x14ac:dyDescent="0.2">
      <c r="B87" s="65" t="s">
        <v>454</v>
      </c>
      <c r="C87" s="171"/>
      <c r="D87" s="171"/>
      <c r="E87" s="171"/>
      <c r="F87" s="171"/>
      <c r="G87" s="147"/>
      <c r="H87" s="147"/>
      <c r="I87" s="147"/>
      <c r="J87" s="147"/>
      <c r="K87" s="146"/>
      <c r="S87" s="73">
        <v>2</v>
      </c>
      <c r="T87" s="73">
        <v>4</v>
      </c>
      <c r="U87" s="73">
        <v>5</v>
      </c>
      <c r="V87" s="73">
        <v>5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P87" s="73">
        <v>0</v>
      </c>
      <c r="CP87" s="146"/>
      <c r="CQ87" s="146"/>
      <c r="CR87" s="146"/>
      <c r="CS87" s="146"/>
      <c r="CT87" s="147"/>
      <c r="CU87" s="147"/>
      <c r="CV87" s="147">
        <f>SUM(S87:W87)</f>
        <v>16</v>
      </c>
      <c r="CW87" s="146"/>
      <c r="CX87" s="146"/>
      <c r="CY87" s="146"/>
      <c r="CZ87" s="146"/>
      <c r="DA87" s="146"/>
      <c r="DB87" s="146"/>
      <c r="DC87" s="146"/>
      <c r="DD87" s="146"/>
      <c r="DF87" s="152"/>
      <c r="DG87" s="152"/>
      <c r="DH87" s="146"/>
      <c r="DI87" s="152"/>
      <c r="DJ87" s="152"/>
      <c r="DK87" s="152"/>
      <c r="DL87" s="152"/>
      <c r="DM87" s="152"/>
      <c r="DN87" s="152"/>
    </row>
    <row r="88" spans="2:119" x14ac:dyDescent="0.2">
      <c r="B88" s="65" t="s">
        <v>453</v>
      </c>
      <c r="C88" s="172"/>
      <c r="D88" s="172"/>
      <c r="E88" s="172"/>
      <c r="F88" s="172"/>
      <c r="G88" s="147"/>
      <c r="H88" s="147"/>
      <c r="I88" s="147"/>
      <c r="J88" s="147"/>
      <c r="K88" s="146">
        <v>0</v>
      </c>
      <c r="L88" s="73">
        <v>17</v>
      </c>
      <c r="M88" s="73">
        <v>30</v>
      </c>
      <c r="N88" s="73">
        <v>37</v>
      </c>
      <c r="O88" s="73">
        <v>92</v>
      </c>
      <c r="P88" s="73">
        <v>67</v>
      </c>
      <c r="Q88" s="73">
        <v>28</v>
      </c>
      <c r="R88" s="73">
        <v>75</v>
      </c>
      <c r="S88" s="73">
        <v>29</v>
      </c>
      <c r="T88" s="73">
        <v>3</v>
      </c>
      <c r="U88" s="73">
        <v>12</v>
      </c>
      <c r="V88" s="73">
        <v>13</v>
      </c>
      <c r="W88" s="73">
        <v>222</v>
      </c>
      <c r="X88" s="73">
        <v>60</v>
      </c>
      <c r="Y88" s="73">
        <v>182</v>
      </c>
      <c r="Z88" s="73">
        <v>256</v>
      </c>
      <c r="AA88" s="73">
        <v>84</v>
      </c>
      <c r="AB88" s="73">
        <v>8</v>
      </c>
      <c r="AC88" s="73">
        <v>18</v>
      </c>
      <c r="AD88" s="73">
        <v>11</v>
      </c>
      <c r="AE88" s="73">
        <v>9</v>
      </c>
      <c r="AF88" s="73">
        <v>12</v>
      </c>
      <c r="AG88" s="73">
        <v>2</v>
      </c>
      <c r="AH88" s="73">
        <v>4</v>
      </c>
      <c r="AI88" s="73">
        <v>0</v>
      </c>
      <c r="AJ88" s="73">
        <v>0</v>
      </c>
      <c r="AP88" s="73">
        <v>0</v>
      </c>
      <c r="CP88" s="147"/>
      <c r="CQ88" s="147"/>
      <c r="CR88" s="147"/>
      <c r="CS88" s="146"/>
      <c r="CT88" s="147">
        <f>SUM(K88:N88)</f>
        <v>84</v>
      </c>
      <c r="CU88" s="147">
        <f>SUM(O88:R88)</f>
        <v>262</v>
      </c>
      <c r="CV88" s="147">
        <f>SUM(S88:V88)</f>
        <v>57</v>
      </c>
      <c r="CW88" s="146">
        <f>SUM(W88:Z88)</f>
        <v>720</v>
      </c>
      <c r="CX88" s="146">
        <f>SUM(AA88:AD88)</f>
        <v>121</v>
      </c>
      <c r="CY88" s="146">
        <f>CX88*0.2</f>
        <v>24.200000000000003</v>
      </c>
      <c r="CZ88" s="146">
        <f t="shared" ref="CZ88:DE88" si="171">CY88</f>
        <v>24.200000000000003</v>
      </c>
      <c r="DA88" s="146">
        <f t="shared" si="171"/>
        <v>24.200000000000003</v>
      </c>
      <c r="DB88" s="146">
        <f t="shared" si="171"/>
        <v>24.200000000000003</v>
      </c>
      <c r="DC88" s="146">
        <f t="shared" si="171"/>
        <v>24.200000000000003</v>
      </c>
      <c r="DD88" s="146">
        <f t="shared" si="171"/>
        <v>24.200000000000003</v>
      </c>
      <c r="DE88" s="146">
        <f t="shared" si="171"/>
        <v>24.200000000000003</v>
      </c>
      <c r="DF88" s="146">
        <f>DE88</f>
        <v>24.200000000000003</v>
      </c>
      <c r="DG88" s="146">
        <f>DF88</f>
        <v>24.200000000000003</v>
      </c>
      <c r="DH88" s="146"/>
      <c r="DI88" s="146"/>
      <c r="DJ88" s="146"/>
      <c r="DK88" s="146"/>
      <c r="DL88" s="146"/>
      <c r="DM88" s="146"/>
      <c r="DN88" s="146"/>
    </row>
    <row r="89" spans="2:119" x14ac:dyDescent="0.2">
      <c r="B89" s="65" t="s">
        <v>558</v>
      </c>
      <c r="C89" s="172"/>
      <c r="D89" s="172"/>
      <c r="E89" s="172"/>
      <c r="F89" s="172"/>
      <c r="G89" s="147"/>
      <c r="H89" s="147"/>
      <c r="I89" s="147"/>
      <c r="J89" s="147"/>
      <c r="K89" s="146"/>
      <c r="U89" s="73">
        <v>10</v>
      </c>
      <c r="V89" s="73">
        <v>17</v>
      </c>
      <c r="W89" s="73">
        <v>6</v>
      </c>
      <c r="X89" s="73">
        <v>30</v>
      </c>
      <c r="Y89" s="73">
        <v>11</v>
      </c>
      <c r="Z89" s="73">
        <v>836</v>
      </c>
      <c r="AA89" s="73">
        <v>698</v>
      </c>
      <c r="AB89" s="73">
        <v>275</v>
      </c>
      <c r="AC89" s="73">
        <v>58</v>
      </c>
      <c r="AD89" s="73">
        <v>161</v>
      </c>
      <c r="AE89" s="73">
        <v>5</v>
      </c>
      <c r="AF89" s="73">
        <v>4</v>
      </c>
      <c r="AG89" s="73">
        <v>1</v>
      </c>
      <c r="AH89" s="73">
        <v>8</v>
      </c>
      <c r="AI89" s="73">
        <v>0</v>
      </c>
      <c r="AJ89" s="73">
        <v>0</v>
      </c>
      <c r="AP89" s="73">
        <v>0</v>
      </c>
      <c r="CP89" s="147"/>
      <c r="CQ89" s="147"/>
      <c r="CR89" s="147"/>
      <c r="CS89" s="146"/>
      <c r="CT89" s="147"/>
      <c r="CU89" s="147"/>
      <c r="CV89" s="147"/>
      <c r="CW89" s="146">
        <f>SUM(W89:Z89)</f>
        <v>883</v>
      </c>
      <c r="CX89" s="146">
        <f>SUM(AA89:AD89)</f>
        <v>1192</v>
      </c>
      <c r="CY89" s="146">
        <v>10</v>
      </c>
      <c r="CZ89" s="146">
        <v>0</v>
      </c>
      <c r="DA89" s="146">
        <v>0</v>
      </c>
      <c r="DB89" s="146">
        <v>0</v>
      </c>
      <c r="DC89" s="146">
        <v>0</v>
      </c>
      <c r="DD89" s="146">
        <v>0</v>
      </c>
      <c r="DE89" s="152">
        <v>0</v>
      </c>
      <c r="DF89" s="152">
        <v>0</v>
      </c>
      <c r="DG89" s="152">
        <v>0</v>
      </c>
      <c r="DH89" s="146"/>
      <c r="DI89" s="152"/>
      <c r="DJ89" s="152"/>
      <c r="DK89" s="152"/>
      <c r="DL89" s="152"/>
      <c r="DM89" s="152"/>
      <c r="DN89" s="152"/>
    </row>
    <row r="90" spans="2:119" x14ac:dyDescent="0.2">
      <c r="B90" s="65" t="s">
        <v>591</v>
      </c>
      <c r="C90" s="172"/>
      <c r="D90" s="172"/>
      <c r="E90" s="172"/>
      <c r="F90" s="172"/>
      <c r="G90" s="147"/>
      <c r="H90" s="147"/>
      <c r="I90" s="147"/>
      <c r="J90" s="147"/>
      <c r="AF90" s="73">
        <v>0</v>
      </c>
      <c r="AG90" s="73">
        <v>0</v>
      </c>
      <c r="AH90" s="162">
        <v>0</v>
      </c>
      <c r="AI90" s="73">
        <v>0</v>
      </c>
      <c r="AJ90" s="73">
        <v>0</v>
      </c>
      <c r="AP90" s="73">
        <v>0</v>
      </c>
      <c r="CP90" s="147"/>
      <c r="CQ90" s="147"/>
      <c r="CR90" s="147"/>
      <c r="CS90" s="146"/>
      <c r="CT90" s="146"/>
      <c r="CU90" s="147"/>
      <c r="CV90" s="147"/>
      <c r="CW90" s="146"/>
      <c r="CX90" s="167" t="s">
        <v>449</v>
      </c>
      <c r="CY90" s="146">
        <v>100</v>
      </c>
      <c r="CZ90" s="146">
        <v>150</v>
      </c>
      <c r="DA90" s="146">
        <v>200</v>
      </c>
      <c r="DB90" s="146">
        <v>200</v>
      </c>
      <c r="DC90" s="146">
        <v>200</v>
      </c>
      <c r="DD90" s="146">
        <v>200</v>
      </c>
      <c r="DE90" s="146">
        <v>200</v>
      </c>
      <c r="DF90" s="146">
        <v>200</v>
      </c>
      <c r="DG90" s="146">
        <v>200</v>
      </c>
      <c r="DH90" s="146"/>
      <c r="DI90" s="146"/>
      <c r="DJ90" s="146"/>
      <c r="DK90" s="146"/>
      <c r="DL90" s="146"/>
      <c r="DM90" s="146"/>
      <c r="DN90" s="146"/>
    </row>
    <row r="91" spans="2:119" x14ac:dyDescent="0.2">
      <c r="B91" s="112" t="s">
        <v>1225</v>
      </c>
      <c r="C91" s="172"/>
      <c r="D91" s="172"/>
      <c r="E91" s="172"/>
      <c r="F91" s="172"/>
      <c r="G91" s="147"/>
      <c r="H91" s="147"/>
      <c r="I91" s="147"/>
      <c r="J91" s="147"/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P91" s="73">
        <v>0</v>
      </c>
      <c r="CP91" s="147"/>
      <c r="CQ91" s="147"/>
      <c r="CR91" s="147"/>
      <c r="CS91" s="146"/>
      <c r="CT91" s="146"/>
      <c r="CU91" s="147" t="s">
        <v>449</v>
      </c>
      <c r="CV91" s="147" t="s">
        <v>449</v>
      </c>
      <c r="CW91" s="146" t="s">
        <v>449</v>
      </c>
      <c r="CX91" s="167" t="s">
        <v>449</v>
      </c>
      <c r="CY91" s="146"/>
      <c r="CZ91" s="146"/>
      <c r="DA91" s="146"/>
      <c r="DB91" s="146"/>
      <c r="DC91" s="146"/>
      <c r="DD91" s="146"/>
      <c r="DE91" s="146"/>
      <c r="DH91" s="146"/>
    </row>
    <row r="92" spans="2:119" x14ac:dyDescent="0.2">
      <c r="B92" s="65" t="s">
        <v>80</v>
      </c>
      <c r="C92" s="171">
        <v>17</v>
      </c>
      <c r="D92" s="171">
        <v>9</v>
      </c>
      <c r="E92" s="171">
        <v>11</v>
      </c>
      <c r="F92" s="171">
        <v>12</v>
      </c>
      <c r="G92" s="147">
        <v>10</v>
      </c>
      <c r="H92" s="147">
        <v>11</v>
      </c>
      <c r="I92" s="147">
        <v>9</v>
      </c>
      <c r="J92" s="147">
        <v>10</v>
      </c>
      <c r="K92" s="147">
        <v>11</v>
      </c>
      <c r="L92" s="73">
        <v>9</v>
      </c>
      <c r="M92" s="73">
        <v>11</v>
      </c>
      <c r="N92" s="73">
        <v>12</v>
      </c>
      <c r="O92" s="73">
        <v>14</v>
      </c>
      <c r="P92" s="73">
        <v>11</v>
      </c>
      <c r="Q92" s="73">
        <v>13</v>
      </c>
      <c r="R92" s="73">
        <v>11</v>
      </c>
      <c r="S92" s="73">
        <v>14</v>
      </c>
      <c r="T92" s="73">
        <v>13</v>
      </c>
      <c r="U92" s="73">
        <v>16</v>
      </c>
      <c r="V92" s="73">
        <v>17</v>
      </c>
      <c r="W92" s="73">
        <v>20</v>
      </c>
      <c r="X92" s="73">
        <v>18</v>
      </c>
      <c r="Y92" s="73">
        <v>20</v>
      </c>
      <c r="Z92" s="73">
        <v>17</v>
      </c>
      <c r="AA92" s="73">
        <v>0</v>
      </c>
      <c r="AB92" s="73">
        <v>0</v>
      </c>
      <c r="AC92" s="73">
        <v>0</v>
      </c>
      <c r="AD92" s="73">
        <f t="shared" ref="AD92" si="172">AC92</f>
        <v>0</v>
      </c>
      <c r="AE92" s="73">
        <f>AD92</f>
        <v>0</v>
      </c>
      <c r="AF92" s="73">
        <f>AE92</f>
        <v>0</v>
      </c>
      <c r="AG92" s="73">
        <f>AF92</f>
        <v>0</v>
      </c>
      <c r="AH92" s="73">
        <v>0</v>
      </c>
      <c r="AI92" s="73">
        <v>33</v>
      </c>
      <c r="AJ92" s="73">
        <v>30</v>
      </c>
      <c r="AP92" s="73">
        <v>0</v>
      </c>
      <c r="CP92" s="146" t="s">
        <v>449</v>
      </c>
      <c r="CQ92" s="146">
        <v>37</v>
      </c>
      <c r="CR92" s="146">
        <v>49</v>
      </c>
      <c r="CS92" s="146">
        <v>40</v>
      </c>
      <c r="CT92" s="147">
        <f>SUM(K92:N92)</f>
        <v>43</v>
      </c>
      <c r="CU92" s="147">
        <f>SUM(O92:R92)</f>
        <v>49</v>
      </c>
      <c r="CV92" s="147">
        <f>SUM(S92:V92)</f>
        <v>60</v>
      </c>
      <c r="CW92" s="146">
        <f>SUM(W92:Z92)</f>
        <v>75</v>
      </c>
      <c r="CX92" s="146"/>
      <c r="CY92" s="147"/>
      <c r="CZ92" s="147"/>
      <c r="DA92" s="147"/>
      <c r="DB92" s="147"/>
      <c r="DC92" s="147"/>
      <c r="DD92" s="147"/>
      <c r="DE92" s="147"/>
      <c r="DF92" s="147"/>
      <c r="DG92" s="147"/>
      <c r="DH92" s="146"/>
      <c r="DI92" s="147"/>
      <c r="DJ92" s="147"/>
      <c r="DK92" s="147"/>
      <c r="DL92" s="147"/>
      <c r="DM92" s="147"/>
      <c r="DN92" s="147"/>
    </row>
    <row r="93" spans="2:119" x14ac:dyDescent="0.2">
      <c r="B93" s="65" t="s">
        <v>83</v>
      </c>
      <c r="C93" s="171">
        <v>0</v>
      </c>
      <c r="D93" s="171">
        <v>0</v>
      </c>
      <c r="E93" s="171">
        <v>0</v>
      </c>
      <c r="F93" s="171">
        <v>0</v>
      </c>
      <c r="G93" s="147">
        <v>3</v>
      </c>
      <c r="H93" s="147">
        <v>1</v>
      </c>
      <c r="I93" s="147">
        <v>4</v>
      </c>
      <c r="J93" s="147">
        <v>5</v>
      </c>
      <c r="K93" s="146">
        <v>0</v>
      </c>
      <c r="L93" s="73">
        <v>0</v>
      </c>
      <c r="M93" s="73">
        <v>0</v>
      </c>
      <c r="N93" s="73">
        <v>0</v>
      </c>
      <c r="O93" s="73">
        <v>11</v>
      </c>
      <c r="P93" s="73">
        <v>12</v>
      </c>
      <c r="Q93" s="73">
        <v>13</v>
      </c>
      <c r="R93" s="73">
        <v>14</v>
      </c>
      <c r="S93" s="73">
        <v>14</v>
      </c>
      <c r="T93" s="73">
        <v>16</v>
      </c>
      <c r="U93" s="73">
        <v>18</v>
      </c>
      <c r="V93" s="73">
        <v>23</v>
      </c>
      <c r="W93" s="73">
        <v>24</v>
      </c>
      <c r="X93" s="73">
        <v>26</v>
      </c>
      <c r="Y93" s="73">
        <v>25</v>
      </c>
      <c r="Z93" s="73">
        <v>29</v>
      </c>
      <c r="AA93" s="73">
        <v>25</v>
      </c>
      <c r="AB93" s="73">
        <v>30</v>
      </c>
      <c r="AC93" s="73">
        <v>28</v>
      </c>
      <c r="AD93" s="73">
        <v>31</v>
      </c>
      <c r="AE93" s="73">
        <v>28</v>
      </c>
      <c r="AF93" s="73">
        <v>33</v>
      </c>
      <c r="AG93" s="73">
        <v>33</v>
      </c>
      <c r="AH93" s="73">
        <v>32</v>
      </c>
      <c r="AI93" s="73">
        <v>174</v>
      </c>
      <c r="AJ93" s="73">
        <v>0</v>
      </c>
      <c r="AP93" s="73">
        <v>0</v>
      </c>
      <c r="CP93" s="146"/>
      <c r="CQ93" s="146">
        <v>0</v>
      </c>
      <c r="CR93" s="146">
        <v>0</v>
      </c>
      <c r="CS93" s="146">
        <v>13</v>
      </c>
      <c r="CT93" s="147">
        <f>SUM(K93:N93)</f>
        <v>0</v>
      </c>
      <c r="CU93" s="147">
        <f>SUM(O93:R93)</f>
        <v>50</v>
      </c>
      <c r="CV93" s="147">
        <f>SUM(S93:V93)</f>
        <v>71</v>
      </c>
      <c r="CW93" s="146">
        <f>SUM(W93:Z93)</f>
        <v>104</v>
      </c>
      <c r="CX93" s="146">
        <f>SUM(AA93:AD93)</f>
        <v>114</v>
      </c>
      <c r="CY93" s="146">
        <v>200</v>
      </c>
      <c r="CZ93" s="146">
        <v>0</v>
      </c>
      <c r="DA93" s="146">
        <v>0</v>
      </c>
      <c r="DB93" s="146">
        <v>0</v>
      </c>
      <c r="DC93" s="146">
        <v>0</v>
      </c>
      <c r="DD93" s="146">
        <v>0</v>
      </c>
      <c r="DE93" s="146">
        <v>0</v>
      </c>
      <c r="DF93" s="146">
        <v>0</v>
      </c>
      <c r="DG93" s="146">
        <v>0</v>
      </c>
      <c r="DH93" s="146"/>
      <c r="DI93" s="146"/>
      <c r="DJ93" s="146"/>
      <c r="DK93" s="146"/>
      <c r="DL93" s="146"/>
      <c r="DM93" s="146"/>
      <c r="DN93" s="146"/>
    </row>
    <row r="94" spans="2:119" x14ac:dyDescent="0.2">
      <c r="B94" s="65" t="s">
        <v>791</v>
      </c>
      <c r="C94" s="172"/>
      <c r="D94" s="172"/>
      <c r="E94" s="172"/>
      <c r="F94" s="172"/>
      <c r="G94" s="147"/>
      <c r="H94" s="147"/>
      <c r="I94" s="147"/>
      <c r="J94" s="147"/>
      <c r="AB94" s="73">
        <v>19</v>
      </c>
      <c r="AC94" s="73">
        <v>20</v>
      </c>
      <c r="AD94" s="73">
        <v>22</v>
      </c>
      <c r="AE94" s="73">
        <v>23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BO94" s="73">
        <v>26</v>
      </c>
      <c r="BP94" s="73">
        <v>21</v>
      </c>
      <c r="CP94" s="147"/>
      <c r="CQ94" s="147"/>
      <c r="CR94" s="147"/>
      <c r="CS94" s="146"/>
      <c r="CT94" s="146"/>
      <c r="CU94" s="147"/>
      <c r="CV94" s="147"/>
      <c r="CW94" s="146"/>
      <c r="CX94" s="146">
        <f>SUM(AA94:AD94)</f>
        <v>61</v>
      </c>
      <c r="CY94" s="146">
        <f t="shared" ref="CY94" si="173">SUM(AE94:AH94)</f>
        <v>23</v>
      </c>
      <c r="CZ94" s="146"/>
      <c r="DA94" s="146"/>
      <c r="DB94" s="146"/>
      <c r="DC94" s="146"/>
      <c r="DD94" s="146"/>
      <c r="DE94" s="146"/>
      <c r="DH94" s="146">
        <f t="shared" ref="DH94:DH104" si="174">SUM(BO94:BR94)</f>
        <v>47</v>
      </c>
    </row>
    <row r="95" spans="2:119" x14ac:dyDescent="0.2">
      <c r="B95" s="65" t="s">
        <v>358</v>
      </c>
      <c r="C95" s="171">
        <v>9</v>
      </c>
      <c r="D95" s="171">
        <v>15</v>
      </c>
      <c r="E95" s="171">
        <v>18</v>
      </c>
      <c r="F95" s="171">
        <v>21</v>
      </c>
      <c r="G95" s="147">
        <v>11</v>
      </c>
      <c r="H95" s="147">
        <v>26</v>
      </c>
      <c r="I95" s="147">
        <v>31</v>
      </c>
      <c r="J95" s="147">
        <v>33</v>
      </c>
      <c r="K95" s="147">
        <v>33</v>
      </c>
      <c r="L95" s="73">
        <v>32</v>
      </c>
      <c r="M95" s="73">
        <v>32</v>
      </c>
      <c r="N95" s="73">
        <v>34</v>
      </c>
      <c r="O95" s="73">
        <v>35</v>
      </c>
      <c r="P95" s="73">
        <v>33</v>
      </c>
      <c r="Q95" s="73">
        <v>37</v>
      </c>
      <c r="R95" s="73">
        <v>36</v>
      </c>
      <c r="S95" s="73">
        <v>35</v>
      </c>
      <c r="T95" s="73">
        <v>38</v>
      </c>
      <c r="U95" s="73">
        <v>40</v>
      </c>
      <c r="V95" s="73">
        <v>47</v>
      </c>
      <c r="W95" s="73">
        <v>48</v>
      </c>
      <c r="X95" s="73">
        <v>43</v>
      </c>
      <c r="Y95" s="73">
        <v>43</v>
      </c>
      <c r="Z95" s="73">
        <v>44</v>
      </c>
      <c r="AA95" s="73">
        <v>41</v>
      </c>
      <c r="AB95" s="73">
        <v>39</v>
      </c>
      <c r="AC95" s="73">
        <v>39</v>
      </c>
      <c r="AD95" s="73">
        <v>36</v>
      </c>
      <c r="AE95" s="73">
        <v>32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P95" s="146">
        <v>44</v>
      </c>
      <c r="CQ95" s="146">
        <v>37</v>
      </c>
      <c r="CR95" s="146">
        <v>63</v>
      </c>
      <c r="CS95" s="146">
        <v>112</v>
      </c>
      <c r="CT95" s="147">
        <f t="shared" ref="CT95:CT101" si="175">SUM(K95:N95)</f>
        <v>131</v>
      </c>
      <c r="CU95" s="147">
        <f t="shared" ref="CU95:CU101" si="176">SUM(O95:R95)</f>
        <v>141</v>
      </c>
      <c r="CV95" s="147">
        <f t="shared" ref="CV95:CV100" si="177">SUM(S95:V95)</f>
        <v>160</v>
      </c>
      <c r="CW95" s="146">
        <f t="shared" ref="CW95:CW100" si="178">SUM(W95:Z95)</f>
        <v>178</v>
      </c>
      <c r="CX95" s="147">
        <f>SUM(AA95:AD95)</f>
        <v>155</v>
      </c>
      <c r="CY95" s="147">
        <f>CX95*1.03</f>
        <v>159.65</v>
      </c>
      <c r="CZ95" s="147">
        <f t="shared" ref="CZ95:DD95" si="179">CY95*1.03</f>
        <v>164.43950000000001</v>
      </c>
      <c r="DA95" s="147">
        <f t="shared" si="179"/>
        <v>169.37268500000002</v>
      </c>
      <c r="DB95" s="147">
        <f t="shared" si="179"/>
        <v>174.45386555000002</v>
      </c>
      <c r="DC95" s="147">
        <f t="shared" si="179"/>
        <v>179.68748151650001</v>
      </c>
      <c r="DD95" s="147">
        <f t="shared" si="179"/>
        <v>185.07810596199502</v>
      </c>
      <c r="DE95" s="147">
        <f>DD95*0.5</f>
        <v>92.539052980997511</v>
      </c>
      <c r="DF95" s="147">
        <f>DE95*0.5</f>
        <v>46.269526490498755</v>
      </c>
      <c r="DG95" s="147">
        <f>DF95*0.5</f>
        <v>23.134763245249378</v>
      </c>
      <c r="DH95" s="146"/>
      <c r="DI95" s="147"/>
      <c r="DJ95" s="147"/>
      <c r="DK95" s="147"/>
      <c r="DL95" s="147"/>
      <c r="DM95" s="147"/>
      <c r="DN95" s="147"/>
    </row>
    <row r="96" spans="2:119" x14ac:dyDescent="0.2">
      <c r="B96" s="65" t="s">
        <v>69</v>
      </c>
      <c r="C96" s="171">
        <v>71</v>
      </c>
      <c r="D96" s="171">
        <v>77</v>
      </c>
      <c r="E96" s="171">
        <v>73</v>
      </c>
      <c r="F96" s="171">
        <v>73</v>
      </c>
      <c r="G96" s="147">
        <v>66</v>
      </c>
      <c r="H96" s="147">
        <v>68</v>
      </c>
      <c r="I96" s="147">
        <v>65</v>
      </c>
      <c r="J96" s="147">
        <v>62</v>
      </c>
      <c r="K96" s="147">
        <v>60</v>
      </c>
      <c r="L96" s="73">
        <v>53</v>
      </c>
      <c r="M96" s="73">
        <v>46</v>
      </c>
      <c r="N96" s="73">
        <v>43</v>
      </c>
      <c r="O96" s="73">
        <v>41</v>
      </c>
      <c r="P96" s="73">
        <v>40</v>
      </c>
      <c r="Q96" s="73">
        <v>38</v>
      </c>
      <c r="R96" s="73">
        <v>37</v>
      </c>
      <c r="S96" s="73">
        <v>34</v>
      </c>
      <c r="T96" s="73">
        <v>34</v>
      </c>
      <c r="U96" s="73">
        <v>35</v>
      </c>
      <c r="V96" s="73">
        <v>36</v>
      </c>
      <c r="W96" s="73">
        <v>34</v>
      </c>
      <c r="X96" s="73">
        <v>31</v>
      </c>
      <c r="Y96" s="73">
        <v>34</v>
      </c>
      <c r="Z96" s="73">
        <v>30</v>
      </c>
      <c r="AA96" s="73">
        <v>28</v>
      </c>
      <c r="AB96" s="73">
        <v>27</v>
      </c>
      <c r="AC96" s="73">
        <v>31</v>
      </c>
      <c r="AD96" s="73">
        <v>29</v>
      </c>
      <c r="AE96" s="73">
        <v>26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P96" s="146">
        <v>295</v>
      </c>
      <c r="CQ96" s="146">
        <v>293</v>
      </c>
      <c r="CR96" s="146">
        <v>294</v>
      </c>
      <c r="CS96" s="146">
        <v>261</v>
      </c>
      <c r="CT96" s="147">
        <f t="shared" si="175"/>
        <v>202</v>
      </c>
      <c r="CU96" s="147">
        <f t="shared" si="176"/>
        <v>156</v>
      </c>
      <c r="CV96" s="147">
        <f t="shared" si="177"/>
        <v>139</v>
      </c>
      <c r="CW96" s="146">
        <f t="shared" si="178"/>
        <v>129</v>
      </c>
      <c r="CX96" s="147">
        <f>CW96</f>
        <v>129</v>
      </c>
      <c r="CY96" s="147">
        <f>CX96</f>
        <v>129</v>
      </c>
      <c r="CZ96" s="147">
        <f>CY96</f>
        <v>129</v>
      </c>
      <c r="DA96" s="147">
        <f t="shared" ref="DA96:DG96" si="180">CZ96*0.5</f>
        <v>64.5</v>
      </c>
      <c r="DB96" s="147">
        <f t="shared" si="180"/>
        <v>32.25</v>
      </c>
      <c r="DC96" s="147">
        <f t="shared" si="180"/>
        <v>16.125</v>
      </c>
      <c r="DD96" s="147">
        <f t="shared" si="180"/>
        <v>8.0625</v>
      </c>
      <c r="DE96" s="147">
        <f t="shared" si="180"/>
        <v>4.03125</v>
      </c>
      <c r="DF96" s="147">
        <f t="shared" si="180"/>
        <v>2.015625</v>
      </c>
      <c r="DG96" s="147">
        <f t="shared" si="180"/>
        <v>1.0078125</v>
      </c>
      <c r="DH96" s="146"/>
      <c r="DI96" s="147"/>
      <c r="DJ96" s="147"/>
      <c r="DK96" s="147"/>
      <c r="DL96" s="147"/>
      <c r="DM96" s="147"/>
      <c r="DN96" s="147"/>
    </row>
    <row r="97" spans="2:127" x14ac:dyDescent="0.2">
      <c r="B97" s="65" t="s">
        <v>356</v>
      </c>
      <c r="C97" s="171">
        <v>38</v>
      </c>
      <c r="D97" s="171">
        <v>37</v>
      </c>
      <c r="E97" s="171">
        <v>42</v>
      </c>
      <c r="F97" s="171">
        <v>38</v>
      </c>
      <c r="G97" s="147">
        <v>33</v>
      </c>
      <c r="H97" s="147">
        <v>36</v>
      </c>
      <c r="I97" s="147">
        <v>33</v>
      </c>
      <c r="J97" s="147">
        <v>34</v>
      </c>
      <c r="K97" s="147">
        <v>32</v>
      </c>
      <c r="L97" s="73">
        <v>29</v>
      </c>
      <c r="M97" s="73">
        <v>28</v>
      </c>
      <c r="N97" s="73">
        <v>28</v>
      </c>
      <c r="O97" s="73">
        <v>26</v>
      </c>
      <c r="P97" s="73">
        <v>27</v>
      </c>
      <c r="Q97" s="73">
        <v>28</v>
      </c>
      <c r="R97" s="73">
        <v>28</v>
      </c>
      <c r="S97" s="73">
        <v>25</v>
      </c>
      <c r="T97" s="73">
        <v>26</v>
      </c>
      <c r="U97" s="73">
        <v>27</v>
      </c>
      <c r="V97" s="73">
        <v>28</v>
      </c>
      <c r="W97" s="73">
        <v>27</v>
      </c>
      <c r="X97" s="73">
        <v>25</v>
      </c>
      <c r="Y97" s="73">
        <v>26</v>
      </c>
      <c r="Z97" s="73">
        <v>27</v>
      </c>
      <c r="AA97" s="73" t="s">
        <v>449</v>
      </c>
      <c r="AB97" s="73" t="s">
        <v>449</v>
      </c>
      <c r="AC97" s="73" t="s">
        <v>449</v>
      </c>
      <c r="AD97" s="73" t="str">
        <f>AC97</f>
        <v>-</v>
      </c>
      <c r="AE97" s="73" t="str">
        <f>AD97</f>
        <v>-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P97" s="146">
        <v>173</v>
      </c>
      <c r="CQ97" s="146">
        <v>167</v>
      </c>
      <c r="CR97" s="146">
        <v>155</v>
      </c>
      <c r="CS97" s="146">
        <v>136</v>
      </c>
      <c r="CT97" s="147">
        <f t="shared" si="175"/>
        <v>117</v>
      </c>
      <c r="CU97" s="147">
        <f t="shared" si="176"/>
        <v>109</v>
      </c>
      <c r="CV97" s="147">
        <f t="shared" si="177"/>
        <v>106</v>
      </c>
      <c r="CW97" s="146">
        <f t="shared" si="178"/>
        <v>105</v>
      </c>
      <c r="CX97" s="147">
        <f t="shared" ref="CX97:DD97" si="181">CW97*0.9</f>
        <v>94.5</v>
      </c>
      <c r="CY97" s="147">
        <v>0</v>
      </c>
      <c r="CZ97" s="147">
        <f t="shared" si="181"/>
        <v>0</v>
      </c>
      <c r="DA97" s="147">
        <f t="shared" si="181"/>
        <v>0</v>
      </c>
      <c r="DB97" s="147">
        <f t="shared" si="181"/>
        <v>0</v>
      </c>
      <c r="DC97" s="147">
        <f t="shared" si="181"/>
        <v>0</v>
      </c>
      <c r="DD97" s="147">
        <f t="shared" si="181"/>
        <v>0</v>
      </c>
      <c r="DE97" s="147">
        <f>DD97*0.9</f>
        <v>0</v>
      </c>
      <c r="DF97" s="147">
        <f>DE97*0.9</f>
        <v>0</v>
      </c>
      <c r="DG97" s="147">
        <f>DF97*0.9</f>
        <v>0</v>
      </c>
      <c r="DH97" s="146"/>
      <c r="DI97" s="147"/>
      <c r="DJ97" s="147"/>
      <c r="DK97" s="147"/>
      <c r="DL97" s="147"/>
      <c r="DM97" s="147"/>
      <c r="DN97" s="147"/>
    </row>
    <row r="98" spans="2:127" x14ac:dyDescent="0.2">
      <c r="B98" s="65" t="s">
        <v>68</v>
      </c>
      <c r="C98" s="171">
        <v>81</v>
      </c>
      <c r="D98" s="171">
        <v>87</v>
      </c>
      <c r="E98" s="171">
        <v>79</v>
      </c>
      <c r="F98" s="171">
        <v>75</v>
      </c>
      <c r="G98" s="147">
        <v>74</v>
      </c>
      <c r="H98" s="147">
        <v>75</v>
      </c>
      <c r="I98" s="147">
        <v>77</v>
      </c>
      <c r="J98" s="147">
        <v>77</v>
      </c>
      <c r="K98" s="147">
        <v>72</v>
      </c>
      <c r="L98" s="73">
        <v>72</v>
      </c>
      <c r="M98" s="73">
        <v>63</v>
      </c>
      <c r="N98" s="73">
        <v>61</v>
      </c>
      <c r="O98" s="73">
        <v>62</v>
      </c>
      <c r="P98" s="73">
        <v>60</v>
      </c>
      <c r="Q98" s="73">
        <v>55</v>
      </c>
      <c r="R98" s="73">
        <v>56</v>
      </c>
      <c r="S98" s="73">
        <v>54</v>
      </c>
      <c r="T98" s="73">
        <v>50</v>
      </c>
      <c r="U98" s="73">
        <v>49</v>
      </c>
      <c r="V98" s="73">
        <v>59</v>
      </c>
      <c r="W98" s="73">
        <v>56</v>
      </c>
      <c r="X98" s="73">
        <v>48</v>
      </c>
      <c r="Y98" s="73">
        <v>48</v>
      </c>
      <c r="Z98" s="73">
        <v>49</v>
      </c>
      <c r="AA98" s="73">
        <v>38</v>
      </c>
      <c r="AB98" s="73">
        <v>36</v>
      </c>
      <c r="AC98" s="73">
        <v>38</v>
      </c>
      <c r="AD98" s="73">
        <v>32</v>
      </c>
      <c r="AE98" s="73">
        <v>30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CP98" s="146">
        <v>315</v>
      </c>
      <c r="CQ98" s="146">
        <v>375</v>
      </c>
      <c r="CR98" s="146">
        <v>322</v>
      </c>
      <c r="CS98" s="146">
        <v>303</v>
      </c>
      <c r="CT98" s="147">
        <f t="shared" si="175"/>
        <v>268</v>
      </c>
      <c r="CU98" s="147">
        <f t="shared" si="176"/>
        <v>233</v>
      </c>
      <c r="CV98" s="147">
        <f t="shared" si="177"/>
        <v>212</v>
      </c>
      <c r="CW98" s="146">
        <f t="shared" si="178"/>
        <v>201</v>
      </c>
      <c r="CX98" s="147">
        <f>SUM(AA98:AD98)</f>
        <v>144</v>
      </c>
      <c r="CY98" s="147">
        <f>CX98*0.8</f>
        <v>115.2</v>
      </c>
      <c r="CZ98" s="147">
        <f t="shared" ref="CZ98:DE98" si="182">CY98*0.8</f>
        <v>92.160000000000011</v>
      </c>
      <c r="DA98" s="147">
        <f t="shared" si="182"/>
        <v>73.728000000000009</v>
      </c>
      <c r="DB98" s="147">
        <f t="shared" si="182"/>
        <v>58.982400000000013</v>
      </c>
      <c r="DC98" s="147">
        <f t="shared" si="182"/>
        <v>47.18592000000001</v>
      </c>
      <c r="DD98" s="147">
        <f t="shared" si="182"/>
        <v>37.748736000000008</v>
      </c>
      <c r="DE98" s="147">
        <f t="shared" si="182"/>
        <v>30.198988800000009</v>
      </c>
      <c r="DF98" s="147">
        <f t="shared" ref="DF98:DG99" si="183">DE98*0.8</f>
        <v>24.15919104000001</v>
      </c>
      <c r="DG98" s="147">
        <f t="shared" si="183"/>
        <v>19.32735283200001</v>
      </c>
      <c r="DH98" s="146"/>
      <c r="DI98" s="147"/>
      <c r="DJ98" s="147"/>
      <c r="DK98" s="147"/>
      <c r="DL98" s="147"/>
      <c r="DM98" s="147"/>
      <c r="DN98" s="147"/>
    </row>
    <row r="99" spans="2:127" x14ac:dyDescent="0.2">
      <c r="B99" s="65" t="s">
        <v>67</v>
      </c>
      <c r="C99" s="171">
        <v>139</v>
      </c>
      <c r="D99" s="171">
        <v>141</v>
      </c>
      <c r="E99" s="171">
        <v>144</v>
      </c>
      <c r="F99" s="171">
        <v>146</v>
      </c>
      <c r="G99" s="147">
        <v>140</v>
      </c>
      <c r="H99" s="147">
        <v>148</v>
      </c>
      <c r="I99" s="147">
        <v>147</v>
      </c>
      <c r="J99" s="147">
        <v>148</v>
      </c>
      <c r="K99" s="147">
        <v>143</v>
      </c>
      <c r="L99" s="73">
        <v>141</v>
      </c>
      <c r="M99" s="73">
        <v>125</v>
      </c>
      <c r="N99" s="73">
        <v>119</v>
      </c>
      <c r="O99" s="73">
        <v>115</v>
      </c>
      <c r="P99" s="73">
        <v>117</v>
      </c>
      <c r="Q99" s="73">
        <v>115</v>
      </c>
      <c r="R99" s="73">
        <v>108</v>
      </c>
      <c r="S99" s="73">
        <v>105</v>
      </c>
      <c r="T99" s="73">
        <v>104</v>
      </c>
      <c r="U99" s="73">
        <v>110</v>
      </c>
      <c r="V99" s="73">
        <v>114</v>
      </c>
      <c r="W99" s="73">
        <v>112</v>
      </c>
      <c r="X99" s="73">
        <v>102</v>
      </c>
      <c r="Y99" s="73">
        <v>102</v>
      </c>
      <c r="Z99" s="73">
        <v>109</v>
      </c>
      <c r="AA99" s="73">
        <v>82</v>
      </c>
      <c r="AB99" s="73">
        <v>86</v>
      </c>
      <c r="AC99" s="73">
        <v>96</v>
      </c>
      <c r="AD99" s="73">
        <v>99</v>
      </c>
      <c r="AE99" s="73">
        <v>71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P99" s="73">
        <v>0</v>
      </c>
      <c r="CP99" s="146">
        <v>588</v>
      </c>
      <c r="CQ99" s="146">
        <v>588</v>
      </c>
      <c r="CR99" s="146">
        <v>570</v>
      </c>
      <c r="CS99" s="146">
        <v>583</v>
      </c>
      <c r="CT99" s="147">
        <f t="shared" si="175"/>
        <v>528</v>
      </c>
      <c r="CU99" s="147">
        <f t="shared" si="176"/>
        <v>455</v>
      </c>
      <c r="CV99" s="147">
        <f t="shared" si="177"/>
        <v>433</v>
      </c>
      <c r="CW99" s="146">
        <f t="shared" si="178"/>
        <v>425</v>
      </c>
      <c r="CX99" s="146">
        <f>SUM(AA99:AD99)</f>
        <v>363</v>
      </c>
      <c r="CY99" s="147">
        <f>SUM(AE99:AH99)</f>
        <v>71</v>
      </c>
      <c r="CZ99" s="147">
        <f>CY99*0.5</f>
        <v>35.5</v>
      </c>
      <c r="DA99" s="147">
        <f>+CZ99*0.4</f>
        <v>14.200000000000001</v>
      </c>
      <c r="DB99" s="147">
        <f t="shared" ref="DB99:DE99" si="184">DA99*0.8</f>
        <v>11.360000000000001</v>
      </c>
      <c r="DC99" s="147">
        <f t="shared" si="184"/>
        <v>9.088000000000001</v>
      </c>
      <c r="DD99" s="147">
        <f t="shared" si="184"/>
        <v>7.2704000000000013</v>
      </c>
      <c r="DE99" s="147">
        <f t="shared" si="184"/>
        <v>5.816320000000001</v>
      </c>
      <c r="DF99" s="147">
        <f t="shared" si="183"/>
        <v>4.6530560000000012</v>
      </c>
      <c r="DG99" s="147">
        <f t="shared" si="183"/>
        <v>3.7224448000000012</v>
      </c>
      <c r="DH99" s="146"/>
      <c r="DI99" s="147"/>
      <c r="DJ99" s="147"/>
      <c r="DK99" s="147"/>
      <c r="DL99" s="147"/>
      <c r="DM99" s="147"/>
      <c r="DN99" s="147"/>
      <c r="DO99" s="112"/>
    </row>
    <row r="100" spans="2:127" x14ac:dyDescent="0.2">
      <c r="B100" s="65" t="s">
        <v>359</v>
      </c>
      <c r="C100" s="171">
        <v>0</v>
      </c>
      <c r="D100" s="171">
        <v>0</v>
      </c>
      <c r="E100" s="171">
        <v>0</v>
      </c>
      <c r="F100" s="171">
        <v>0</v>
      </c>
      <c r="G100" s="146">
        <v>17</v>
      </c>
      <c r="H100" s="146">
        <v>23</v>
      </c>
      <c r="I100" s="146">
        <v>34</v>
      </c>
      <c r="J100" s="146">
        <v>44</v>
      </c>
      <c r="K100" s="146">
        <v>51</v>
      </c>
      <c r="L100" s="73">
        <v>58</v>
      </c>
      <c r="M100" s="73">
        <v>63</v>
      </c>
      <c r="N100" s="73">
        <v>69</v>
      </c>
      <c r="O100" s="73">
        <v>75</v>
      </c>
      <c r="P100" s="73">
        <v>79</v>
      </c>
      <c r="Q100" s="73">
        <v>80</v>
      </c>
      <c r="R100" s="73">
        <v>90</v>
      </c>
      <c r="S100" s="73">
        <v>99</v>
      </c>
      <c r="T100" s="73">
        <v>104</v>
      </c>
      <c r="U100" s="73">
        <v>110</v>
      </c>
      <c r="V100" s="73">
        <v>129</v>
      </c>
      <c r="W100" s="73">
        <v>137</v>
      </c>
      <c r="X100" s="73">
        <v>129</v>
      </c>
      <c r="Y100" s="73">
        <v>131</v>
      </c>
      <c r="Z100" s="73">
        <v>149</v>
      </c>
      <c r="AA100" s="73">
        <v>131</v>
      </c>
      <c r="AB100" s="73">
        <v>140</v>
      </c>
      <c r="AC100" s="73">
        <v>138</v>
      </c>
      <c r="AD100" s="73">
        <v>146</v>
      </c>
      <c r="AE100" s="73">
        <v>140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P100" s="73">
        <v>0</v>
      </c>
      <c r="BO100" s="73">
        <v>9</v>
      </c>
      <c r="BP100" s="73">
        <v>9</v>
      </c>
      <c r="CP100" s="146" t="s">
        <v>449</v>
      </c>
      <c r="CQ100" s="146" t="s">
        <v>449</v>
      </c>
      <c r="CR100" s="146">
        <v>15</v>
      </c>
      <c r="CS100" s="146">
        <v>118</v>
      </c>
      <c r="CT100" s="147">
        <f t="shared" si="175"/>
        <v>241</v>
      </c>
      <c r="CU100" s="147">
        <f t="shared" si="176"/>
        <v>324</v>
      </c>
      <c r="CV100" s="147">
        <f t="shared" si="177"/>
        <v>442</v>
      </c>
      <c r="CW100" s="146">
        <f t="shared" si="178"/>
        <v>546</v>
      </c>
      <c r="CX100" s="146">
        <f>SUM(AA100:AD100)</f>
        <v>555</v>
      </c>
      <c r="CY100" s="146">
        <f>CX100</f>
        <v>555</v>
      </c>
      <c r="CZ100" s="146">
        <f>CY100</f>
        <v>555</v>
      </c>
      <c r="DA100" s="146">
        <f t="shared" ref="DA100:DG100" si="185">CZ100*0.7</f>
        <v>388.5</v>
      </c>
      <c r="DB100" s="146">
        <f t="shared" si="185"/>
        <v>271.95</v>
      </c>
      <c r="DC100" s="146">
        <f t="shared" si="185"/>
        <v>190.36499999999998</v>
      </c>
      <c r="DD100" s="146">
        <f t="shared" si="185"/>
        <v>133.25549999999998</v>
      </c>
      <c r="DE100" s="146">
        <f t="shared" si="185"/>
        <v>93.278849999999977</v>
      </c>
      <c r="DF100" s="146">
        <f t="shared" si="185"/>
        <v>65.295194999999978</v>
      </c>
      <c r="DG100" s="146">
        <f t="shared" si="185"/>
        <v>45.706636499999981</v>
      </c>
      <c r="DH100" s="146">
        <f t="shared" si="174"/>
        <v>18</v>
      </c>
      <c r="DI100" s="146"/>
      <c r="DJ100" s="146"/>
      <c r="DK100" s="146"/>
      <c r="DL100" s="146"/>
      <c r="DM100" s="146"/>
      <c r="DN100" s="146"/>
    </row>
    <row r="101" spans="2:127" x14ac:dyDescent="0.2">
      <c r="B101" s="65" t="s">
        <v>84</v>
      </c>
      <c r="C101" s="171">
        <v>68</v>
      </c>
      <c r="D101" s="171">
        <v>70</v>
      </c>
      <c r="E101" s="171">
        <v>66</v>
      </c>
      <c r="F101" s="171">
        <v>69</v>
      </c>
      <c r="G101" s="147">
        <v>59</v>
      </c>
      <c r="H101" s="147">
        <v>60</v>
      </c>
      <c r="I101" s="147">
        <v>61</v>
      </c>
      <c r="J101" s="147">
        <v>64</v>
      </c>
      <c r="K101" s="147">
        <v>65</v>
      </c>
      <c r="L101" s="73">
        <v>61</v>
      </c>
      <c r="M101" s="73">
        <v>51</v>
      </c>
      <c r="N101" s="73">
        <v>55</v>
      </c>
      <c r="O101" s="73">
        <v>48</v>
      </c>
      <c r="P101" s="73">
        <v>40</v>
      </c>
      <c r="Q101" s="73">
        <v>37</v>
      </c>
      <c r="R101" s="73">
        <v>43</v>
      </c>
      <c r="AP101" s="73">
        <v>0</v>
      </c>
      <c r="CP101" s="146">
        <v>382</v>
      </c>
      <c r="CQ101" s="146">
        <v>328</v>
      </c>
      <c r="CR101" s="146">
        <v>273</v>
      </c>
      <c r="CS101" s="146">
        <v>244</v>
      </c>
      <c r="CT101" s="147">
        <f t="shared" si="175"/>
        <v>232</v>
      </c>
      <c r="CU101" s="147">
        <f t="shared" si="176"/>
        <v>168</v>
      </c>
      <c r="CV101" s="147"/>
      <c r="CW101" s="147"/>
      <c r="CX101" s="147"/>
      <c r="CY101" s="147"/>
      <c r="CZ101" s="147"/>
      <c r="DA101" s="147"/>
      <c r="DB101" s="147"/>
      <c r="DC101" s="147"/>
      <c r="DD101" s="147"/>
      <c r="DH101" s="146"/>
    </row>
    <row r="102" spans="2:127" x14ac:dyDescent="0.2">
      <c r="B102" s="112" t="s">
        <v>1332</v>
      </c>
      <c r="C102" s="151">
        <f>4885-SUM(C4:C82)</f>
        <v>1326</v>
      </c>
      <c r="D102" s="151">
        <f>4971-SUM(D4:D82)</f>
        <v>1388</v>
      </c>
      <c r="E102" s="172"/>
      <c r="F102" s="172"/>
      <c r="G102" s="147"/>
      <c r="H102" s="147"/>
      <c r="I102" s="147"/>
      <c r="J102" s="147"/>
      <c r="AC102" s="157"/>
      <c r="AH102" s="73">
        <v>0</v>
      </c>
      <c r="AI102" s="73">
        <v>0</v>
      </c>
      <c r="AJ102" s="73">
        <v>0</v>
      </c>
      <c r="AP102" s="73">
        <v>0</v>
      </c>
      <c r="CP102" s="147"/>
      <c r="CQ102" s="147"/>
      <c r="CR102" s="147"/>
      <c r="CS102" s="146"/>
      <c r="CT102" s="146"/>
      <c r="CU102" s="147"/>
      <c r="CV102" s="147"/>
      <c r="CW102" s="146"/>
      <c r="CX102" s="146"/>
      <c r="CY102" s="146">
        <v>50</v>
      </c>
      <c r="CZ102" s="146"/>
      <c r="DA102" s="146"/>
      <c r="DB102" s="146"/>
      <c r="DC102" s="146"/>
      <c r="DD102" s="146"/>
      <c r="DE102" s="146"/>
      <c r="DF102" s="146"/>
      <c r="DG102" s="146"/>
      <c r="DH102" s="146"/>
      <c r="DI102" s="146"/>
      <c r="DJ102" s="146"/>
      <c r="DK102" s="146"/>
      <c r="DL102" s="146"/>
      <c r="DM102" s="146"/>
      <c r="DN102" s="146"/>
    </row>
    <row r="103" spans="2:127" s="69" customFormat="1" x14ac:dyDescent="0.2">
      <c r="B103" s="69" t="s">
        <v>370</v>
      </c>
      <c r="C103" s="159">
        <f>SUM(C4:C102)</f>
        <v>5545</v>
      </c>
      <c r="D103" s="159">
        <f>SUM(D4:D102)</f>
        <v>5713</v>
      </c>
      <c r="E103" s="159">
        <v>4924</v>
      </c>
      <c r="F103" s="159">
        <v>5236</v>
      </c>
      <c r="G103" s="72">
        <f>SUM(G3:G102)</f>
        <v>4973</v>
      </c>
      <c r="H103" s="72">
        <f>SUM(H3:H102)</f>
        <v>5206</v>
      </c>
      <c r="I103" s="72">
        <f>SUM(I3:I102)</f>
        <v>5430</v>
      </c>
      <c r="J103" s="72">
        <f>SUM(J3:J102)</f>
        <v>5853</v>
      </c>
      <c r="K103" s="72">
        <f>SUM(K3:K102)</f>
        <v>5813</v>
      </c>
      <c r="L103" s="72">
        <f>SUM(L3:L102)</f>
        <v>5811</v>
      </c>
      <c r="M103" s="72">
        <f>SUM(M3:M102)</f>
        <v>5642</v>
      </c>
      <c r="N103" s="72">
        <f>SUM(N3:N102)</f>
        <v>5959</v>
      </c>
      <c r="O103" s="72">
        <f>SUM(O3:O102)</f>
        <v>5592</v>
      </c>
      <c r="P103" s="72">
        <f>SUM(P3:P102)</f>
        <v>5674</v>
      </c>
      <c r="Q103" s="72">
        <f>SUM(Q3:Q102)</f>
        <v>5476</v>
      </c>
      <c r="R103" s="72">
        <f>SUM(R3:R102)</f>
        <v>5983</v>
      </c>
      <c r="S103" s="72">
        <f>SUM(S3:S102)</f>
        <v>5686</v>
      </c>
      <c r="T103" s="72">
        <f>SUM(T3:T102)</f>
        <v>5874</v>
      </c>
      <c r="U103" s="72">
        <f>SUM(U3:U102)</f>
        <v>5882</v>
      </c>
      <c r="V103" s="72">
        <f>SUM(V3:V102)</f>
        <v>6910</v>
      </c>
      <c r="W103" s="72">
        <f>SUM(W3:W102)</f>
        <v>6769</v>
      </c>
      <c r="X103" s="72">
        <f>SUM(X3:X102)</f>
        <v>6747</v>
      </c>
      <c r="Y103" s="72">
        <f>SUM(Y3:Y102)</f>
        <v>6758</v>
      </c>
      <c r="Z103" s="72">
        <f>SUM(Z3:Z102)</f>
        <v>8094</v>
      </c>
      <c r="AA103" s="72">
        <f>SUM(AA3:AA102)</f>
        <v>7357</v>
      </c>
      <c r="AB103" s="72">
        <f>SUM(AB3:AB102)</f>
        <v>7025</v>
      </c>
      <c r="AC103" s="72">
        <f>SUM(AC3:AC102)</f>
        <v>6813</v>
      </c>
      <c r="AD103" s="72">
        <f>SUM(AD3:AD102)</f>
        <v>7197</v>
      </c>
      <c r="AE103" s="72">
        <f>SUM(AE3:AE102)</f>
        <v>6585</v>
      </c>
      <c r="AF103" s="72">
        <f>SUM(AF3:AF102)</f>
        <v>6720</v>
      </c>
      <c r="AG103" s="72">
        <f>SUM(AG3:AG102)</f>
        <v>7104</v>
      </c>
      <c r="AH103" s="72">
        <f>SUM(AH3:AH102)</f>
        <v>6978</v>
      </c>
      <c r="AI103" s="72">
        <f>SUM(AI3:AI102)</f>
        <v>6640</v>
      </c>
      <c r="AJ103" s="72">
        <f>SUM(AJ3:AJ102)</f>
        <v>6462</v>
      </c>
      <c r="AK103" s="72"/>
      <c r="AL103" s="72"/>
      <c r="AM103" s="72"/>
      <c r="AN103" s="72"/>
      <c r="AO103" s="72"/>
      <c r="AP103" s="72">
        <f>SUM(AP3:AP102)</f>
        <v>5688</v>
      </c>
      <c r="AQ103" s="72">
        <f>SUM(AQ3:AQ102)</f>
        <v>0</v>
      </c>
      <c r="AR103" s="72">
        <f>SUM(AR3:AR102)</f>
        <v>5561</v>
      </c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>
        <v>8899</v>
      </c>
      <c r="BO103" s="72">
        <f>SUM(BO3:BO102)</f>
        <v>6201</v>
      </c>
      <c r="BP103" s="72">
        <f>SUM(BP3:BP102)</f>
        <v>5153</v>
      </c>
      <c r="BQ103" s="72">
        <f>SUM(BQ3:BQ102)</f>
        <v>6148</v>
      </c>
      <c r="BR103" s="72">
        <f>SUM(BR3:BR102)</f>
        <v>6317</v>
      </c>
      <c r="BS103" s="72">
        <f>SUM(BS3:BS102)</f>
        <v>5086</v>
      </c>
      <c r="BT103" s="72">
        <f>SUM(BT3:BT102)</f>
        <v>5797</v>
      </c>
      <c r="BU103" s="72">
        <f>SUM(BU3:BU102)</f>
        <v>6565</v>
      </c>
      <c r="BV103" s="72">
        <f>SUM(BV3:BV102)</f>
        <v>7027</v>
      </c>
      <c r="BW103" s="72">
        <f>SUM(BW3:BW102)</f>
        <v>7137</v>
      </c>
      <c r="BX103" s="72">
        <f>SUM(BX3:BX102)</f>
        <v>6929</v>
      </c>
      <c r="BY103" s="72">
        <f>SUM(BY3:BY102)</f>
        <v>7820</v>
      </c>
      <c r="BZ103" s="72">
        <f>SUM(BZ3:BZ102)</f>
        <v>7375</v>
      </c>
      <c r="CA103" s="72">
        <f>SUM(CA3:CA102)</f>
        <v>6951</v>
      </c>
      <c r="CB103" s="72">
        <f>SUM(CB3:CB102)</f>
        <v>7178</v>
      </c>
      <c r="CC103" s="72">
        <f>SUM(CC3:CC102)</f>
        <v>8146</v>
      </c>
      <c r="CD103" s="72">
        <f>SUM(CD3:CD102)</f>
        <v>8055</v>
      </c>
      <c r="CE103" s="72">
        <f>SUM(CE3:CE102)</f>
        <v>7363</v>
      </c>
      <c r="CF103" s="72">
        <f>SUM(CF3:CF102)</f>
        <v>7884</v>
      </c>
      <c r="CG103" s="72">
        <f>SUM(CG3:CG102)</f>
        <v>0</v>
      </c>
      <c r="CH103" s="72">
        <f>SUM(CH3:CH102)</f>
        <v>0</v>
      </c>
      <c r="CI103" s="72"/>
      <c r="CJ103" s="72"/>
      <c r="CK103" s="72"/>
      <c r="CL103" s="72"/>
      <c r="CM103" s="72"/>
      <c r="CN103" s="13"/>
      <c r="CO103" s="13"/>
      <c r="CP103" s="72"/>
      <c r="CQ103" s="72">
        <f>SUM(CQ4:CQ83)</f>
        <v>16538</v>
      </c>
      <c r="CR103" s="72">
        <f>SUM(CR3:CR83)</f>
        <v>17008</v>
      </c>
      <c r="CS103" s="72">
        <f>SUM(CS3:CS102)</f>
        <v>21482</v>
      </c>
      <c r="CT103" s="72">
        <f>SUM(CT3:CT102)</f>
        <v>23225</v>
      </c>
      <c r="CU103" s="72">
        <f>SUM(CU3:CU102)</f>
        <v>22725</v>
      </c>
      <c r="CV103" s="72">
        <f>SUM(CV3:CV102)</f>
        <v>24463</v>
      </c>
      <c r="CW103" s="72">
        <f>SUM(CW3:CW102)</f>
        <v>28623</v>
      </c>
      <c r="CX103" s="72">
        <f>SUM(CX3:CX102)</f>
        <v>28591.7</v>
      </c>
      <c r="CY103" s="72">
        <f>SUM(CY3:CY102)</f>
        <v>26320.685000000005</v>
      </c>
      <c r="CZ103" s="72">
        <f>SUM(CZ3:CZ102)</f>
        <v>25744.276999999998</v>
      </c>
      <c r="DA103" s="72">
        <f>SUM(DA3:DA102)</f>
        <v>25017.536966249994</v>
      </c>
      <c r="DB103" s="72">
        <f>SUM(DB3:DB102)</f>
        <v>24514.683238747508</v>
      </c>
      <c r="DC103" s="72">
        <f>SUM(DC3:DC102)</f>
        <v>23656.658536001974</v>
      </c>
      <c r="DD103" s="72">
        <f>SUM(DD3:DD102)</f>
        <v>23357.842308673004</v>
      </c>
      <c r="DE103" s="72">
        <f>SUM(DE3:DE102)</f>
        <v>22915.741223787245</v>
      </c>
      <c r="DF103" s="72">
        <f>SUM(DF3:DF102)</f>
        <v>7778.3278774838564</v>
      </c>
      <c r="DG103" s="72">
        <f>SUM(DG3:DG102)</f>
        <v>1327.5663907975138</v>
      </c>
      <c r="DH103" s="72">
        <f>SUM(DH3:DH102)</f>
        <v>23819</v>
      </c>
      <c r="DI103" s="72">
        <f>SUM(DI3:DI102)</f>
        <v>24475</v>
      </c>
      <c r="DJ103" s="72">
        <f>SUM(DJ3:DJ102)</f>
        <v>29261</v>
      </c>
      <c r="DK103" s="72">
        <f>SUM(DK3:DK102)</f>
        <v>29059</v>
      </c>
      <c r="DL103" s="72">
        <f>SUM(DL3:DL102)</f>
        <v>28842.350000000002</v>
      </c>
      <c r="DM103" s="72">
        <f>SUM(DM3:DM102)</f>
        <v>29231.203300000005</v>
      </c>
      <c r="DN103" s="72">
        <f>SUM(DN3:DN102)</f>
        <v>29490.101746000008</v>
      </c>
      <c r="DO103" s="72">
        <f>SUM(DO3:DO102)</f>
        <v>28642.713546600011</v>
      </c>
      <c r="DP103" s="72">
        <f>SUM(DP3:DP102)</f>
        <v>24258.975304764015</v>
      </c>
      <c r="DQ103" s="72">
        <f>SUM(DQ3:DQ102)</f>
        <v>24010.394637922323</v>
      </c>
      <c r="DR103" s="72">
        <f>SUM(DR3:DR102)</f>
        <v>23888.325925789923</v>
      </c>
      <c r="DS103" s="72">
        <f>SUM(DS3:DS102)</f>
        <v>23899.230168757156</v>
      </c>
      <c r="DT103" s="72">
        <f>SUM(DT3:DT102)</f>
        <v>23018.549090960445</v>
      </c>
      <c r="DU103" s="72">
        <f>SUM(DU3:DU102)</f>
        <v>23008.009523588051</v>
      </c>
      <c r="DV103" s="72">
        <f>SUM(DV3:DV102)</f>
        <v>23146.190148882088</v>
      </c>
      <c r="DW103" s="72">
        <f>SUM(DW3:DW102)</f>
        <v>23357.639289903815</v>
      </c>
    </row>
    <row r="104" spans="2:127" x14ac:dyDescent="0.2">
      <c r="B104" s="65" t="s">
        <v>86</v>
      </c>
      <c r="C104" s="151">
        <v>1035</v>
      </c>
      <c r="D104" s="151">
        <v>1044</v>
      </c>
      <c r="E104" s="151">
        <v>-1105</v>
      </c>
      <c r="F104" s="151">
        <v>-1176</v>
      </c>
      <c r="G104" s="73">
        <v>-1127</v>
      </c>
      <c r="H104" s="73">
        <v>-1155</v>
      </c>
      <c r="I104" s="73">
        <v>1184</v>
      </c>
      <c r="J104" s="73">
        <v>1298</v>
      </c>
      <c r="K104" s="73">
        <v>1134</v>
      </c>
      <c r="L104" s="73">
        <v>1209</v>
      </c>
      <c r="M104" s="73">
        <v>1222</v>
      </c>
      <c r="N104" s="73">
        <v>1445</v>
      </c>
      <c r="O104" s="73">
        <v>1234</v>
      </c>
      <c r="P104" s="73">
        <v>1212</v>
      </c>
      <c r="Q104" s="73">
        <v>1232</v>
      </c>
      <c r="R104" s="73">
        <v>1528</v>
      </c>
      <c r="S104" s="73">
        <v>1299</v>
      </c>
      <c r="T104" s="73">
        <v>1375</v>
      </c>
      <c r="U104" s="73">
        <v>1460</v>
      </c>
      <c r="V104" s="73">
        <v>1642</v>
      </c>
      <c r="W104" s="73">
        <v>1644</v>
      </c>
      <c r="X104" s="73">
        <v>1621</v>
      </c>
      <c r="Y104" s="73">
        <v>1732</v>
      </c>
      <c r="Z104" s="73">
        <v>2098</v>
      </c>
      <c r="AA104" s="73">
        <v>1924</v>
      </c>
      <c r="AB104" s="73">
        <v>1626</v>
      </c>
      <c r="AC104" s="73">
        <f>1875-77</f>
        <v>1798</v>
      </c>
      <c r="AD104" s="73">
        <v>1980</v>
      </c>
      <c r="AE104" s="73">
        <v>1780</v>
      </c>
      <c r="AF104" s="73">
        <v>1625</v>
      </c>
      <c r="AG104" s="73">
        <v>1978</v>
      </c>
      <c r="AH104" s="73">
        <v>1876</v>
      </c>
      <c r="AI104" s="73">
        <v>1810</v>
      </c>
      <c r="AR104" s="73">
        <v>1722</v>
      </c>
      <c r="BN104" s="73">
        <v>2848</v>
      </c>
      <c r="BO104" s="73">
        <v>2610</v>
      </c>
      <c r="BP104" s="73">
        <v>2449</v>
      </c>
      <c r="BQ104" s="73">
        <v>2540</v>
      </c>
      <c r="BR104" s="73">
        <v>2792</v>
      </c>
      <c r="BS104" s="73">
        <v>2236</v>
      </c>
      <c r="BT104" s="73">
        <v>1522</v>
      </c>
      <c r="BU104" s="73">
        <v>2646</v>
      </c>
      <c r="BV104" s="73">
        <v>3496</v>
      </c>
      <c r="BW104" s="73">
        <v>2717</v>
      </c>
      <c r="BX104" s="73">
        <v>1970</v>
      </c>
      <c r="BY104" s="73">
        <v>2214</v>
      </c>
      <c r="BZ104" s="73">
        <v>2030</v>
      </c>
      <c r="CA104" s="73">
        <f t="shared" ref="CA104:CD104" si="186">+CA103-CA105</f>
        <v>2154.8100000000004</v>
      </c>
      <c r="CB104" s="73">
        <f t="shared" si="186"/>
        <v>2225.1800000000003</v>
      </c>
      <c r="CC104" s="73">
        <v>2073</v>
      </c>
      <c r="CD104" s="73">
        <v>2163</v>
      </c>
      <c r="CE104" s="73">
        <v>1733</v>
      </c>
      <c r="CF104" s="73">
        <v>1877</v>
      </c>
      <c r="CQ104" s="73">
        <v>4221</v>
      </c>
      <c r="CR104" s="73">
        <v>4360</v>
      </c>
      <c r="CS104" s="73">
        <v>4764</v>
      </c>
      <c r="CT104" s="73">
        <v>5010</v>
      </c>
      <c r="CU104" s="73">
        <f>CU103-CU105</f>
        <v>5206</v>
      </c>
      <c r="CV104" s="73">
        <f>CV103-CV105</f>
        <v>5887</v>
      </c>
      <c r="CW104" s="73">
        <f>SUM(W104:Z104)</f>
        <v>7095</v>
      </c>
      <c r="CX104" s="73">
        <f>SUM(AA104:AD104)</f>
        <v>7328</v>
      </c>
      <c r="CY104" s="73">
        <f>CY103-CY105</f>
        <v>6772.2637272115498</v>
      </c>
      <c r="CZ104" s="73">
        <f t="shared" ref="CZ104:DC104" si="187">CZ103-CZ105</f>
        <v>6649.6992884439096</v>
      </c>
      <c r="DA104" s="73">
        <f t="shared" si="187"/>
        <v>6487.0012144683169</v>
      </c>
      <c r="DB104" s="73">
        <f t="shared" si="187"/>
        <v>6381.1268531976384</v>
      </c>
      <c r="DC104" s="73">
        <f t="shared" si="187"/>
        <v>6181.4412634135588</v>
      </c>
      <c r="DD104" s="73">
        <f>DD103-DD105</f>
        <v>6126.7189764014402</v>
      </c>
      <c r="DE104" s="73">
        <f>DE103-DE105</f>
        <v>22915.741223787245</v>
      </c>
      <c r="DF104" s="73">
        <f t="shared" ref="DF104:DG104" si="188">DF103-DF105</f>
        <v>7778.3278774838564</v>
      </c>
      <c r="DG104" s="73">
        <f t="shared" si="188"/>
        <v>1327.5663907975138</v>
      </c>
      <c r="DH104" s="146">
        <f t="shared" si="174"/>
        <v>10391</v>
      </c>
      <c r="DI104" s="146">
        <f t="shared" ref="DI104" si="189">SUM(BS104:BV104)</f>
        <v>9900</v>
      </c>
      <c r="DJ104" s="146">
        <f>+DJ103-DJ105</f>
        <v>8931</v>
      </c>
      <c r="DK104" s="73">
        <f>+DK103-DK105</f>
        <v>8717.7000000000007</v>
      </c>
      <c r="DL104" s="73">
        <f t="shared" ref="DL104:DW104" si="190">+DL103-DL105</f>
        <v>8652.7050000000017</v>
      </c>
      <c r="DM104" s="73">
        <f t="shared" si="190"/>
        <v>8769.360990000001</v>
      </c>
      <c r="DN104" s="73">
        <f t="shared" si="190"/>
        <v>8847.0305238000037</v>
      </c>
      <c r="DO104" s="73">
        <f t="shared" si="190"/>
        <v>8592.814063980004</v>
      </c>
      <c r="DP104" s="73">
        <f t="shared" si="190"/>
        <v>7277.6925914292042</v>
      </c>
      <c r="DQ104" s="73">
        <f t="shared" si="190"/>
        <v>7203.1183913766981</v>
      </c>
      <c r="DR104" s="73">
        <f t="shared" si="190"/>
        <v>7166.4977777369786</v>
      </c>
      <c r="DS104" s="73">
        <f t="shared" si="190"/>
        <v>7169.7690506271465</v>
      </c>
      <c r="DT104" s="73">
        <f t="shared" si="190"/>
        <v>6905.5647272881342</v>
      </c>
      <c r="DU104" s="73">
        <f t="shared" si="190"/>
        <v>6902.4028570764167</v>
      </c>
      <c r="DV104" s="73">
        <f t="shared" si="190"/>
        <v>6943.8570446646281</v>
      </c>
      <c r="DW104" s="73">
        <f t="shared" si="190"/>
        <v>7007.2917869711455</v>
      </c>
    </row>
    <row r="105" spans="2:127" x14ac:dyDescent="0.2">
      <c r="B105" s="65" t="s">
        <v>87</v>
      </c>
      <c r="C105" s="151">
        <f>C103-C104</f>
        <v>4510</v>
      </c>
      <c r="D105" s="151">
        <f>D103-D104</f>
        <v>4669</v>
      </c>
      <c r="E105" s="151">
        <v>3819</v>
      </c>
      <c r="F105" s="151">
        <v>4060</v>
      </c>
      <c r="G105" s="73">
        <v>3909</v>
      </c>
      <c r="H105" s="73">
        <v>4091</v>
      </c>
      <c r="I105" s="73">
        <v>4287</v>
      </c>
      <c r="J105" s="73">
        <v>4609</v>
      </c>
      <c r="K105" s="73">
        <f t="shared" ref="K105:R105" si="191">K103-K104</f>
        <v>4679</v>
      </c>
      <c r="L105" s="73">
        <f t="shared" si="191"/>
        <v>4602</v>
      </c>
      <c r="M105" s="73">
        <f t="shared" si="191"/>
        <v>4420</v>
      </c>
      <c r="N105" s="73">
        <f t="shared" si="191"/>
        <v>4514</v>
      </c>
      <c r="O105" s="73">
        <f t="shared" si="191"/>
        <v>4358</v>
      </c>
      <c r="P105" s="73">
        <f>P103-P104</f>
        <v>4462</v>
      </c>
      <c r="Q105" s="73">
        <f t="shared" si="191"/>
        <v>4244</v>
      </c>
      <c r="R105" s="73">
        <f t="shared" si="191"/>
        <v>4455</v>
      </c>
      <c r="S105" s="73">
        <f t="shared" ref="S105:X105" si="192">S103-S104</f>
        <v>4387</v>
      </c>
      <c r="T105" s="73">
        <f t="shared" si="192"/>
        <v>4499</v>
      </c>
      <c r="U105" s="73">
        <f>U103-U104</f>
        <v>4422</v>
      </c>
      <c r="V105" s="73">
        <f>V103-V104</f>
        <v>5268</v>
      </c>
      <c r="W105" s="73">
        <f t="shared" si="192"/>
        <v>5125</v>
      </c>
      <c r="X105" s="73">
        <f t="shared" si="192"/>
        <v>5126</v>
      </c>
      <c r="Y105" s="73">
        <f>Y103-Y104</f>
        <v>5026</v>
      </c>
      <c r="Z105" s="73">
        <f t="shared" ref="Z105:AE105" si="193">+Z103-Z104</f>
        <v>5996</v>
      </c>
      <c r="AA105" s="73">
        <f t="shared" si="193"/>
        <v>5433</v>
      </c>
      <c r="AB105" s="73">
        <f t="shared" si="193"/>
        <v>5399</v>
      </c>
      <c r="AC105" s="73">
        <f t="shared" si="193"/>
        <v>5015</v>
      </c>
      <c r="AD105" s="73">
        <f t="shared" si="193"/>
        <v>5217</v>
      </c>
      <c r="AE105" s="73">
        <f t="shared" si="193"/>
        <v>4805</v>
      </c>
      <c r="AF105" s="73">
        <f>AF103-AF104</f>
        <v>5095</v>
      </c>
      <c r="AG105" s="73">
        <f>AG103-AG104</f>
        <v>5126</v>
      </c>
      <c r="AH105" s="73">
        <f>AH103-AH104</f>
        <v>5102</v>
      </c>
      <c r="AI105" s="73">
        <f>AI103-AI104</f>
        <v>4830</v>
      </c>
      <c r="AR105" s="73">
        <f>+AR103-AR104</f>
        <v>3839</v>
      </c>
      <c r="BN105" s="73">
        <f t="shared" ref="BN105:BU105" si="194">+BN103-BN104</f>
        <v>6051</v>
      </c>
      <c r="BO105" s="73">
        <f t="shared" si="194"/>
        <v>3591</v>
      </c>
      <c r="BP105" s="73">
        <f t="shared" si="194"/>
        <v>2704</v>
      </c>
      <c r="BQ105" s="73">
        <f t="shared" si="194"/>
        <v>3608</v>
      </c>
      <c r="BR105" s="73">
        <f t="shared" si="194"/>
        <v>3525</v>
      </c>
      <c r="BS105" s="73">
        <f t="shared" si="194"/>
        <v>2850</v>
      </c>
      <c r="BT105" s="73">
        <f t="shared" si="194"/>
        <v>4275</v>
      </c>
      <c r="BU105" s="73">
        <f t="shared" si="194"/>
        <v>3919</v>
      </c>
      <c r="BV105" s="73">
        <f>BV103-BV104</f>
        <v>3531</v>
      </c>
      <c r="BW105" s="73">
        <f>BW103-BW104</f>
        <v>4420</v>
      </c>
      <c r="BX105" s="73">
        <f>+BX103-BX104</f>
        <v>4959</v>
      </c>
      <c r="BY105" s="73">
        <f>+BY103-BY104</f>
        <v>5606</v>
      </c>
      <c r="BZ105" s="73">
        <f>+BZ103-BZ104</f>
        <v>5345</v>
      </c>
      <c r="CA105" s="73">
        <f t="shared" ref="CA105:CD105" si="195">+CA103*0.69</f>
        <v>4796.1899999999996</v>
      </c>
      <c r="CB105" s="73">
        <f t="shared" si="195"/>
        <v>4952.82</v>
      </c>
      <c r="CC105" s="73">
        <f>+CC103-CC104</f>
        <v>6073</v>
      </c>
      <c r="CD105" s="73">
        <f>+CD103-CD104</f>
        <v>5892</v>
      </c>
      <c r="CE105" s="73">
        <f>+CE103-CE104</f>
        <v>5630</v>
      </c>
      <c r="CF105" s="73">
        <f>+CF103-CF104</f>
        <v>6007</v>
      </c>
      <c r="CQ105" s="73">
        <v>16849</v>
      </c>
      <c r="CR105" s="73">
        <v>15626</v>
      </c>
      <c r="CS105" s="73">
        <v>16896</v>
      </c>
      <c r="CT105" s="73">
        <f>CT103-CT104</f>
        <v>18215</v>
      </c>
      <c r="CU105" s="73">
        <f>SUM(O105:R105)</f>
        <v>17519</v>
      </c>
      <c r="CV105" s="73">
        <f>SUM(S105:V105)</f>
        <v>18576</v>
      </c>
      <c r="CW105" s="73">
        <f>CW103-CW104</f>
        <v>21528</v>
      </c>
      <c r="CX105" s="73">
        <f>CX103-CX104</f>
        <v>21263.7</v>
      </c>
      <c r="CY105" s="73">
        <f t="shared" ref="CY105:DG105" si="196">CY103*CY125</f>
        <v>19548.421272788455</v>
      </c>
      <c r="CZ105" s="73">
        <f t="shared" si="196"/>
        <v>19094.577711556089</v>
      </c>
      <c r="DA105" s="73">
        <f t="shared" si="196"/>
        <v>18530.535751781677</v>
      </c>
      <c r="DB105" s="73">
        <f t="shared" si="196"/>
        <v>18133.556385549869</v>
      </c>
      <c r="DC105" s="73">
        <f t="shared" si="196"/>
        <v>17475.217272588416</v>
      </c>
      <c r="DD105" s="73">
        <f t="shared" si="196"/>
        <v>17231.123332271563</v>
      </c>
      <c r="DE105" s="73">
        <f t="shared" si="196"/>
        <v>0</v>
      </c>
      <c r="DF105" s="73">
        <f t="shared" si="196"/>
        <v>0</v>
      </c>
      <c r="DG105" s="73">
        <f t="shared" si="196"/>
        <v>0</v>
      </c>
      <c r="DH105" s="73">
        <f>+DH103-DH104</f>
        <v>13428</v>
      </c>
      <c r="DI105" s="73">
        <f>+DI103-DI104</f>
        <v>14575</v>
      </c>
      <c r="DJ105" s="146">
        <f t="shared" ref="DJ105:DJ112" si="197">SUM(BW105:BZ105)</f>
        <v>20330</v>
      </c>
      <c r="DK105" s="73">
        <f>+DK103*0.7</f>
        <v>20341.3</v>
      </c>
      <c r="DL105" s="73">
        <f t="shared" ref="DL105:DW105" si="198">+DL103*0.7</f>
        <v>20189.645</v>
      </c>
      <c r="DM105" s="73">
        <f t="shared" si="198"/>
        <v>20461.842310000004</v>
      </c>
      <c r="DN105" s="73">
        <f t="shared" si="198"/>
        <v>20643.071222200004</v>
      </c>
      <c r="DO105" s="73">
        <f t="shared" si="198"/>
        <v>20049.899482620007</v>
      </c>
      <c r="DP105" s="73">
        <f t="shared" si="198"/>
        <v>16981.282713334811</v>
      </c>
      <c r="DQ105" s="73">
        <f t="shared" si="198"/>
        <v>16807.276246545625</v>
      </c>
      <c r="DR105" s="73">
        <f t="shared" si="198"/>
        <v>16721.828148052944</v>
      </c>
      <c r="DS105" s="73">
        <f t="shared" si="198"/>
        <v>16729.46111813001</v>
      </c>
      <c r="DT105" s="73">
        <f t="shared" si="198"/>
        <v>16112.984363672311</v>
      </c>
      <c r="DU105" s="73">
        <f t="shared" si="198"/>
        <v>16105.606666511634</v>
      </c>
      <c r="DV105" s="73">
        <f t="shared" si="198"/>
        <v>16202.33310421746</v>
      </c>
      <c r="DW105" s="73">
        <f t="shared" si="198"/>
        <v>16350.347502932669</v>
      </c>
    </row>
    <row r="106" spans="2:127" x14ac:dyDescent="0.2">
      <c r="B106" s="65" t="s">
        <v>88</v>
      </c>
      <c r="C106" s="151">
        <v>1725</v>
      </c>
      <c r="D106" s="151">
        <v>1783</v>
      </c>
      <c r="E106" s="151">
        <v>-1648</v>
      </c>
      <c r="F106" s="151">
        <v>-2045</v>
      </c>
      <c r="G106" s="73">
        <v>-1645</v>
      </c>
      <c r="H106" s="73">
        <v>-1681</v>
      </c>
      <c r="I106" s="73">
        <v>1884</v>
      </c>
      <c r="J106" s="73">
        <v>2040</v>
      </c>
      <c r="K106" s="73">
        <v>1823</v>
      </c>
      <c r="L106" s="73">
        <v>1883</v>
      </c>
      <c r="M106" s="73">
        <v>1617</v>
      </c>
      <c r="N106" s="73">
        <v>1934</v>
      </c>
      <c r="O106" s="73">
        <v>1673</v>
      </c>
      <c r="P106" s="73">
        <v>1841</v>
      </c>
      <c r="Q106" s="73">
        <v>1617</v>
      </c>
      <c r="R106" s="73">
        <v>1686</v>
      </c>
      <c r="S106" s="73">
        <v>1720</v>
      </c>
      <c r="T106" s="73">
        <v>1765</v>
      </c>
      <c r="U106" s="73">
        <v>1662</v>
      </c>
      <c r="V106" s="73">
        <v>2205</v>
      </c>
      <c r="W106" s="73">
        <v>2129</v>
      </c>
      <c r="X106" s="73">
        <v>2227</v>
      </c>
      <c r="Y106" s="73">
        <v>2064</v>
      </c>
      <c r="Z106" s="73">
        <v>2780</v>
      </c>
      <c r="AA106" s="73">
        <v>2298</v>
      </c>
      <c r="AB106" s="73">
        <f>3845-1570</f>
        <v>2275</v>
      </c>
      <c r="AC106" s="73">
        <v>1956</v>
      </c>
      <c r="AD106" s="73">
        <f>4289-2165</f>
        <v>2124</v>
      </c>
      <c r="AE106" s="73">
        <v>2054</v>
      </c>
      <c r="AF106" s="73">
        <v>2244</v>
      </c>
      <c r="AG106" s="73">
        <v>2067</v>
      </c>
      <c r="AH106" s="73">
        <v>2064</v>
      </c>
      <c r="AI106" s="73">
        <v>2130</v>
      </c>
      <c r="AR106" s="73">
        <v>2055</v>
      </c>
      <c r="BN106" s="73">
        <v>3117</v>
      </c>
      <c r="BO106" s="73">
        <v>2786</v>
      </c>
      <c r="BP106" s="73">
        <v>2709</v>
      </c>
      <c r="BQ106" s="73">
        <v>2477</v>
      </c>
      <c r="BR106" s="73">
        <v>2924</v>
      </c>
      <c r="BS106" s="73">
        <v>2315</v>
      </c>
      <c r="BT106" s="73">
        <v>1646</v>
      </c>
      <c r="BU106" s="73">
        <v>2504</v>
      </c>
      <c r="BV106" s="73">
        <v>2908</v>
      </c>
      <c r="BW106" s="73">
        <v>1812</v>
      </c>
      <c r="BX106" s="73">
        <v>1955</v>
      </c>
      <c r="BY106" s="73">
        <v>1968</v>
      </c>
      <c r="BZ106" s="73">
        <v>2435</v>
      </c>
      <c r="CA106" s="73">
        <f>+BV106*0.8</f>
        <v>2326.4</v>
      </c>
      <c r="CB106" s="73">
        <f>+BW106*0.8</f>
        <v>1449.6000000000001</v>
      </c>
      <c r="CC106" s="73">
        <v>2185</v>
      </c>
      <c r="CD106" s="73">
        <v>2588</v>
      </c>
      <c r="CE106" s="73">
        <v>1979</v>
      </c>
      <c r="CF106" s="73">
        <v>2223</v>
      </c>
      <c r="CQ106" s="73">
        <v>7434</v>
      </c>
      <c r="CR106" s="73">
        <v>7201</v>
      </c>
      <c r="CS106" s="73">
        <v>7250</v>
      </c>
      <c r="CT106" s="73">
        <v>7257</v>
      </c>
      <c r="CU106" s="73">
        <f>SUM(O106:R106)</f>
        <v>6817</v>
      </c>
      <c r="CV106" s="73">
        <f>SUM(S106:V106)</f>
        <v>7352</v>
      </c>
      <c r="CW106" s="73">
        <f>SUM(W106:Z106)</f>
        <v>9200</v>
      </c>
      <c r="CX106" s="73">
        <f>SUM(AA106:AD106)</f>
        <v>8653</v>
      </c>
      <c r="CY106" s="73">
        <f t="shared" ref="CY106:DD106" si="199">CY103*CY126</f>
        <v>7896.2055000000009</v>
      </c>
      <c r="CZ106" s="73">
        <f t="shared" si="199"/>
        <v>7594.5617149999989</v>
      </c>
      <c r="DA106" s="73">
        <f t="shared" si="199"/>
        <v>7255.085720212498</v>
      </c>
      <c r="DB106" s="73">
        <f t="shared" si="199"/>
        <v>7052.8743677876582</v>
      </c>
      <c r="DC106" s="73">
        <f t="shared" si="199"/>
        <v>6806.0206608077688</v>
      </c>
      <c r="DD106" s="73">
        <f t="shared" si="199"/>
        <v>6720.0512322052236</v>
      </c>
      <c r="DE106" s="73">
        <f>DD106</f>
        <v>6720.0512322052236</v>
      </c>
      <c r="DF106" s="73">
        <f t="shared" ref="DF106" si="200">DE106</f>
        <v>6720.0512322052236</v>
      </c>
      <c r="DG106" s="73"/>
      <c r="DH106" s="146">
        <f t="shared" ref="DH106:DH107" si="201">SUM(BO106:BR106)</f>
        <v>10896</v>
      </c>
      <c r="DI106" s="146">
        <f t="shared" ref="DI106:DI107" si="202">SUM(BS106:BV106)</f>
        <v>9373</v>
      </c>
      <c r="DJ106" s="146">
        <f t="shared" si="197"/>
        <v>8170</v>
      </c>
      <c r="DK106" s="73">
        <f>+DK103*0.25</f>
        <v>7264.75</v>
      </c>
      <c r="DL106" s="73">
        <f t="shared" ref="DL106:DW106" si="203">+DL103*0.25</f>
        <v>7210.5875000000005</v>
      </c>
      <c r="DM106" s="73">
        <f t="shared" si="203"/>
        <v>7307.8008250000012</v>
      </c>
      <c r="DN106" s="73">
        <f t="shared" si="203"/>
        <v>7372.5254365000019</v>
      </c>
      <c r="DO106" s="73">
        <f t="shared" si="203"/>
        <v>7160.6783866500027</v>
      </c>
      <c r="DP106" s="73">
        <f t="shared" si="203"/>
        <v>6064.7438261910038</v>
      </c>
      <c r="DQ106" s="73">
        <f t="shared" si="203"/>
        <v>6002.5986594805809</v>
      </c>
      <c r="DR106" s="73">
        <f t="shared" si="203"/>
        <v>5972.0814814474807</v>
      </c>
      <c r="DS106" s="73">
        <f t="shared" si="203"/>
        <v>5974.8075421892891</v>
      </c>
      <c r="DT106" s="73">
        <f t="shared" si="203"/>
        <v>5754.6372727401113</v>
      </c>
      <c r="DU106" s="73">
        <f t="shared" si="203"/>
        <v>5752.0023808970127</v>
      </c>
      <c r="DV106" s="73">
        <f t="shared" si="203"/>
        <v>5786.5475372205219</v>
      </c>
      <c r="DW106" s="73">
        <f t="shared" si="203"/>
        <v>5839.4098224759537</v>
      </c>
    </row>
    <row r="107" spans="2:127" x14ac:dyDescent="0.2">
      <c r="B107" s="65" t="s">
        <v>89</v>
      </c>
      <c r="C107" s="151">
        <v>659</v>
      </c>
      <c r="D107" s="151">
        <v>696</v>
      </c>
      <c r="E107" s="151">
        <v>-696</v>
      </c>
      <c r="F107" s="151">
        <v>-853</v>
      </c>
      <c r="G107" s="73">
        <v>-663</v>
      </c>
      <c r="H107" s="73">
        <v>-702</v>
      </c>
      <c r="I107" s="73">
        <v>-803</v>
      </c>
      <c r="J107" s="73">
        <v>-968</v>
      </c>
      <c r="K107" s="73">
        <v>753</v>
      </c>
      <c r="L107" s="73">
        <v>853</v>
      </c>
      <c r="M107" s="73">
        <v>871</v>
      </c>
      <c r="N107" s="73">
        <v>980</v>
      </c>
      <c r="O107" s="73">
        <v>726</v>
      </c>
      <c r="P107" s="73">
        <v>789</v>
      </c>
      <c r="Q107" s="73">
        <v>769</v>
      </c>
      <c r="R107" s="73">
        <v>953</v>
      </c>
      <c r="S107" s="73">
        <v>780</v>
      </c>
      <c r="T107" s="73">
        <v>802</v>
      </c>
      <c r="U107" s="73">
        <v>834</v>
      </c>
      <c r="V107" s="73">
        <v>1090</v>
      </c>
      <c r="W107" s="73">
        <v>1074</v>
      </c>
      <c r="X107" s="73">
        <v>923</v>
      </c>
      <c r="Y107" s="73">
        <v>862</v>
      </c>
      <c r="Z107" s="73">
        <v>1092</v>
      </c>
      <c r="AA107" s="73">
        <v>939</v>
      </c>
      <c r="AB107" s="73">
        <v>994</v>
      </c>
      <c r="AC107" s="73">
        <v>948</v>
      </c>
      <c r="AD107" s="73">
        <v>1083</v>
      </c>
      <c r="AE107" s="73">
        <v>898</v>
      </c>
      <c r="AF107" s="73">
        <v>944</v>
      </c>
      <c r="AG107" s="73">
        <v>971</v>
      </c>
      <c r="AH107" s="73">
        <v>1099</v>
      </c>
      <c r="AI107" s="73">
        <v>971</v>
      </c>
      <c r="AR107" s="73">
        <v>809</v>
      </c>
      <c r="BN107" s="73">
        <v>1164</v>
      </c>
      <c r="BO107" s="73">
        <v>1086</v>
      </c>
      <c r="BP107" s="73">
        <v>1301</v>
      </c>
      <c r="BQ107" s="73">
        <v>1049</v>
      </c>
      <c r="BR107" s="73">
        <v>1297</v>
      </c>
      <c r="BS107" s="73">
        <v>1077</v>
      </c>
      <c r="BT107" s="73">
        <v>1106</v>
      </c>
      <c r="BU107" s="73">
        <v>1169</v>
      </c>
      <c r="BV107" s="73">
        <v>1365</v>
      </c>
      <c r="BW107" s="73">
        <v>1103</v>
      </c>
      <c r="BX107" s="73">
        <v>1155</v>
      </c>
      <c r="BY107" s="73">
        <v>1297</v>
      </c>
      <c r="BZ107" s="73">
        <v>1522</v>
      </c>
      <c r="CA107" s="73">
        <f>+BV107*0.95</f>
        <v>1296.75</v>
      </c>
      <c r="CB107" s="73">
        <f>+BW107*0.95</f>
        <v>1047.8499999999999</v>
      </c>
      <c r="CC107" s="73">
        <v>1429</v>
      </c>
      <c r="CD107" s="73">
        <v>1784</v>
      </c>
      <c r="CE107" s="73">
        <v>1359</v>
      </c>
      <c r="CF107" s="73">
        <v>1415</v>
      </c>
      <c r="CQ107" s="73">
        <v>2844</v>
      </c>
      <c r="CR107" s="73">
        <v>2904</v>
      </c>
      <c r="CS107" s="73">
        <v>3136</v>
      </c>
      <c r="CT107" s="73">
        <v>3457</v>
      </c>
      <c r="CU107" s="73">
        <f>SUM(O107:R107)</f>
        <v>3237</v>
      </c>
      <c r="CV107" s="73">
        <f>SUM(S107:V107)</f>
        <v>3506</v>
      </c>
      <c r="CW107" s="73">
        <f>SUM(W107:Z107)</f>
        <v>3951</v>
      </c>
      <c r="CX107" s="73">
        <f>SUM(AA107:AD107)</f>
        <v>3964</v>
      </c>
      <c r="CY107" s="73">
        <f>CX107*0.95</f>
        <v>3765.7999999999997</v>
      </c>
      <c r="CZ107" s="73">
        <f>CY107*0.95</f>
        <v>3577.5099999999998</v>
      </c>
      <c r="DA107" s="73">
        <v>500</v>
      </c>
      <c r="DB107" s="73">
        <v>500</v>
      </c>
      <c r="DC107" s="73">
        <v>500</v>
      </c>
      <c r="DD107" s="73">
        <v>500</v>
      </c>
      <c r="DE107" s="73">
        <v>500</v>
      </c>
      <c r="DF107" s="73">
        <v>500</v>
      </c>
      <c r="DG107" s="73"/>
      <c r="DH107" s="146">
        <f t="shared" si="201"/>
        <v>4733</v>
      </c>
      <c r="DI107" s="146">
        <f t="shared" si="202"/>
        <v>4717</v>
      </c>
      <c r="DJ107" s="146">
        <f t="shared" si="197"/>
        <v>5077</v>
      </c>
      <c r="DK107" s="73"/>
      <c r="DL107" s="73"/>
      <c r="DM107" s="73"/>
    </row>
    <row r="108" spans="2:127" x14ac:dyDescent="0.2">
      <c r="B108" s="65" t="s">
        <v>414</v>
      </c>
      <c r="C108" s="151">
        <v>57</v>
      </c>
      <c r="D108" s="151">
        <f>77+16</f>
        <v>93</v>
      </c>
      <c r="E108" s="151">
        <v>22</v>
      </c>
      <c r="F108" s="151">
        <v>79</v>
      </c>
      <c r="G108" s="73">
        <v>146</v>
      </c>
      <c r="H108" s="73">
        <v>3</v>
      </c>
      <c r="I108" s="73">
        <v>183</v>
      </c>
      <c r="J108" s="73">
        <v>32</v>
      </c>
      <c r="K108" s="73">
        <v>71</v>
      </c>
      <c r="L108" s="73">
        <v>45</v>
      </c>
      <c r="M108" s="73">
        <f>91+16</f>
        <v>107</v>
      </c>
      <c r="N108" s="73">
        <v>100</v>
      </c>
      <c r="O108" s="73">
        <f>207+15</f>
        <v>222</v>
      </c>
      <c r="P108" s="73">
        <f>97+11</f>
        <v>108</v>
      </c>
      <c r="Q108" s="73">
        <f>52+14</f>
        <v>66</v>
      </c>
      <c r="R108" s="73">
        <v>119</v>
      </c>
      <c r="S108" s="73">
        <v>161</v>
      </c>
      <c r="T108" s="73">
        <v>194</v>
      </c>
      <c r="U108" s="73">
        <v>53</v>
      </c>
      <c r="V108" s="73">
        <v>133</v>
      </c>
      <c r="W108" s="73">
        <v>54</v>
      </c>
      <c r="X108" s="73">
        <v>405</v>
      </c>
      <c r="Y108" s="73">
        <v>123</v>
      </c>
      <c r="Z108" s="73">
        <v>553</v>
      </c>
      <c r="AA108" s="73">
        <v>199</v>
      </c>
      <c r="AB108" s="73">
        <v>81</v>
      </c>
      <c r="AC108" s="73">
        <v>95</v>
      </c>
      <c r="AD108" s="73">
        <v>118</v>
      </c>
      <c r="AE108" s="73">
        <v>317</v>
      </c>
      <c r="AF108" s="73">
        <v>62</v>
      </c>
      <c r="AG108" s="73">
        <v>91</v>
      </c>
      <c r="AH108" s="73">
        <v>140</v>
      </c>
      <c r="AI108" s="73">
        <f>72+236</f>
        <v>308</v>
      </c>
      <c r="AR108" s="73">
        <f>72+90</f>
        <v>162</v>
      </c>
      <c r="BN108" s="73">
        <v>82</v>
      </c>
      <c r="BO108" s="73">
        <v>67</v>
      </c>
      <c r="BP108" s="73">
        <v>75</v>
      </c>
      <c r="BQ108" s="73">
        <v>85</v>
      </c>
      <c r="BR108" s="73">
        <v>91</v>
      </c>
      <c r="BS108" s="73">
        <v>91</v>
      </c>
      <c r="BT108" s="73">
        <v>77</v>
      </c>
      <c r="BU108" s="73">
        <f>116</f>
        <v>116</v>
      </c>
      <c r="BV108" s="73">
        <v>135</v>
      </c>
      <c r="BW108" s="73">
        <v>139</v>
      </c>
      <c r="BX108" s="73">
        <v>159</v>
      </c>
      <c r="BY108" s="73">
        <v>255</v>
      </c>
      <c r="BZ108" s="73">
        <v>206</v>
      </c>
      <c r="CQ108" s="73">
        <v>126</v>
      </c>
      <c r="CR108" s="73">
        <v>235</v>
      </c>
      <c r="CS108" s="73">
        <v>364</v>
      </c>
      <c r="CT108" s="73">
        <v>307</v>
      </c>
      <c r="CU108" s="73">
        <f>SUM(O108:R108)</f>
        <v>515</v>
      </c>
      <c r="CV108" s="73">
        <f>SUM(S108:V108)</f>
        <v>541</v>
      </c>
      <c r="CW108" s="73">
        <f>SUM(W108:Z108)</f>
        <v>1135</v>
      </c>
      <c r="CX108" s="73"/>
      <c r="CY108" s="73"/>
      <c r="CZ108" s="73"/>
      <c r="DA108" s="73"/>
      <c r="DB108" s="73"/>
      <c r="DC108" s="73"/>
      <c r="DD108" s="73"/>
      <c r="DH108" s="146">
        <f t="shared" ref="DH108" si="204">SUM(BO108:BR108)</f>
        <v>318</v>
      </c>
      <c r="DI108" s="146">
        <f t="shared" ref="DI108" si="205">SUM(BS108:BV108)</f>
        <v>419</v>
      </c>
      <c r="DJ108" s="146">
        <f t="shared" si="197"/>
        <v>759</v>
      </c>
    </row>
    <row r="109" spans="2:127" x14ac:dyDescent="0.2">
      <c r="B109" s="65" t="s">
        <v>85</v>
      </c>
      <c r="C109" s="151">
        <f>C105-C106-C107+C108</f>
        <v>2183</v>
      </c>
      <c r="D109" s="151">
        <f>D105-D106-D107+D108</f>
        <v>2283</v>
      </c>
      <c r="E109" s="151">
        <v>1497</v>
      </c>
      <c r="F109" s="151">
        <v>1241</v>
      </c>
      <c r="G109" s="73">
        <v>1747</v>
      </c>
      <c r="H109" s="73">
        <v>1711</v>
      </c>
      <c r="I109" s="73">
        <v>1783</v>
      </c>
      <c r="J109" s="73">
        <v>1633</v>
      </c>
      <c r="K109" s="73">
        <f t="shared" ref="K109:Z109" si="206">K105-K106-K107+K108</f>
        <v>2174</v>
      </c>
      <c r="L109" s="73">
        <f t="shared" si="206"/>
        <v>1911</v>
      </c>
      <c r="M109" s="73">
        <f t="shared" si="206"/>
        <v>2039</v>
      </c>
      <c r="N109" s="73">
        <f t="shared" si="206"/>
        <v>1700</v>
      </c>
      <c r="O109" s="73">
        <f t="shared" si="206"/>
        <v>2181</v>
      </c>
      <c r="P109" s="73">
        <f t="shared" si="206"/>
        <v>1940</v>
      </c>
      <c r="Q109" s="73">
        <f t="shared" si="206"/>
        <v>1924</v>
      </c>
      <c r="R109" s="73">
        <f t="shared" si="206"/>
        <v>1935</v>
      </c>
      <c r="S109" s="73">
        <f t="shared" si="206"/>
        <v>2048</v>
      </c>
      <c r="T109" s="73">
        <f t="shared" si="206"/>
        <v>2126</v>
      </c>
      <c r="U109" s="73">
        <f t="shared" si="206"/>
        <v>1979</v>
      </c>
      <c r="V109" s="73">
        <f t="shared" si="206"/>
        <v>2106</v>
      </c>
      <c r="W109" s="73">
        <f t="shared" si="206"/>
        <v>1976</v>
      </c>
      <c r="X109" s="73">
        <f t="shared" si="206"/>
        <v>2381</v>
      </c>
      <c r="Y109" s="73">
        <f>Y105-Y106-Y107+Y108</f>
        <v>2223</v>
      </c>
      <c r="Z109" s="73">
        <f t="shared" si="206"/>
        <v>2677</v>
      </c>
      <c r="AA109" s="73">
        <f>AA105-AA106-AA107+AA108</f>
        <v>2395</v>
      </c>
      <c r="AB109" s="73">
        <f>AB105-AB106-AB107+AB108</f>
        <v>2211</v>
      </c>
      <c r="AC109" s="73">
        <f>AC105-AC106-AC107+AC108</f>
        <v>2206</v>
      </c>
      <c r="AD109" s="73">
        <f t="shared" ref="AD109:AI109" si="207">AD105-AD106-AD107+AD108</f>
        <v>2128</v>
      </c>
      <c r="AE109" s="73">
        <f>AE105-AE106-AE107+AE108</f>
        <v>2170</v>
      </c>
      <c r="AF109" s="73">
        <f>AF105-AF106-AF107+AF108</f>
        <v>1969</v>
      </c>
      <c r="AG109" s="73">
        <f t="shared" si="207"/>
        <v>2179</v>
      </c>
      <c r="AH109" s="73">
        <f t="shared" si="207"/>
        <v>2079</v>
      </c>
      <c r="AI109" s="73">
        <f t="shared" si="207"/>
        <v>2037</v>
      </c>
      <c r="AR109" s="73">
        <f>+AR105-AR106-AR107+AR108</f>
        <v>1137</v>
      </c>
      <c r="BN109" s="73">
        <f t="shared" ref="BN109:BP109" si="208">BN105-BN106-BN107+BN108</f>
        <v>1852</v>
      </c>
      <c r="BO109" s="73">
        <f t="shared" si="208"/>
        <v>-214</v>
      </c>
      <c r="BP109" s="73">
        <f t="shared" si="208"/>
        <v>-1231</v>
      </c>
      <c r="BQ109" s="73">
        <f t="shared" ref="BQ109:BX109" si="209">BQ105-BQ106-BQ107+BQ108</f>
        <v>167</v>
      </c>
      <c r="BR109" s="73">
        <f t="shared" si="209"/>
        <v>-605</v>
      </c>
      <c r="BS109" s="73">
        <f t="shared" si="209"/>
        <v>-451</v>
      </c>
      <c r="BT109" s="73">
        <f t="shared" si="209"/>
        <v>1600</v>
      </c>
      <c r="BU109" s="73">
        <f t="shared" si="209"/>
        <v>362</v>
      </c>
      <c r="BV109" s="73">
        <f t="shared" si="209"/>
        <v>-607</v>
      </c>
      <c r="BW109" s="73">
        <f t="shared" si="209"/>
        <v>1644</v>
      </c>
      <c r="BX109" s="73">
        <f t="shared" si="209"/>
        <v>2008</v>
      </c>
      <c r="BY109" s="73">
        <f t="shared" ref="BY109:CD109" si="210">BY105-BY106-BY107+BY108</f>
        <v>2596</v>
      </c>
      <c r="BZ109" s="73">
        <f t="shared" si="210"/>
        <v>1594</v>
      </c>
      <c r="CA109" s="73">
        <f t="shared" si="210"/>
        <v>1173.0399999999995</v>
      </c>
      <c r="CB109" s="73">
        <f t="shared" si="210"/>
        <v>2455.3699999999994</v>
      </c>
      <c r="CC109" s="73">
        <f t="shared" si="210"/>
        <v>2459</v>
      </c>
      <c r="CD109" s="73">
        <f t="shared" si="210"/>
        <v>1520</v>
      </c>
      <c r="CE109" s="73">
        <f>+CE105-CE106-CE107</f>
        <v>2292</v>
      </c>
      <c r="CF109" s="73">
        <f>+CF105-CF106-CF107</f>
        <v>2369</v>
      </c>
      <c r="CQ109" s="73">
        <v>6445</v>
      </c>
      <c r="CR109" s="73">
        <v>5756</v>
      </c>
      <c r="CS109" s="73">
        <v>6874</v>
      </c>
      <c r="CT109" s="73">
        <f>CT105-CT106-CT107+CT108</f>
        <v>7808</v>
      </c>
      <c r="CU109" s="73">
        <f>CU105-CU106-CU107+CU108</f>
        <v>7980</v>
      </c>
      <c r="CV109" s="73">
        <f>CV105-CV106-CV107+CV108</f>
        <v>8259</v>
      </c>
      <c r="CW109" s="73">
        <f>CW105-CW106-CW107+CW108</f>
        <v>9512</v>
      </c>
      <c r="CX109" s="73">
        <f t="shared" ref="CX109:DE109" si="211">CX105-CX106-CX107</f>
        <v>8646.7000000000007</v>
      </c>
      <c r="CY109" s="73">
        <f t="shared" si="211"/>
        <v>7886.4157727884558</v>
      </c>
      <c r="CZ109" s="73">
        <f t="shared" si="211"/>
        <v>7922.5059965560886</v>
      </c>
      <c r="DA109" s="73">
        <f t="shared" si="211"/>
        <v>10775.45003156918</v>
      </c>
      <c r="DB109" s="73">
        <f t="shared" si="211"/>
        <v>10580.68201776221</v>
      </c>
      <c r="DC109" s="73">
        <f t="shared" si="211"/>
        <v>10169.196611780648</v>
      </c>
      <c r="DD109" s="73">
        <f t="shared" si="211"/>
        <v>10011.07210006634</v>
      </c>
      <c r="DE109" s="73">
        <f t="shared" si="211"/>
        <v>-7220.0512322052236</v>
      </c>
      <c r="DF109" s="73">
        <f t="shared" ref="DF109:DG109" si="212">DF105-DF106-DF107</f>
        <v>-7220.0512322052236</v>
      </c>
      <c r="DG109" s="73">
        <f t="shared" si="212"/>
        <v>0</v>
      </c>
      <c r="DH109" s="73">
        <f>DH105-DH106-DH107+DH108</f>
        <v>-1883</v>
      </c>
      <c r="DI109" s="73">
        <f>DI105-DI106-DI107+DI108</f>
        <v>904</v>
      </c>
      <c r="DJ109" s="73">
        <f>DJ105-DJ106-DJ107+DJ108</f>
        <v>7842</v>
      </c>
      <c r="DK109" s="73">
        <f t="shared" ref="DK109:DW109" si="213">DK105-DK106-DK107</f>
        <v>13076.55</v>
      </c>
      <c r="DL109" s="73">
        <f t="shared" si="213"/>
        <v>12979.057499999999</v>
      </c>
      <c r="DM109" s="73">
        <f t="shared" si="213"/>
        <v>13154.041485000002</v>
      </c>
      <c r="DN109" s="73">
        <f t="shared" si="213"/>
        <v>13270.545785700002</v>
      </c>
      <c r="DO109" s="73">
        <f t="shared" si="213"/>
        <v>12889.221095970004</v>
      </c>
      <c r="DP109" s="73">
        <f t="shared" si="213"/>
        <v>10916.538887143808</v>
      </c>
      <c r="DQ109" s="73">
        <f t="shared" si="213"/>
        <v>10804.677587065045</v>
      </c>
      <c r="DR109" s="73">
        <f t="shared" si="213"/>
        <v>10749.746666605464</v>
      </c>
      <c r="DS109" s="73">
        <f t="shared" si="213"/>
        <v>10754.65357594072</v>
      </c>
      <c r="DT109" s="73">
        <f t="shared" si="213"/>
        <v>10358.347090932199</v>
      </c>
      <c r="DU109" s="73">
        <f t="shared" si="213"/>
        <v>10353.604285614621</v>
      </c>
      <c r="DV109" s="73">
        <f t="shared" si="213"/>
        <v>10415.785566996938</v>
      </c>
      <c r="DW109" s="73">
        <f t="shared" si="213"/>
        <v>10510.937680456715</v>
      </c>
    </row>
    <row r="110" spans="2:127" x14ac:dyDescent="0.2">
      <c r="B110" s="65" t="s">
        <v>450</v>
      </c>
      <c r="C110" s="151">
        <f>-41+14-21-2</f>
        <v>-50</v>
      </c>
      <c r="D110" s="151">
        <f>-46-25</f>
        <v>-71</v>
      </c>
      <c r="E110" s="151">
        <v>-60</v>
      </c>
      <c r="F110" s="151">
        <v>-39</v>
      </c>
      <c r="G110" s="73">
        <v>-49</v>
      </c>
      <c r="H110" s="73">
        <v>-59</v>
      </c>
      <c r="I110" s="73">
        <v>-46</v>
      </c>
      <c r="J110" s="73">
        <v>-40</v>
      </c>
      <c r="K110" s="73">
        <f>73-92+15</f>
        <v>-4</v>
      </c>
      <c r="L110" s="73">
        <f>67-93+12</f>
        <v>-14</v>
      </c>
      <c r="M110" s="73">
        <f>64-81</f>
        <v>-17</v>
      </c>
      <c r="N110" s="73">
        <v>10</v>
      </c>
      <c r="O110" s="73">
        <f>58-96</f>
        <v>-38</v>
      </c>
      <c r="P110" s="73">
        <f>77-121</f>
        <v>-44</v>
      </c>
      <c r="Q110" s="73">
        <f>75-117</f>
        <v>-42</v>
      </c>
      <c r="R110" s="73">
        <f>52-119-10</f>
        <v>-77</v>
      </c>
      <c r="S110" s="73">
        <f>82-169</f>
        <v>-87</v>
      </c>
      <c r="T110" s="73">
        <f>96-214+15</f>
        <v>-103</v>
      </c>
      <c r="U110" s="73">
        <f>98-218+16</f>
        <v>-104</v>
      </c>
      <c r="V110" s="73">
        <f>37-238+18</f>
        <v>-183</v>
      </c>
      <c r="W110" s="73">
        <f>28-202+115+14</f>
        <v>-45</v>
      </c>
      <c r="X110" s="73">
        <f>18-166+17</f>
        <v>-131</v>
      </c>
      <c r="Y110" s="73">
        <f>19-199+22</f>
        <v>-158</v>
      </c>
      <c r="Z110" s="73">
        <f>5-213+11</f>
        <v>-197</v>
      </c>
      <c r="AA110" s="73">
        <f>17-204+25</f>
        <v>-162</v>
      </c>
      <c r="AB110" s="73">
        <f>19-188+22</f>
        <v>-147</v>
      </c>
      <c r="AC110" s="73">
        <f>-196+16+22</f>
        <v>-158</v>
      </c>
      <c r="AD110" s="73">
        <f>58-240+18</f>
        <v>-164</v>
      </c>
      <c r="AE110" s="73">
        <f>19-193+19</f>
        <v>-155</v>
      </c>
      <c r="AF110" s="73">
        <f>23-211+2</f>
        <v>-186</v>
      </c>
      <c r="AG110" s="73">
        <f>19-190-2</f>
        <v>-173</v>
      </c>
      <c r="AH110" s="73">
        <f>29-203+1-4</f>
        <v>-177</v>
      </c>
      <c r="AI110" s="73">
        <f>66-234+10</f>
        <v>-158</v>
      </c>
      <c r="AR110" s="73">
        <f>18-177+8</f>
        <v>-151</v>
      </c>
      <c r="BN110" s="73">
        <f>-197+4</f>
        <v>-193</v>
      </c>
      <c r="BO110" s="73">
        <f>-187+9</f>
        <v>-178</v>
      </c>
      <c r="BP110" s="73">
        <f>1-229+19</f>
        <v>-209</v>
      </c>
      <c r="BQ110" s="73">
        <f>-197+11</f>
        <v>-186</v>
      </c>
      <c r="BR110" s="73">
        <f>-233-6</f>
        <v>-239</v>
      </c>
      <c r="BS110" s="73">
        <f>-190+16</f>
        <v>-174</v>
      </c>
      <c r="BT110" s="73">
        <f>-185+16</f>
        <v>-169</v>
      </c>
      <c r="BU110" s="73">
        <f>7-200+3</f>
        <v>-190</v>
      </c>
      <c r="BV110" s="73">
        <f>-186-2</f>
        <v>-188</v>
      </c>
      <c r="BW110" s="73">
        <v>-203</v>
      </c>
      <c r="BX110" s="73">
        <f>-181-2</f>
        <v>-183</v>
      </c>
      <c r="BY110" s="73">
        <f>-177-1</f>
        <v>-178</v>
      </c>
      <c r="BZ110" s="73">
        <f>-235+2</f>
        <v>-233</v>
      </c>
      <c r="CC110" s="73">
        <f>312-156</f>
        <v>156</v>
      </c>
      <c r="CD110" s="73">
        <f>235-191-1</f>
        <v>43</v>
      </c>
      <c r="CE110" s="73">
        <f>151-533-134-1</f>
        <v>-517</v>
      </c>
      <c r="CF110" s="73">
        <f>144-148-1</f>
        <v>-5</v>
      </c>
      <c r="CQ110" s="73">
        <v>-153</v>
      </c>
      <c r="CR110" s="73">
        <v>-186</v>
      </c>
      <c r="CS110" s="73">
        <v>-194</v>
      </c>
      <c r="CT110" s="73">
        <f>287-352+56</f>
        <v>-9</v>
      </c>
      <c r="CU110" s="73">
        <f>SUM(O110:R110)</f>
        <v>-201</v>
      </c>
      <c r="CV110" s="73">
        <f>SUM(S110:V110)</f>
        <v>-477</v>
      </c>
      <c r="CW110" s="73">
        <f>SUM(W110:Z110)</f>
        <v>-531</v>
      </c>
      <c r="CX110" s="73">
        <f>CW132*$DZ$118</f>
        <v>-85.02</v>
      </c>
      <c r="CY110" s="73">
        <f>CX132*$DZ$118</f>
        <v>-85.52</v>
      </c>
      <c r="CZ110" s="73"/>
      <c r="DA110" s="73"/>
      <c r="DB110" s="73"/>
      <c r="DC110" s="73"/>
      <c r="DD110" s="73"/>
      <c r="DE110" s="73"/>
      <c r="DF110" s="73"/>
      <c r="DG110" s="73"/>
      <c r="DH110" s="146">
        <f>SUM(BO110:BR110)</f>
        <v>-812</v>
      </c>
      <c r="DI110" s="146">
        <f>SUM(BS110:BV110)</f>
        <v>-721</v>
      </c>
      <c r="DJ110" s="146">
        <f t="shared" si="197"/>
        <v>-797</v>
      </c>
      <c r="DK110" s="73">
        <f>+DJ132*$DZ$118</f>
        <v>0</v>
      </c>
      <c r="DL110" s="73">
        <f t="shared" ref="DL110:DW110" si="214">+DK132*$DZ$118</f>
        <v>98.074124999999981</v>
      </c>
      <c r="DM110" s="73">
        <f t="shared" si="214"/>
        <v>196.15261218749998</v>
      </c>
      <c r="DN110" s="73">
        <f t="shared" si="214"/>
        <v>296.27906791640623</v>
      </c>
      <c r="DO110" s="73">
        <f t="shared" si="214"/>
        <v>398.03025431852933</v>
      </c>
      <c r="DP110" s="73">
        <f t="shared" si="214"/>
        <v>497.68463944569334</v>
      </c>
      <c r="DQ110" s="73">
        <f t="shared" si="214"/>
        <v>583.29131589511462</v>
      </c>
      <c r="DR110" s="73">
        <f t="shared" si="214"/>
        <v>668.70108266731575</v>
      </c>
      <c r="DS110" s="73">
        <f t="shared" si="214"/>
        <v>754.3394407868617</v>
      </c>
      <c r="DT110" s="73">
        <f t="shared" si="214"/>
        <v>840.65688841231849</v>
      </c>
      <c r="DU110" s="73">
        <f t="shared" si="214"/>
        <v>924.64941825740243</v>
      </c>
      <c r="DV110" s="73">
        <f t="shared" si="214"/>
        <v>1009.2363210364425</v>
      </c>
      <c r="DW110" s="73">
        <f t="shared" si="214"/>
        <v>1094.9239851966929</v>
      </c>
    </row>
    <row r="111" spans="2:127" x14ac:dyDescent="0.2">
      <c r="B111" s="65" t="s">
        <v>415</v>
      </c>
      <c r="C111" s="151">
        <f>C109+C110</f>
        <v>2133</v>
      </c>
      <c r="D111" s="151">
        <f>D109+D110</f>
        <v>2212</v>
      </c>
      <c r="E111" s="151">
        <v>1451</v>
      </c>
      <c r="F111" s="151">
        <v>1322</v>
      </c>
      <c r="G111" s="73">
        <v>1711</v>
      </c>
      <c r="H111" s="73">
        <v>1662</v>
      </c>
      <c r="I111" s="73">
        <v>1753</v>
      </c>
      <c r="J111" s="73">
        <v>1606</v>
      </c>
      <c r="K111" s="73">
        <f>K110+K109</f>
        <v>2170</v>
      </c>
      <c r="L111" s="73">
        <f>L110+L109</f>
        <v>1897</v>
      </c>
      <c r="M111" s="73">
        <f>M110+M109</f>
        <v>2022</v>
      </c>
      <c r="N111" s="73">
        <f>N109+N110</f>
        <v>1710</v>
      </c>
      <c r="O111" s="73">
        <f>O109+O110</f>
        <v>2143</v>
      </c>
      <c r="P111" s="73">
        <f>P109+P110</f>
        <v>1896</v>
      </c>
      <c r="Q111" s="73">
        <f>Q110+Q109</f>
        <v>1882</v>
      </c>
      <c r="R111" s="73">
        <f t="shared" ref="R111:AI111" si="215">R109+R110</f>
        <v>1858</v>
      </c>
      <c r="S111" s="73">
        <f t="shared" si="215"/>
        <v>1961</v>
      </c>
      <c r="T111" s="73">
        <f t="shared" si="215"/>
        <v>2023</v>
      </c>
      <c r="U111" s="73">
        <f t="shared" si="215"/>
        <v>1875</v>
      </c>
      <c r="V111" s="73">
        <f t="shared" si="215"/>
        <v>1923</v>
      </c>
      <c r="W111" s="73">
        <f t="shared" si="215"/>
        <v>1931</v>
      </c>
      <c r="X111" s="73">
        <f t="shared" si="215"/>
        <v>2250</v>
      </c>
      <c r="Y111" s="73">
        <f>Y109+Y110</f>
        <v>2065</v>
      </c>
      <c r="Z111" s="73">
        <f t="shared" si="215"/>
        <v>2480</v>
      </c>
      <c r="AA111" s="73">
        <f>AA109+AA110</f>
        <v>2233</v>
      </c>
      <c r="AB111" s="73">
        <f t="shared" si="215"/>
        <v>2064</v>
      </c>
      <c r="AC111" s="73">
        <f t="shared" si="215"/>
        <v>2048</v>
      </c>
      <c r="AD111" s="73">
        <f>AD109+AD110</f>
        <v>1964</v>
      </c>
      <c r="AE111" s="73">
        <f>AE109+AE110</f>
        <v>2015</v>
      </c>
      <c r="AF111" s="73">
        <f t="shared" si="215"/>
        <v>1783</v>
      </c>
      <c r="AG111" s="73">
        <f t="shared" si="215"/>
        <v>2006</v>
      </c>
      <c r="AH111" s="73">
        <f t="shared" si="215"/>
        <v>1902</v>
      </c>
      <c r="AI111" s="73">
        <f t="shared" si="215"/>
        <v>1879</v>
      </c>
      <c r="AR111" s="73">
        <f>+AR110+AR109</f>
        <v>986</v>
      </c>
      <c r="BN111" s="73">
        <f>+BN109+BN110</f>
        <v>1659</v>
      </c>
      <c r="BO111" s="73">
        <f>+BO109+BO110</f>
        <v>-392</v>
      </c>
      <c r="BP111" s="73">
        <f>+BP109+BP110</f>
        <v>-1440</v>
      </c>
      <c r="BQ111" s="73">
        <f>+BQ109+BQ110</f>
        <v>-19</v>
      </c>
      <c r="BR111" s="73">
        <f t="shared" ref="BR111:BX111" si="216">BR109+BR110</f>
        <v>-844</v>
      </c>
      <c r="BS111" s="73">
        <f t="shared" si="216"/>
        <v>-625</v>
      </c>
      <c r="BT111" s="73">
        <f t="shared" si="216"/>
        <v>1431</v>
      </c>
      <c r="BU111" s="73">
        <f t="shared" si="216"/>
        <v>172</v>
      </c>
      <c r="BV111" s="73">
        <f t="shared" si="216"/>
        <v>-795</v>
      </c>
      <c r="BW111" s="73">
        <f t="shared" si="216"/>
        <v>1441</v>
      </c>
      <c r="BX111" s="73">
        <f t="shared" si="216"/>
        <v>1825</v>
      </c>
      <c r="BY111" s="73">
        <f t="shared" ref="BY111:CD111" si="217">BY109+BY110</f>
        <v>2418</v>
      </c>
      <c r="BZ111" s="73">
        <f t="shared" si="217"/>
        <v>1361</v>
      </c>
      <c r="CA111" s="73">
        <f t="shared" si="217"/>
        <v>1173.0399999999995</v>
      </c>
      <c r="CB111" s="73">
        <f t="shared" si="217"/>
        <v>2455.3699999999994</v>
      </c>
      <c r="CC111" s="73">
        <f t="shared" si="217"/>
        <v>2615</v>
      </c>
      <c r="CD111" s="73">
        <f t="shared" si="217"/>
        <v>1563</v>
      </c>
      <c r="CE111" s="73">
        <f>+CE109+CE110</f>
        <v>1775</v>
      </c>
      <c r="CF111" s="73">
        <f>+CF109+CF110</f>
        <v>2364</v>
      </c>
      <c r="CQ111" s="73">
        <v>6349</v>
      </c>
      <c r="CR111" s="73">
        <v>5779</v>
      </c>
      <c r="CS111" s="73">
        <v>6732</v>
      </c>
      <c r="CT111" s="73">
        <f>CT109+CT110</f>
        <v>7799</v>
      </c>
      <c r="CU111" s="73">
        <f>CU109+CU110</f>
        <v>7779</v>
      </c>
      <c r="CV111" s="73">
        <f>CV109+CV110</f>
        <v>7782</v>
      </c>
      <c r="CW111" s="73">
        <f>CW109+CW110</f>
        <v>8981</v>
      </c>
      <c r="CX111" s="73">
        <f t="shared" ref="CX111:DC111" si="218">CX109+CX110</f>
        <v>8561.68</v>
      </c>
      <c r="CY111" s="73">
        <f>CY109+CY110</f>
        <v>7800.8957727884554</v>
      </c>
      <c r="CZ111" s="73">
        <f t="shared" si="218"/>
        <v>7922.5059965560886</v>
      </c>
      <c r="DA111" s="73">
        <f t="shared" si="218"/>
        <v>10775.45003156918</v>
      </c>
      <c r="DB111" s="73">
        <f t="shared" si="218"/>
        <v>10580.68201776221</v>
      </c>
      <c r="DC111" s="73">
        <f t="shared" si="218"/>
        <v>10169.196611780648</v>
      </c>
      <c r="DD111" s="73">
        <f>DD109+DD110</f>
        <v>10011.07210006634</v>
      </c>
      <c r="DE111" s="73">
        <f>DE109+DE110</f>
        <v>-7220.0512322052236</v>
      </c>
      <c r="DF111" s="73">
        <f t="shared" ref="DF111:DG111" si="219">DF109+DF110</f>
        <v>-7220.0512322052236</v>
      </c>
      <c r="DG111" s="73">
        <f t="shared" si="219"/>
        <v>0</v>
      </c>
      <c r="DH111" s="73">
        <f>DH109+DH110</f>
        <v>-2695</v>
      </c>
      <c r="DI111" s="73">
        <f>DI109+DI110</f>
        <v>183</v>
      </c>
      <c r="DJ111" s="73">
        <f>DJ109+DJ110</f>
        <v>7045</v>
      </c>
      <c r="DK111" s="73">
        <f t="shared" ref="DK111:DW111" si="220">DK109+DK110</f>
        <v>13076.55</v>
      </c>
      <c r="DL111" s="73">
        <f t="shared" si="220"/>
        <v>13077.131624999998</v>
      </c>
      <c r="DM111" s="73">
        <f t="shared" si="220"/>
        <v>13350.194097187501</v>
      </c>
      <c r="DN111" s="73">
        <f t="shared" si="220"/>
        <v>13566.824853616408</v>
      </c>
      <c r="DO111" s="73">
        <f t="shared" si="220"/>
        <v>13287.251350288534</v>
      </c>
      <c r="DP111" s="73">
        <f t="shared" si="220"/>
        <v>11414.223526589501</v>
      </c>
      <c r="DQ111" s="73">
        <f t="shared" si="220"/>
        <v>11387.96890296016</v>
      </c>
      <c r="DR111" s="73">
        <f t="shared" si="220"/>
        <v>11418.44774927278</v>
      </c>
      <c r="DS111" s="73">
        <f t="shared" si="220"/>
        <v>11508.993016727582</v>
      </c>
      <c r="DT111" s="73">
        <f t="shared" si="220"/>
        <v>11199.003979344518</v>
      </c>
      <c r="DU111" s="73">
        <f t="shared" si="220"/>
        <v>11278.253703872024</v>
      </c>
      <c r="DV111" s="73">
        <f t="shared" si="220"/>
        <v>11425.02188803338</v>
      </c>
      <c r="DW111" s="73">
        <f t="shared" si="220"/>
        <v>11605.861665653407</v>
      </c>
    </row>
    <row r="112" spans="2:127" x14ac:dyDescent="0.2">
      <c r="B112" s="112" t="s">
        <v>1398</v>
      </c>
      <c r="C112" s="151">
        <v>406</v>
      </c>
      <c r="D112" s="151">
        <v>426</v>
      </c>
      <c r="E112" s="151">
        <v>-404</v>
      </c>
      <c r="F112" s="151">
        <v>-521</v>
      </c>
      <c r="G112" s="73">
        <v>-488</v>
      </c>
      <c r="H112" s="73">
        <v>-473</v>
      </c>
      <c r="I112" s="73">
        <v>-500</v>
      </c>
      <c r="J112" s="73">
        <v>-455</v>
      </c>
      <c r="K112" s="73">
        <f>640+28</f>
        <v>668</v>
      </c>
      <c r="L112" s="73">
        <f>560+22</f>
        <v>582</v>
      </c>
      <c r="M112" s="73">
        <v>596</v>
      </c>
      <c r="N112" s="73">
        <v>505</v>
      </c>
      <c r="O112" s="73">
        <f>610+19</f>
        <v>629</v>
      </c>
      <c r="P112" s="73">
        <f>541+22</f>
        <v>563</v>
      </c>
      <c r="Q112" s="73">
        <f>536+36</f>
        <v>572</v>
      </c>
      <c r="R112" s="73">
        <v>532</v>
      </c>
      <c r="S112" s="73">
        <f>563+25</f>
        <v>588</v>
      </c>
      <c r="T112" s="73">
        <f>577+21</f>
        <v>598</v>
      </c>
      <c r="U112" s="73">
        <f>559+29</f>
        <v>588</v>
      </c>
      <c r="V112" s="73">
        <f>532+35</f>
        <v>567</v>
      </c>
      <c r="W112" s="73">
        <f>560+38</f>
        <v>598</v>
      </c>
      <c r="X112" s="73">
        <f>652+26</f>
        <v>678</v>
      </c>
      <c r="Y112" s="73">
        <f>585+36</f>
        <v>621</v>
      </c>
      <c r="Z112" s="73">
        <f>646+38</f>
        <v>684</v>
      </c>
      <c r="AA112" s="73">
        <f>618+55</f>
        <v>673</v>
      </c>
      <c r="AB112" s="73">
        <f>312+52</f>
        <v>364</v>
      </c>
      <c r="AC112" s="73">
        <f>480+55</f>
        <v>535</v>
      </c>
      <c r="AD112" s="73">
        <v>450</v>
      </c>
      <c r="AE112" s="73">
        <v>901</v>
      </c>
      <c r="AF112" s="73">
        <f>475+41</f>
        <v>516</v>
      </c>
      <c r="AG112" s="73">
        <f>515+65</f>
        <v>580</v>
      </c>
      <c r="AH112" s="73">
        <f>463+32</f>
        <v>495</v>
      </c>
      <c r="AI112" s="73">
        <f>489+65</f>
        <v>554</v>
      </c>
      <c r="AR112" s="73">
        <v>284</v>
      </c>
      <c r="BN112" s="73">
        <f>207+225</f>
        <v>432</v>
      </c>
      <c r="BO112" s="73">
        <f>342+282</f>
        <v>624</v>
      </c>
      <c r="BP112" s="73">
        <f>201+177</f>
        <v>378</v>
      </c>
      <c r="BQ112" s="73">
        <f>417+287</f>
        <v>704</v>
      </c>
      <c r="BR112" s="73">
        <f>220+195</f>
        <v>415</v>
      </c>
      <c r="BS112" s="73">
        <f>318+246</f>
        <v>564</v>
      </c>
      <c r="BT112" s="73">
        <f>244+99</f>
        <v>343</v>
      </c>
      <c r="BU112" s="73">
        <f>554+296</f>
        <v>850</v>
      </c>
      <c r="BV112" s="73">
        <f>177+248</f>
        <v>425</v>
      </c>
      <c r="BW112" s="73">
        <f>431+333</f>
        <v>764</v>
      </c>
      <c r="BX112" s="73">
        <f>277+150</f>
        <v>427</v>
      </c>
      <c r="BY112" s="73">
        <v>402</v>
      </c>
      <c r="BZ112" s="73">
        <f>172+149</f>
        <v>321</v>
      </c>
      <c r="CA112" s="73">
        <f t="shared" ref="CA112:CD112" si="221">+CA111*0.25</f>
        <v>293.25999999999988</v>
      </c>
      <c r="CB112" s="73">
        <f t="shared" si="221"/>
        <v>613.84249999999986</v>
      </c>
      <c r="CC112" s="162">
        <f>404+169</f>
        <v>573</v>
      </c>
      <c r="CD112" s="73">
        <f>235+152</f>
        <v>387</v>
      </c>
      <c r="CE112" s="73">
        <f>404+154</f>
        <v>558</v>
      </c>
      <c r="CF112" s="73">
        <v>423</v>
      </c>
      <c r="CQ112" s="73">
        <v>-1760</v>
      </c>
      <c r="CR112" s="73">
        <v>-1757</v>
      </c>
      <c r="CS112" s="73">
        <v>-1916</v>
      </c>
      <c r="CT112" s="73">
        <f>2301+109</f>
        <v>2410</v>
      </c>
      <c r="CU112" s="73">
        <f>SUM(O112:R112)</f>
        <v>2296</v>
      </c>
      <c r="CV112" s="73">
        <f>SUM(S112:V112)</f>
        <v>2341</v>
      </c>
      <c r="CW112" s="73">
        <f>SUM(W112:Z112)</f>
        <v>2581</v>
      </c>
      <c r="CX112" s="73">
        <f t="shared" ref="CX112:DC112" si="222">CX111*0.25</f>
        <v>2140.42</v>
      </c>
      <c r="CY112" s="73">
        <f>CY111*0.25</f>
        <v>1950.2239431971138</v>
      </c>
      <c r="CZ112" s="73">
        <f t="shared" si="222"/>
        <v>1980.6264991390221</v>
      </c>
      <c r="DA112" s="73">
        <f t="shared" si="222"/>
        <v>2693.8625078922951</v>
      </c>
      <c r="DB112" s="73">
        <f t="shared" si="222"/>
        <v>2645.1705044405526</v>
      </c>
      <c r="DC112" s="73">
        <f t="shared" si="222"/>
        <v>2542.2991529451619</v>
      </c>
      <c r="DD112" s="73">
        <f>DD111*0.25</f>
        <v>2502.7680250165849</v>
      </c>
      <c r="DE112" s="73">
        <f>DE111*0.25</f>
        <v>-1805.0128080513059</v>
      </c>
      <c r="DF112" s="73">
        <f t="shared" ref="DF112:DG112" si="223">DF111*0.25</f>
        <v>-1805.0128080513059</v>
      </c>
      <c r="DG112" s="73">
        <f t="shared" si="223"/>
        <v>0</v>
      </c>
      <c r="DH112" s="146">
        <f>SUM(BO112:BR112)</f>
        <v>2121</v>
      </c>
      <c r="DI112" s="146">
        <f>SUM(BS112:BV112)</f>
        <v>2182</v>
      </c>
      <c r="DJ112" s="146">
        <f t="shared" si="197"/>
        <v>1914</v>
      </c>
      <c r="DK112" s="73">
        <f t="shared" ref="DK112:DW112" si="224">DK111*0.25</f>
        <v>3269.1374999999998</v>
      </c>
      <c r="DL112" s="73">
        <f t="shared" si="224"/>
        <v>3269.2829062499995</v>
      </c>
      <c r="DM112" s="73">
        <f t="shared" si="224"/>
        <v>3337.5485242968753</v>
      </c>
      <c r="DN112" s="73">
        <f t="shared" si="224"/>
        <v>3391.7062134041021</v>
      </c>
      <c r="DO112" s="73">
        <f t="shared" si="224"/>
        <v>3321.8128375721335</v>
      </c>
      <c r="DP112" s="73">
        <f t="shared" si="224"/>
        <v>2853.5558816473754</v>
      </c>
      <c r="DQ112" s="73">
        <f t="shared" si="224"/>
        <v>2846.9922257400399</v>
      </c>
      <c r="DR112" s="73">
        <f t="shared" si="224"/>
        <v>2854.611937318195</v>
      </c>
      <c r="DS112" s="73">
        <f t="shared" si="224"/>
        <v>2877.2482541818954</v>
      </c>
      <c r="DT112" s="73">
        <f t="shared" si="224"/>
        <v>2799.7509948361294</v>
      </c>
      <c r="DU112" s="73">
        <f t="shared" si="224"/>
        <v>2819.563425968006</v>
      </c>
      <c r="DV112" s="73">
        <f t="shared" si="224"/>
        <v>2856.2554720083449</v>
      </c>
      <c r="DW112" s="73">
        <f t="shared" si="224"/>
        <v>2901.4654164133517</v>
      </c>
    </row>
    <row r="113" spans="2:197" x14ac:dyDescent="0.2">
      <c r="B113" s="65" t="s">
        <v>417</v>
      </c>
      <c r="C113" s="151">
        <f>C111-C112</f>
        <v>1727</v>
      </c>
      <c r="D113" s="151">
        <f>D111-D112</f>
        <v>1786</v>
      </c>
      <c r="E113" s="151">
        <v>1047</v>
      </c>
      <c r="F113" s="151">
        <v>801</v>
      </c>
      <c r="G113" s="73">
        <v>1223</v>
      </c>
      <c r="H113" s="73">
        <v>1189</v>
      </c>
      <c r="I113" s="73">
        <v>1253</v>
      </c>
      <c r="J113" s="73">
        <v>1151</v>
      </c>
      <c r="K113" s="73">
        <f>K111-K112</f>
        <v>1502</v>
      </c>
      <c r="L113" s="73">
        <f>L111-L112</f>
        <v>1315</v>
      </c>
      <c r="M113" s="73">
        <f>M111-M112</f>
        <v>1426</v>
      </c>
      <c r="N113" s="73">
        <f t="shared" ref="N113:AH113" si="225">N111-N112</f>
        <v>1205</v>
      </c>
      <c r="O113" s="73">
        <f>O111-O112-19</f>
        <v>1495</v>
      </c>
      <c r="P113" s="73">
        <f>P111-P112-22</f>
        <v>1311</v>
      </c>
      <c r="Q113" s="73">
        <f t="shared" si="225"/>
        <v>1310</v>
      </c>
      <c r="R113" s="73">
        <f t="shared" si="225"/>
        <v>1326</v>
      </c>
      <c r="S113" s="73">
        <f>S111-S112-25</f>
        <v>1348</v>
      </c>
      <c r="T113" s="73">
        <f>T111-T112-21</f>
        <v>1404</v>
      </c>
      <c r="U113" s="73">
        <f>U111-U112</f>
        <v>1287</v>
      </c>
      <c r="V113" s="73">
        <f t="shared" si="225"/>
        <v>1356</v>
      </c>
      <c r="W113" s="73">
        <f t="shared" si="225"/>
        <v>1333</v>
      </c>
      <c r="X113" s="73">
        <f>X111-X112</f>
        <v>1572</v>
      </c>
      <c r="Y113" s="73">
        <f>Y111-Y112</f>
        <v>1444</v>
      </c>
      <c r="Z113" s="73">
        <f t="shared" si="225"/>
        <v>1796</v>
      </c>
      <c r="AA113" s="73">
        <f>AA111-AA112</f>
        <v>1560</v>
      </c>
      <c r="AB113" s="73">
        <f t="shared" si="225"/>
        <v>1700</v>
      </c>
      <c r="AC113" s="73">
        <f t="shared" si="225"/>
        <v>1513</v>
      </c>
      <c r="AD113" s="73">
        <f>AD111-AD112</f>
        <v>1514</v>
      </c>
      <c r="AE113" s="73">
        <f>AE111-AE112</f>
        <v>1114</v>
      </c>
      <c r="AF113" s="73">
        <f t="shared" si="225"/>
        <v>1267</v>
      </c>
      <c r="AG113" s="73">
        <f t="shared" si="225"/>
        <v>1426</v>
      </c>
      <c r="AH113" s="73">
        <f t="shared" si="225"/>
        <v>1407</v>
      </c>
      <c r="AI113" s="73">
        <f t="shared" ref="AI113" si="226">AI111-AI112</f>
        <v>1325</v>
      </c>
      <c r="AR113" s="73">
        <f>+AR111-AR112</f>
        <v>702</v>
      </c>
      <c r="BN113" s="73">
        <f>+BN111-BN112</f>
        <v>1227</v>
      </c>
      <c r="BO113" s="73">
        <f>+BO111-BO112</f>
        <v>-1016</v>
      </c>
      <c r="BP113" s="73">
        <f>+BP111-BP112</f>
        <v>-1818</v>
      </c>
      <c r="BQ113" s="73">
        <f>+BQ111-BQ112</f>
        <v>-723</v>
      </c>
      <c r="BR113" s="73">
        <f t="shared" ref="BR113:BX113" si="227">BR111-BR112</f>
        <v>-1259</v>
      </c>
      <c r="BS113" s="73">
        <f t="shared" si="227"/>
        <v>-1189</v>
      </c>
      <c r="BT113" s="73">
        <f t="shared" si="227"/>
        <v>1088</v>
      </c>
      <c r="BU113" s="73">
        <f t="shared" si="227"/>
        <v>-678</v>
      </c>
      <c r="BV113" s="73">
        <f t="shared" si="227"/>
        <v>-1220</v>
      </c>
      <c r="BW113" s="73">
        <f t="shared" si="227"/>
        <v>677</v>
      </c>
      <c r="BX113" s="73">
        <f t="shared" si="227"/>
        <v>1398</v>
      </c>
      <c r="BY113" s="73">
        <f t="shared" ref="BY113:CD113" si="228">BY111-BY112</f>
        <v>2016</v>
      </c>
      <c r="BZ113" s="73">
        <f t="shared" si="228"/>
        <v>1040</v>
      </c>
      <c r="CA113" s="73">
        <f t="shared" si="228"/>
        <v>879.77999999999963</v>
      </c>
      <c r="CB113" s="73">
        <f t="shared" si="228"/>
        <v>1841.5274999999997</v>
      </c>
      <c r="CC113" s="73">
        <f t="shared" si="228"/>
        <v>2042</v>
      </c>
      <c r="CD113" s="73">
        <f t="shared" si="228"/>
        <v>1176</v>
      </c>
      <c r="CE113" s="73">
        <f>+CE111-CE112</f>
        <v>1217</v>
      </c>
      <c r="CF113" s="73">
        <f>+CF111-CF112</f>
        <v>1941</v>
      </c>
      <c r="CQ113" s="73">
        <v>4589</v>
      </c>
      <c r="CR113" s="73">
        <v>4022</v>
      </c>
      <c r="CS113" s="73">
        <v>4816</v>
      </c>
      <c r="CT113" s="73">
        <f t="shared" ref="CT113:CY113" si="229">CT111-CT112</f>
        <v>5389</v>
      </c>
      <c r="CU113" s="73">
        <f t="shared" si="229"/>
        <v>5483</v>
      </c>
      <c r="CV113" s="73">
        <f t="shared" si="229"/>
        <v>5441</v>
      </c>
      <c r="CW113" s="73">
        <f>CW111-CW112</f>
        <v>6400</v>
      </c>
      <c r="CX113" s="73">
        <f t="shared" si="229"/>
        <v>6421.26</v>
      </c>
      <c r="CY113" s="73">
        <f t="shared" si="229"/>
        <v>5850.6718295913415</v>
      </c>
      <c r="CZ113" s="73">
        <f t="shared" ref="CZ113:DG113" si="230">CZ111-CZ112</f>
        <v>5941.8794974170669</v>
      </c>
      <c r="DA113" s="73">
        <f t="shared" si="230"/>
        <v>8081.5875236768852</v>
      </c>
      <c r="DB113" s="73">
        <f t="shared" si="230"/>
        <v>7935.5115133216577</v>
      </c>
      <c r="DC113" s="73">
        <f t="shared" si="230"/>
        <v>7626.8974588354858</v>
      </c>
      <c r="DD113" s="73">
        <f t="shared" si="230"/>
        <v>7508.3040750497548</v>
      </c>
      <c r="DE113" s="73">
        <f t="shared" si="230"/>
        <v>-5415.0384241539177</v>
      </c>
      <c r="DF113" s="73">
        <f t="shared" si="230"/>
        <v>-5415.0384241539177</v>
      </c>
      <c r="DG113" s="73">
        <f t="shared" si="230"/>
        <v>0</v>
      </c>
      <c r="DH113" s="73">
        <f>DH111-DH112</f>
        <v>-4816</v>
      </c>
      <c r="DI113" s="73">
        <f>DI111-DI112</f>
        <v>-1999</v>
      </c>
      <c r="DJ113" s="73">
        <f>DJ111-DJ112</f>
        <v>5131</v>
      </c>
      <c r="DK113" s="73">
        <f t="shared" ref="DK113" si="231">DK111-DK112</f>
        <v>9807.4124999999985</v>
      </c>
      <c r="DL113" s="73">
        <f t="shared" ref="DL113" si="232">DL111-DL112</f>
        <v>9807.8487187499995</v>
      </c>
      <c r="DM113" s="73">
        <f t="shared" ref="DM113:DW113" si="233">DM111-DM112</f>
        <v>10012.645572890626</v>
      </c>
      <c r="DN113" s="73">
        <f t="shared" si="233"/>
        <v>10175.118640212306</v>
      </c>
      <c r="DO113" s="73">
        <f t="shared" si="233"/>
        <v>9965.4385127164005</v>
      </c>
      <c r="DP113" s="73">
        <f t="shared" si="233"/>
        <v>8560.6676449421266</v>
      </c>
      <c r="DQ113" s="73">
        <f t="shared" si="233"/>
        <v>8540.9766772201201</v>
      </c>
      <c r="DR113" s="73">
        <f t="shared" si="233"/>
        <v>8563.8358119545846</v>
      </c>
      <c r="DS113" s="73">
        <f t="shared" si="233"/>
        <v>8631.7447625456862</v>
      </c>
      <c r="DT113" s="73">
        <f t="shared" si="233"/>
        <v>8399.2529845083882</v>
      </c>
      <c r="DU113" s="73">
        <f t="shared" si="233"/>
        <v>8458.6902779040174</v>
      </c>
      <c r="DV113" s="73">
        <f t="shared" si="233"/>
        <v>8568.7664160250351</v>
      </c>
      <c r="DW113" s="73">
        <f t="shared" si="233"/>
        <v>8704.3962492400551</v>
      </c>
      <c r="DX113" s="155">
        <f>DW113*(1+$DZ$120)</f>
        <v>8617.3522867476549</v>
      </c>
      <c r="DY113" s="155">
        <f t="shared" ref="DY113:GJ113" si="234">DX113*(1+$DZ$120)</f>
        <v>8531.1787638801779</v>
      </c>
      <c r="DZ113" s="155">
        <f t="shared" si="234"/>
        <v>8445.8669762413756</v>
      </c>
      <c r="EA113" s="155">
        <f t="shared" si="234"/>
        <v>8361.4083064789611</v>
      </c>
      <c r="EB113" s="155">
        <f t="shared" si="234"/>
        <v>8277.7942234141719</v>
      </c>
      <c r="EC113" s="155">
        <f t="shared" si="234"/>
        <v>8195.016281180031</v>
      </c>
      <c r="ED113" s="155">
        <f t="shared" si="234"/>
        <v>8113.0661183682305</v>
      </c>
      <c r="EE113" s="155">
        <f t="shared" si="234"/>
        <v>8031.9354571845479</v>
      </c>
      <c r="EF113" s="155">
        <f t="shared" si="234"/>
        <v>7951.616102612702</v>
      </c>
      <c r="EG113" s="155">
        <f t="shared" si="234"/>
        <v>7872.0999415865745</v>
      </c>
      <c r="EH113" s="155">
        <f t="shared" si="234"/>
        <v>7793.3789421707088</v>
      </c>
      <c r="EI113" s="155">
        <f t="shared" si="234"/>
        <v>7715.4451527490019</v>
      </c>
      <c r="EJ113" s="155">
        <f t="shared" si="234"/>
        <v>7638.2907012215119</v>
      </c>
      <c r="EK113" s="155">
        <f t="shared" si="234"/>
        <v>7561.9077942092963</v>
      </c>
      <c r="EL113" s="155">
        <f t="shared" si="234"/>
        <v>7486.2887162672032</v>
      </c>
      <c r="EM113" s="155">
        <f t="shared" si="234"/>
        <v>7411.4258291045307</v>
      </c>
      <c r="EN113" s="155">
        <f t="shared" si="234"/>
        <v>7337.3115708134856</v>
      </c>
      <c r="EO113" s="155">
        <f t="shared" si="234"/>
        <v>7263.9384551053508</v>
      </c>
      <c r="EP113" s="155">
        <f t="shared" si="234"/>
        <v>7191.299070554297</v>
      </c>
      <c r="EQ113" s="155">
        <f t="shared" si="234"/>
        <v>7119.386079848754</v>
      </c>
      <c r="ER113" s="155">
        <f t="shared" si="234"/>
        <v>7048.1922190502664</v>
      </c>
      <c r="ES113" s="155">
        <f t="shared" si="234"/>
        <v>6977.7102968597637</v>
      </c>
      <c r="ET113" s="155">
        <f t="shared" si="234"/>
        <v>6907.9331938911664</v>
      </c>
      <c r="EU113" s="155">
        <f t="shared" si="234"/>
        <v>6838.8538619522551</v>
      </c>
      <c r="EV113" s="155">
        <f t="shared" si="234"/>
        <v>6770.4653233327326</v>
      </c>
      <c r="EW113" s="155">
        <f t="shared" si="234"/>
        <v>6702.7606700994056</v>
      </c>
      <c r="EX113" s="155">
        <f t="shared" si="234"/>
        <v>6635.7330633984111</v>
      </c>
      <c r="EY113" s="155">
        <f t="shared" si="234"/>
        <v>6569.3757327644271</v>
      </c>
      <c r="EZ113" s="155">
        <f t="shared" si="234"/>
        <v>6503.6819754367825</v>
      </c>
      <c r="FA113" s="155">
        <f t="shared" si="234"/>
        <v>6438.645155682415</v>
      </c>
      <c r="FB113" s="155">
        <f t="shared" si="234"/>
        <v>6374.2587041255911</v>
      </c>
      <c r="FC113" s="155">
        <f t="shared" si="234"/>
        <v>6310.5161170843348</v>
      </c>
      <c r="FD113" s="155">
        <f t="shared" si="234"/>
        <v>6247.4109559134913</v>
      </c>
      <c r="FE113" s="155">
        <f t="shared" si="234"/>
        <v>6184.936846354356</v>
      </c>
      <c r="FF113" s="155">
        <f t="shared" si="234"/>
        <v>6123.0874778908128</v>
      </c>
      <c r="FG113" s="155">
        <f t="shared" si="234"/>
        <v>6061.8566031119044</v>
      </c>
      <c r="FH113" s="155">
        <f t="shared" si="234"/>
        <v>6001.238037080785</v>
      </c>
      <c r="FI113" s="155">
        <f t="shared" si="234"/>
        <v>5941.2256567099776</v>
      </c>
      <c r="FJ113" s="155">
        <f t="shared" si="234"/>
        <v>5881.813400142878</v>
      </c>
      <c r="FK113" s="155">
        <f t="shared" si="234"/>
        <v>5822.9952661414491</v>
      </c>
      <c r="FL113" s="155">
        <f t="shared" si="234"/>
        <v>5764.7653134800348</v>
      </c>
      <c r="FM113" s="155">
        <f t="shared" si="234"/>
        <v>5707.1176603452341</v>
      </c>
      <c r="FN113" s="155">
        <f t="shared" si="234"/>
        <v>5650.0464837417812</v>
      </c>
      <c r="FO113" s="155">
        <f t="shared" si="234"/>
        <v>5593.5460189043633</v>
      </c>
      <c r="FP113" s="155">
        <f t="shared" si="234"/>
        <v>5537.6105587153197</v>
      </c>
      <c r="FQ113" s="155">
        <f t="shared" si="234"/>
        <v>5482.234453128166</v>
      </c>
      <c r="FR113" s="155">
        <f t="shared" si="234"/>
        <v>5427.4121085968845</v>
      </c>
      <c r="FS113" s="155">
        <f t="shared" si="234"/>
        <v>5373.137987510916</v>
      </c>
      <c r="FT113" s="155">
        <f t="shared" si="234"/>
        <v>5319.4066076358067</v>
      </c>
      <c r="FU113" s="155">
        <f t="shared" si="234"/>
        <v>5266.2125415594483</v>
      </c>
      <c r="FV113" s="155">
        <f t="shared" si="234"/>
        <v>5213.5504161438539</v>
      </c>
      <c r="FW113" s="155">
        <f t="shared" si="234"/>
        <v>5161.4149119824151</v>
      </c>
      <c r="FX113" s="155">
        <f t="shared" si="234"/>
        <v>5109.800762862591</v>
      </c>
      <c r="FY113" s="155">
        <f t="shared" si="234"/>
        <v>5058.702755233965</v>
      </c>
      <c r="FZ113" s="155">
        <f t="shared" si="234"/>
        <v>5008.1157276816257</v>
      </c>
      <c r="GA113" s="155">
        <f t="shared" si="234"/>
        <v>4958.0345704048095</v>
      </c>
      <c r="GB113" s="155">
        <f t="shared" si="234"/>
        <v>4908.4542247007612</v>
      </c>
      <c r="GC113" s="155">
        <f t="shared" si="234"/>
        <v>4859.3696824537537</v>
      </c>
      <c r="GD113" s="155">
        <f t="shared" si="234"/>
        <v>4810.7759856292159</v>
      </c>
      <c r="GE113" s="155">
        <f t="shared" si="234"/>
        <v>4762.6682257729235</v>
      </c>
      <c r="GF113" s="155">
        <f t="shared" si="234"/>
        <v>4715.0415435151945</v>
      </c>
      <c r="GG113" s="155">
        <f t="shared" si="234"/>
        <v>4667.8911280800421</v>
      </c>
      <c r="GH113" s="155">
        <f t="shared" si="234"/>
        <v>4621.212216799242</v>
      </c>
      <c r="GI113" s="155">
        <f t="shared" si="234"/>
        <v>4575.0000946312493</v>
      </c>
      <c r="GJ113" s="155">
        <f t="shared" si="234"/>
        <v>4529.2500936849365</v>
      </c>
      <c r="GK113" s="155">
        <f t="shared" ref="GK113:GO113" si="235">GJ113*(1+$DZ$120)</f>
        <v>4483.9575927480873</v>
      </c>
      <c r="GL113" s="155">
        <f t="shared" si="235"/>
        <v>4439.1180168206065</v>
      </c>
      <c r="GM113" s="155">
        <f t="shared" si="235"/>
        <v>4394.7268366524004</v>
      </c>
      <c r="GN113" s="155">
        <f t="shared" si="235"/>
        <v>4350.7795682858759</v>
      </c>
      <c r="GO113" s="155">
        <f t="shared" si="235"/>
        <v>4307.2717726030169</v>
      </c>
    </row>
    <row r="114" spans="2:197" x14ac:dyDescent="0.2">
      <c r="B114" s="65" t="s">
        <v>316</v>
      </c>
      <c r="C114" s="151">
        <v>5777</v>
      </c>
      <c r="D114" s="151">
        <v>5769</v>
      </c>
      <c r="E114" s="151">
        <v>5724</v>
      </c>
      <c r="F114" s="151">
        <v>5707</v>
      </c>
      <c r="G114" s="73">
        <v>5692</v>
      </c>
      <c r="H114" s="73">
        <v>5680</v>
      </c>
      <c r="I114" s="73">
        <v>5668</v>
      </c>
      <c r="J114" s="73">
        <v>5657</v>
      </c>
      <c r="K114" s="73">
        <v>5719</v>
      </c>
      <c r="L114" s="73">
        <v>5729</v>
      </c>
      <c r="M114" s="73">
        <v>5711</v>
      </c>
      <c r="N114" s="73">
        <v>5560</v>
      </c>
      <c r="O114" s="73">
        <v>5662</v>
      </c>
      <c r="P114" s="73">
        <v>5625</v>
      </c>
      <c r="Q114" s="73">
        <v>5571</v>
      </c>
      <c r="R114" s="73">
        <v>5443</v>
      </c>
      <c r="S114" s="73">
        <v>5394</v>
      </c>
      <c r="T114" s="73">
        <v>5272</v>
      </c>
      <c r="U114" s="73">
        <v>5089</v>
      </c>
      <c r="V114" s="73">
        <v>5058</v>
      </c>
      <c r="W114" s="73">
        <v>5064</v>
      </c>
      <c r="X114" s="73">
        <v>5107</v>
      </c>
      <c r="Y114" s="73">
        <v>5108</v>
      </c>
      <c r="Z114" s="73">
        <v>5116</v>
      </c>
      <c r="AA114" s="73">
        <v>5124</v>
      </c>
      <c r="AB114" s="73">
        <f>AA114</f>
        <v>5124</v>
      </c>
      <c r="AC114" s="73">
        <v>5126</v>
      </c>
      <c r="AD114" s="73">
        <v>5132</v>
      </c>
      <c r="AE114" s="73">
        <f>+AD114</f>
        <v>5132</v>
      </c>
      <c r="AR114" s="73">
        <v>4812</v>
      </c>
      <c r="BN114" s="73">
        <v>4953</v>
      </c>
      <c r="BO114" s="73">
        <v>4965</v>
      </c>
      <c r="BP114" s="73">
        <v>5023</v>
      </c>
      <c r="BQ114" s="73">
        <v>4980</v>
      </c>
      <c r="BR114" s="73">
        <v>4981</v>
      </c>
      <c r="BS114" s="73">
        <v>4993</v>
      </c>
      <c r="BT114" s="73">
        <v>4003</v>
      </c>
      <c r="BU114" s="73">
        <v>5007</v>
      </c>
      <c r="BV114" s="73">
        <v>5008</v>
      </c>
      <c r="BW114" s="73">
        <v>5020</v>
      </c>
      <c r="BX114" s="73">
        <v>4025</v>
      </c>
      <c r="BY114" s="73">
        <v>4030</v>
      </c>
      <c r="BZ114" s="73">
        <v>4034</v>
      </c>
      <c r="CA114" s="73">
        <f t="shared" ref="CA114:CD114" si="236">+BZ114</f>
        <v>4034</v>
      </c>
      <c r="CB114" s="73">
        <f t="shared" si="236"/>
        <v>4034</v>
      </c>
      <c r="CC114" s="73">
        <v>4055</v>
      </c>
      <c r="CD114" s="73">
        <v>4056</v>
      </c>
      <c r="CE114" s="73">
        <v>4069</v>
      </c>
      <c r="CF114" s="73">
        <v>4079</v>
      </c>
      <c r="CQ114" s="73">
        <v>5806</v>
      </c>
      <c r="CR114" s="168">
        <v>5736</v>
      </c>
      <c r="CS114" s="73">
        <v>5720</v>
      </c>
      <c r="CT114" s="73">
        <v>5700</v>
      </c>
      <c r="CU114" s="73">
        <f>AVERAGE(O114:R114)</f>
        <v>5575.25</v>
      </c>
      <c r="CV114" s="73">
        <f>AVERAGE(S114:V114)</f>
        <v>5203.25</v>
      </c>
      <c r="CW114" s="73">
        <f>AVERAGE(W114:Z114)</f>
        <v>5098.75</v>
      </c>
      <c r="CX114" s="73">
        <f>AB114</f>
        <v>5124</v>
      </c>
      <c r="CY114" s="73"/>
      <c r="CZ114" s="73"/>
      <c r="DA114" s="73"/>
      <c r="DB114" s="73"/>
      <c r="DC114" s="73"/>
      <c r="DD114" s="73"/>
      <c r="DE114" s="73"/>
      <c r="DF114" s="73"/>
      <c r="DG114" s="73"/>
      <c r="DH114" s="73">
        <f>AVERAGE(BO114:BR114)</f>
        <v>4987.25</v>
      </c>
      <c r="DI114" s="73">
        <f>AVERAGE(BS114:BV114)</f>
        <v>4752.75</v>
      </c>
      <c r="DJ114" s="73">
        <f>AVERAGE(BW114:BZ114)</f>
        <v>4277.25</v>
      </c>
      <c r="DK114" s="73">
        <f>+DJ114</f>
        <v>4277.25</v>
      </c>
      <c r="DL114" s="73">
        <f t="shared" ref="DL114:DW114" si="237">+DK114</f>
        <v>4277.25</v>
      </c>
      <c r="DM114" s="73">
        <f t="shared" si="237"/>
        <v>4277.25</v>
      </c>
      <c r="DN114" s="73">
        <f t="shared" si="237"/>
        <v>4277.25</v>
      </c>
      <c r="DO114" s="73">
        <f t="shared" si="237"/>
        <v>4277.25</v>
      </c>
      <c r="DP114" s="73">
        <f t="shared" si="237"/>
        <v>4277.25</v>
      </c>
      <c r="DQ114" s="73">
        <f t="shared" si="237"/>
        <v>4277.25</v>
      </c>
      <c r="DR114" s="73">
        <f t="shared" si="237"/>
        <v>4277.25</v>
      </c>
      <c r="DS114" s="73">
        <f t="shared" si="237"/>
        <v>4277.25</v>
      </c>
      <c r="DT114" s="73">
        <f t="shared" si="237"/>
        <v>4277.25</v>
      </c>
      <c r="DU114" s="73">
        <f t="shared" si="237"/>
        <v>4277.25</v>
      </c>
      <c r="DV114" s="73">
        <f t="shared" si="237"/>
        <v>4277.25</v>
      </c>
      <c r="DW114" s="73">
        <f t="shared" si="237"/>
        <v>4277.25</v>
      </c>
    </row>
    <row r="115" spans="2:197" s="69" customFormat="1" x14ac:dyDescent="0.2">
      <c r="B115" s="69" t="s">
        <v>423</v>
      </c>
      <c r="C115" s="173">
        <f>C113/C114</f>
        <v>0.2989440886273152</v>
      </c>
      <c r="D115" s="173">
        <f>D113/D114</f>
        <v>0.3095857167620038</v>
      </c>
      <c r="E115" s="159">
        <v>17.7</v>
      </c>
      <c r="F115" s="163">
        <f t="shared" ref="F115:K115" si="238">F113/F114</f>
        <v>0.14035395128789208</v>
      </c>
      <c r="G115" s="163">
        <f t="shared" si="238"/>
        <v>0.21486296556570625</v>
      </c>
      <c r="H115" s="163">
        <f t="shared" si="238"/>
        <v>0.20933098591549296</v>
      </c>
      <c r="I115" s="163">
        <f t="shared" si="238"/>
        <v>0.22106563161609033</v>
      </c>
      <c r="J115" s="163">
        <f t="shared" si="238"/>
        <v>0.20346473395792822</v>
      </c>
      <c r="K115" s="163">
        <f t="shared" si="238"/>
        <v>0.26263332750480856</v>
      </c>
      <c r="L115" s="163">
        <f>L113/L114</f>
        <v>0.22953395007854774</v>
      </c>
      <c r="M115" s="163">
        <f>M113/M114</f>
        <v>0.24969357380493784</v>
      </c>
      <c r="N115" s="163">
        <f t="shared" ref="N115:S115" si="239">N113/N114</f>
        <v>0.21672661870503598</v>
      </c>
      <c r="O115" s="163">
        <f t="shared" si="239"/>
        <v>0.26404097492052281</v>
      </c>
      <c r="P115" s="163">
        <f t="shared" si="239"/>
        <v>0.23306666666666667</v>
      </c>
      <c r="Q115" s="163">
        <f t="shared" si="239"/>
        <v>0.23514629330461317</v>
      </c>
      <c r="R115" s="163">
        <f t="shared" si="239"/>
        <v>0.24361565313246372</v>
      </c>
      <c r="S115" s="163">
        <f t="shared" si="239"/>
        <v>0.24990730441230996</v>
      </c>
      <c r="T115" s="163">
        <f t="shared" ref="T115:Z115" si="240">T113/T114</f>
        <v>0.26631259484066766</v>
      </c>
      <c r="U115" s="163">
        <f t="shared" si="240"/>
        <v>0.2528984083316958</v>
      </c>
      <c r="V115" s="163">
        <f t="shared" si="240"/>
        <v>0.26809015421115068</v>
      </c>
      <c r="W115" s="163">
        <f t="shared" si="240"/>
        <v>0.2632306477093207</v>
      </c>
      <c r="X115" s="163">
        <f t="shared" si="240"/>
        <v>0.30781280595261407</v>
      </c>
      <c r="Y115" s="163">
        <f>Y113/Y114</f>
        <v>0.28269381362568519</v>
      </c>
      <c r="Z115" s="163">
        <f t="shared" si="240"/>
        <v>0.35105551211884284</v>
      </c>
      <c r="AA115" s="163">
        <f>AA113/AA114</f>
        <v>0.3044496487119438</v>
      </c>
      <c r="AB115" s="163">
        <f>AB113/AB114</f>
        <v>0.33177205308352847</v>
      </c>
      <c r="AC115" s="163">
        <f>AC113/AC114</f>
        <v>0.29516191962543892</v>
      </c>
      <c r="AD115" s="163">
        <f>AD113/AD114</f>
        <v>0.29501169134840216</v>
      </c>
      <c r="AE115" s="163">
        <f t="shared" ref="AE115" si="241">AE113/AE114</f>
        <v>0.21706936866718629</v>
      </c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>
        <f>+AR113/AR114</f>
        <v>0.14588528678304238</v>
      </c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>
        <f t="shared" ref="BN115:BQ115" si="242">BN113/BN114</f>
        <v>0.24772864930345245</v>
      </c>
      <c r="BO115" s="163">
        <f t="shared" si="242"/>
        <v>-0.20463242698892245</v>
      </c>
      <c r="BP115" s="163">
        <f t="shared" si="242"/>
        <v>-0.36193509854668526</v>
      </c>
      <c r="BQ115" s="163">
        <f t="shared" si="242"/>
        <v>-0.14518072289156628</v>
      </c>
      <c r="BR115" s="163">
        <f t="shared" ref="BR115:BU115" si="243">BR113/BR114</f>
        <v>-0.25276048986147359</v>
      </c>
      <c r="BS115" s="163">
        <f t="shared" si="243"/>
        <v>-0.23813338674143802</v>
      </c>
      <c r="BT115" s="163">
        <f t="shared" si="243"/>
        <v>0.27179615288533598</v>
      </c>
      <c r="BU115" s="163">
        <f t="shared" si="243"/>
        <v>-0.13541042540443379</v>
      </c>
      <c r="BV115" s="163">
        <f t="shared" ref="BV115:CF115" si="244">BV113/BV114</f>
        <v>-0.24361022364217252</v>
      </c>
      <c r="BW115" s="163">
        <f t="shared" si="244"/>
        <v>0.13486055776892431</v>
      </c>
      <c r="BX115" s="163">
        <f t="shared" si="244"/>
        <v>0.34732919254658384</v>
      </c>
      <c r="BY115" s="163">
        <f t="shared" si="244"/>
        <v>0.50024813895781639</v>
      </c>
      <c r="BZ115" s="163">
        <f t="shared" si="244"/>
        <v>0.25780862667327714</v>
      </c>
      <c r="CA115" s="163">
        <f t="shared" si="244"/>
        <v>0.2180912245909766</v>
      </c>
      <c r="CB115" s="163">
        <f t="shared" si="244"/>
        <v>0.45650161130391664</v>
      </c>
      <c r="CC115" s="163">
        <f t="shared" si="244"/>
        <v>0.50357583230579528</v>
      </c>
      <c r="CD115" s="163">
        <f t="shared" si="244"/>
        <v>0.28994082840236685</v>
      </c>
      <c r="CE115" s="163">
        <f t="shared" si="244"/>
        <v>0.2990906856721553</v>
      </c>
      <c r="CF115" s="163">
        <f t="shared" si="244"/>
        <v>0.47585192449129687</v>
      </c>
      <c r="CG115" s="163"/>
      <c r="CH115" s="163"/>
      <c r="CI115" s="163"/>
      <c r="CJ115" s="163"/>
      <c r="CK115" s="163"/>
      <c r="CL115" s="163"/>
      <c r="CM115" s="163"/>
      <c r="CN115" s="13"/>
      <c r="CO115" s="13"/>
      <c r="CP115" s="72"/>
      <c r="CQ115" s="72">
        <v>77.196004133654839</v>
      </c>
      <c r="CR115" s="169">
        <v>68.131101813110178</v>
      </c>
      <c r="CS115" s="169">
        <v>82.640112795206193</v>
      </c>
      <c r="CT115" s="72">
        <v>95.424389412423935</v>
      </c>
      <c r="CU115" s="72">
        <f>CU113/CU114*100</f>
        <v>98.345365678669111</v>
      </c>
      <c r="CV115" s="72">
        <f>CV113/CV114*100</f>
        <v>104.56925959736702</v>
      </c>
      <c r="CW115" s="72">
        <f>CW113/CW114*100</f>
        <v>125.52096101985781</v>
      </c>
      <c r="CX115" s="72">
        <f t="shared" ref="CX115:DC115" si="245">CX113/CX114*100</f>
        <v>125.31733021077285</v>
      </c>
      <c r="CY115" s="72" t="e">
        <f>CY113/CY114*100</f>
        <v>#DIV/0!</v>
      </c>
      <c r="CZ115" s="72" t="e">
        <f t="shared" si="245"/>
        <v>#DIV/0!</v>
      </c>
      <c r="DA115" s="72" t="e">
        <f t="shared" si="245"/>
        <v>#DIV/0!</v>
      </c>
      <c r="DB115" s="72" t="e">
        <f t="shared" si="245"/>
        <v>#DIV/0!</v>
      </c>
      <c r="DC115" s="72" t="e">
        <f t="shared" si="245"/>
        <v>#DIV/0!</v>
      </c>
      <c r="DD115" s="72" t="e">
        <f>DD113/DD114*100</f>
        <v>#DIV/0!</v>
      </c>
      <c r="DE115" s="72" t="e">
        <f>DE113/DE114*100</f>
        <v>#DIV/0!</v>
      </c>
      <c r="DF115" s="72" t="e">
        <f t="shared" ref="DF115:DK115" si="246">DF113/DF114*100</f>
        <v>#DIV/0!</v>
      </c>
      <c r="DG115" s="72" t="e">
        <f t="shared" si="246"/>
        <v>#DIV/0!</v>
      </c>
      <c r="DH115" s="166">
        <f t="shared" si="246"/>
        <v>-96.566243922001107</v>
      </c>
      <c r="DI115" s="166">
        <f t="shared" si="246"/>
        <v>-42.059860081005738</v>
      </c>
      <c r="DJ115" s="166">
        <f t="shared" si="246"/>
        <v>119.96025483663568</v>
      </c>
      <c r="DK115" s="166">
        <f t="shared" si="246"/>
        <v>229.29247764334559</v>
      </c>
      <c r="DL115" s="166">
        <f t="shared" ref="DL115:DW115" si="247">DL113/DL114*100</f>
        <v>229.30267622304049</v>
      </c>
      <c r="DM115" s="166">
        <f t="shared" si="247"/>
        <v>234.09072588440299</v>
      </c>
      <c r="DN115" s="166">
        <f t="shared" si="247"/>
        <v>237.88926623910936</v>
      </c>
      <c r="DO115" s="166">
        <f t="shared" si="247"/>
        <v>232.98704804994799</v>
      </c>
      <c r="DP115" s="166">
        <f t="shared" si="247"/>
        <v>200.14419650341054</v>
      </c>
      <c r="DQ115" s="166">
        <f t="shared" si="247"/>
        <v>199.6838313687561</v>
      </c>
      <c r="DR115" s="166">
        <f t="shared" si="247"/>
        <v>200.21826668898436</v>
      </c>
      <c r="DS115" s="166">
        <f t="shared" si="247"/>
        <v>201.80594453318571</v>
      </c>
      <c r="DT115" s="166">
        <f t="shared" si="247"/>
        <v>196.37040118086128</v>
      </c>
      <c r="DU115" s="166">
        <f t="shared" si="247"/>
        <v>197.76001584906231</v>
      </c>
      <c r="DV115" s="166">
        <f t="shared" si="247"/>
        <v>200.33354178561075</v>
      </c>
      <c r="DW115" s="166">
        <f t="shared" si="247"/>
        <v>203.50450053749617</v>
      </c>
    </row>
    <row r="116" spans="2:197" x14ac:dyDescent="0.2">
      <c r="CR116" s="168"/>
      <c r="CS116" s="170"/>
      <c r="CT116" s="168"/>
      <c r="CU116" s="168"/>
      <c r="CV116" s="168"/>
      <c r="CW116" s="168"/>
      <c r="CX116" s="168"/>
      <c r="CY116" s="168"/>
    </row>
    <row r="117" spans="2:197" s="69" customFormat="1" x14ac:dyDescent="0.2">
      <c r="B117" s="69" t="s">
        <v>371</v>
      </c>
      <c r="C117" s="159"/>
      <c r="D117" s="159"/>
      <c r="E117" s="159"/>
      <c r="F117" s="154"/>
      <c r="G117" s="153">
        <f t="shared" ref="G117:AJ117" si="248">G103/C103-1</f>
        <v>-0.10315599639314699</v>
      </c>
      <c r="H117" s="153">
        <f t="shared" si="248"/>
        <v>-8.8744967617713999E-2</v>
      </c>
      <c r="I117" s="153">
        <f t="shared" si="248"/>
        <v>0.10276198212835097</v>
      </c>
      <c r="J117" s="153">
        <f t="shared" si="248"/>
        <v>0.11783804430863265</v>
      </c>
      <c r="K117" s="153">
        <f t="shared" si="248"/>
        <v>0.16891212547757894</v>
      </c>
      <c r="L117" s="153">
        <f t="shared" si="248"/>
        <v>0.11621206300422582</v>
      </c>
      <c r="M117" s="153">
        <f t="shared" si="248"/>
        <v>3.9042357274401418E-2</v>
      </c>
      <c r="N117" s="153">
        <f t="shared" si="248"/>
        <v>1.8110370750042737E-2</v>
      </c>
      <c r="O117" s="153">
        <f t="shared" si="248"/>
        <v>-3.8018234990538469E-2</v>
      </c>
      <c r="P117" s="153">
        <f t="shared" si="248"/>
        <v>-2.357597659611077E-2</v>
      </c>
      <c r="Q117" s="153">
        <f t="shared" si="248"/>
        <v>-2.9422190712513285E-2</v>
      </c>
      <c r="R117" s="153">
        <f t="shared" si="248"/>
        <v>4.0275213962073231E-3</v>
      </c>
      <c r="S117" s="153">
        <f t="shared" si="248"/>
        <v>1.6809728183118766E-2</v>
      </c>
      <c r="T117" s="153">
        <f t="shared" si="248"/>
        <v>3.5248501938667687E-2</v>
      </c>
      <c r="U117" s="153">
        <f t="shared" si="248"/>
        <v>7.4141709276844381E-2</v>
      </c>
      <c r="V117" s="153">
        <f t="shared" si="248"/>
        <v>0.15493899381581144</v>
      </c>
      <c r="W117" s="153">
        <f t="shared" si="248"/>
        <v>0.19046781568765381</v>
      </c>
      <c r="X117" s="153">
        <f t="shared" si="248"/>
        <v>0.1486210418794689</v>
      </c>
      <c r="Y117" s="153">
        <f t="shared" si="248"/>
        <v>0.14892893573614407</v>
      </c>
      <c r="Z117" s="153">
        <f t="shared" si="248"/>
        <v>0.17134587554269176</v>
      </c>
      <c r="AA117" s="153">
        <f t="shared" si="248"/>
        <v>8.6866597724922334E-2</v>
      </c>
      <c r="AB117" s="153">
        <f t="shared" si="248"/>
        <v>4.1203497850896609E-2</v>
      </c>
      <c r="AC117" s="153">
        <f t="shared" si="248"/>
        <v>8.1385025155371604E-3</v>
      </c>
      <c r="AD117" s="153">
        <f t="shared" si="248"/>
        <v>-0.11082283172720531</v>
      </c>
      <c r="AE117" s="153">
        <f t="shared" si="248"/>
        <v>-0.10493407638983276</v>
      </c>
      <c r="AF117" s="153">
        <f t="shared" si="248"/>
        <v>-4.3416370106761581E-2</v>
      </c>
      <c r="AG117" s="153">
        <f t="shared" si="248"/>
        <v>4.2712461470717722E-2</v>
      </c>
      <c r="AH117" s="153">
        <f t="shared" si="248"/>
        <v>-3.0429345560650245E-2</v>
      </c>
      <c r="AI117" s="153">
        <f t="shared" si="248"/>
        <v>8.3523158694001065E-3</v>
      </c>
      <c r="AJ117" s="153">
        <f t="shared" si="248"/>
        <v>-3.8392857142857117E-2</v>
      </c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>
        <f t="shared" ref="BR117:BX117" si="249">+BR103/BN103-1</f>
        <v>-0.29014496010787727</v>
      </c>
      <c r="BS117" s="153">
        <f t="shared" si="249"/>
        <v>-0.17980970811159491</v>
      </c>
      <c r="BT117" s="153">
        <f t="shared" si="249"/>
        <v>0.12497574228604691</v>
      </c>
      <c r="BU117" s="153">
        <f t="shared" si="249"/>
        <v>6.7826935588809478E-2</v>
      </c>
      <c r="BV117" s="153">
        <f t="shared" si="249"/>
        <v>0.1123951242678487</v>
      </c>
      <c r="BW117" s="153">
        <f t="shared" si="249"/>
        <v>0.40326386158080996</v>
      </c>
      <c r="BX117" s="153">
        <f t="shared" si="249"/>
        <v>0.19527341728480252</v>
      </c>
      <c r="BY117" s="153">
        <f t="shared" ref="BY117:CF117" si="250">+BY103/BU103-1</f>
        <v>0.1911652703731912</v>
      </c>
      <c r="BZ117" s="153">
        <f t="shared" si="250"/>
        <v>4.952326739718238E-2</v>
      </c>
      <c r="CA117" s="153">
        <f t="shared" si="250"/>
        <v>-2.60613703236654E-2</v>
      </c>
      <c r="CB117" s="153">
        <f t="shared" si="250"/>
        <v>3.5935921489392397E-2</v>
      </c>
      <c r="CC117" s="153">
        <f t="shared" si="250"/>
        <v>4.1687979539641873E-2</v>
      </c>
      <c r="CD117" s="153">
        <f t="shared" si="250"/>
        <v>9.2203389830508575E-2</v>
      </c>
      <c r="CE117" s="153">
        <f t="shared" si="250"/>
        <v>5.9272047187455046E-2</v>
      </c>
      <c r="CF117" s="153">
        <f t="shared" si="250"/>
        <v>9.8356088046809731E-2</v>
      </c>
      <c r="CG117" s="153"/>
      <c r="CH117" s="153"/>
      <c r="CI117" s="153"/>
      <c r="CJ117" s="153"/>
      <c r="CK117" s="153"/>
      <c r="CL117" s="153"/>
      <c r="CM117" s="153"/>
      <c r="CN117" s="13"/>
      <c r="CO117" s="13"/>
      <c r="CP117" s="72"/>
      <c r="CQ117" s="72"/>
      <c r="CR117" s="153">
        <f t="shared" ref="CR117:DW117" si="251">CR103/CQ103-1</f>
        <v>2.8419397750634845E-2</v>
      </c>
      <c r="CS117" s="153">
        <f t="shared" si="251"/>
        <v>0.26305268109125124</v>
      </c>
      <c r="CT117" s="153">
        <f t="shared" si="251"/>
        <v>8.1137696676287119E-2</v>
      </c>
      <c r="CU117" s="153">
        <f t="shared" si="251"/>
        <v>-2.1528525296017231E-2</v>
      </c>
      <c r="CV117" s="153">
        <f t="shared" si="251"/>
        <v>7.6479647964796449E-2</v>
      </c>
      <c r="CW117" s="153">
        <f t="shared" si="251"/>
        <v>0.17005273269836074</v>
      </c>
      <c r="CX117" s="153">
        <f t="shared" si="251"/>
        <v>-1.093526185235616E-3</v>
      </c>
      <c r="CY117" s="153">
        <f t="shared" si="251"/>
        <v>-7.9429170003882055E-2</v>
      </c>
      <c r="CZ117" s="153">
        <f t="shared" si="251"/>
        <v>-2.1899430049028279E-2</v>
      </c>
      <c r="DA117" s="153">
        <f t="shared" si="251"/>
        <v>-2.8229187937575562E-2</v>
      </c>
      <c r="DB117" s="153">
        <f t="shared" si="251"/>
        <v>-2.0100049344620285E-2</v>
      </c>
      <c r="DC117" s="153">
        <f t="shared" si="251"/>
        <v>-3.5000440119469012E-2</v>
      </c>
      <c r="DD117" s="153">
        <f t="shared" si="251"/>
        <v>-1.2631379316492053E-2</v>
      </c>
      <c r="DE117" s="153">
        <f t="shared" si="251"/>
        <v>-1.8927308397899467E-2</v>
      </c>
      <c r="DF117" s="153">
        <f t="shared" si="251"/>
        <v>-0.66056834899978223</v>
      </c>
      <c r="DG117" s="153">
        <f t="shared" si="251"/>
        <v>-0.82932496396295441</v>
      </c>
      <c r="DH117" s="153">
        <f t="shared" si="251"/>
        <v>16.941852223067446</v>
      </c>
      <c r="DI117" s="153">
        <f t="shared" si="251"/>
        <v>2.7541038666610618E-2</v>
      </c>
      <c r="DJ117" s="153">
        <f t="shared" si="251"/>
        <v>0.19554647599591424</v>
      </c>
      <c r="DK117" s="153">
        <f t="shared" si="251"/>
        <v>-6.9033867605344801E-3</v>
      </c>
      <c r="DL117" s="153">
        <f t="shared" si="251"/>
        <v>-7.4555215251728146E-3</v>
      </c>
      <c r="DM117" s="153">
        <f t="shared" si="251"/>
        <v>1.3482025563104294E-2</v>
      </c>
      <c r="DN117" s="153">
        <f t="shared" si="251"/>
        <v>8.8569205770603343E-3</v>
      </c>
      <c r="DO117" s="153">
        <f t="shared" si="251"/>
        <v>-2.8734665166590512E-2</v>
      </c>
      <c r="DP117" s="153">
        <f t="shared" si="251"/>
        <v>-0.15304898520539656</v>
      </c>
      <c r="DQ117" s="153">
        <f t="shared" si="251"/>
        <v>-1.0246956589006206E-2</v>
      </c>
      <c r="DR117" s="153">
        <f t="shared" si="251"/>
        <v>-5.0839944104710266E-3</v>
      </c>
      <c r="DS117" s="153">
        <f t="shared" si="251"/>
        <v>4.5646743941407664E-4</v>
      </c>
      <c r="DT117" s="153">
        <f t="shared" si="251"/>
        <v>-3.6849767610841355E-2</v>
      </c>
      <c r="DU117" s="153">
        <f t="shared" si="251"/>
        <v>-4.5787279340436804E-4</v>
      </c>
      <c r="DV117" s="153">
        <f t="shared" si="251"/>
        <v>6.0057618262185919E-3</v>
      </c>
      <c r="DW117" s="153">
        <f t="shared" si="251"/>
        <v>9.1353756130763131E-3</v>
      </c>
    </row>
    <row r="118" spans="2:197" s="69" customFormat="1" x14ac:dyDescent="0.2">
      <c r="B118" s="69" t="s">
        <v>583</v>
      </c>
      <c r="C118" s="159"/>
      <c r="D118" s="159"/>
      <c r="E118" s="159"/>
      <c r="F118" s="154"/>
      <c r="G118" s="153"/>
      <c r="H118" s="153"/>
      <c r="I118" s="153"/>
      <c r="J118" s="153"/>
      <c r="K118" s="153"/>
      <c r="L118" s="153"/>
      <c r="M118" s="153"/>
      <c r="N118" s="153">
        <v>0.09</v>
      </c>
      <c r="O118" s="153">
        <v>0.04</v>
      </c>
      <c r="P118" s="153">
        <v>0.03</v>
      </c>
      <c r="Q118" s="153">
        <v>0.01</v>
      </c>
      <c r="R118" s="153">
        <v>0</v>
      </c>
      <c r="S118" s="153">
        <v>-0.03</v>
      </c>
      <c r="T118" s="153">
        <v>-0.02</v>
      </c>
      <c r="U118" s="153">
        <v>-0.03</v>
      </c>
      <c r="V118" s="153">
        <v>-0.03</v>
      </c>
      <c r="W118" s="153">
        <v>-0.05</v>
      </c>
      <c r="X118" s="153">
        <v>-0.02</v>
      </c>
      <c r="Y118" s="153">
        <v>0.03</v>
      </c>
      <c r="Z118" s="153">
        <v>0.13</v>
      </c>
      <c r="AA118" s="153">
        <v>0.13</v>
      </c>
      <c r="AB118" s="153">
        <v>0</v>
      </c>
      <c r="AC118" s="153">
        <v>-0.02</v>
      </c>
      <c r="AD118" s="153">
        <v>-0.13</v>
      </c>
      <c r="AE118" s="153">
        <v>-0.1</v>
      </c>
      <c r="AF118" s="153">
        <v>-0.02</v>
      </c>
      <c r="AG118" s="153">
        <v>0.03</v>
      </c>
      <c r="AH118" s="153">
        <v>-0.02</v>
      </c>
      <c r="AI118" s="153">
        <v>0.02</v>
      </c>
      <c r="AJ118" s="153">
        <v>-0.02</v>
      </c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>
        <v>0.13</v>
      </c>
      <c r="BX118" s="153">
        <v>0.13</v>
      </c>
      <c r="BY118" s="153">
        <v>0.09</v>
      </c>
      <c r="BZ118" s="153">
        <v>-0.03</v>
      </c>
      <c r="CA118" s="153"/>
      <c r="CB118" s="153"/>
      <c r="CC118" s="153">
        <v>0.1</v>
      </c>
      <c r="CD118" s="153">
        <v>0.15</v>
      </c>
      <c r="CE118" s="153">
        <v>0.1</v>
      </c>
      <c r="CF118" s="153">
        <v>0.13</v>
      </c>
      <c r="CG118" s="153"/>
      <c r="CH118" s="153"/>
      <c r="CI118" s="153"/>
      <c r="CJ118" s="153"/>
      <c r="CK118" s="153"/>
      <c r="CL118" s="153"/>
      <c r="CM118" s="153"/>
      <c r="CN118" s="13"/>
      <c r="CO118" s="13"/>
      <c r="CP118" s="72"/>
      <c r="CQ118" s="72"/>
      <c r="CR118" s="170"/>
      <c r="CS118" s="170"/>
      <c r="CT118" s="153">
        <v>0.09</v>
      </c>
      <c r="CU118" s="153">
        <v>0.02</v>
      </c>
      <c r="CV118" s="153">
        <v>-0.03</v>
      </c>
      <c r="CW118" s="153">
        <v>0.03</v>
      </c>
      <c r="CX118" s="153">
        <v>-0.01</v>
      </c>
      <c r="CY118" s="153"/>
      <c r="CZ118" s="153"/>
      <c r="DA118" s="153"/>
      <c r="DB118" s="153"/>
      <c r="DC118" s="153"/>
      <c r="DD118" s="153"/>
      <c r="DE118" s="70"/>
      <c r="DY118" s="148" t="s">
        <v>792</v>
      </c>
      <c r="DZ118" s="148">
        <v>0.01</v>
      </c>
    </row>
    <row r="119" spans="2:197" x14ac:dyDescent="0.2">
      <c r="B119" s="65" t="s">
        <v>451</v>
      </c>
      <c r="F119" s="158"/>
      <c r="G119" s="157">
        <f>G3/C3-1</f>
        <v>0.19410745233968796</v>
      </c>
      <c r="H119" s="157">
        <f>H3/D3-1</f>
        <v>0.2123745819397993</v>
      </c>
      <c r="I119" s="157">
        <f>I3/E3-1</f>
        <v>0.2201986754966887</v>
      </c>
      <c r="J119" s="157">
        <f>J3/F3-1</f>
        <v>0.28549848942598177</v>
      </c>
      <c r="K119" s="157">
        <f>K3/G3-1</f>
        <v>0.1843251088534108</v>
      </c>
      <c r="L119" s="157">
        <f>L3/H3-1</f>
        <v>0.13379310344827577</v>
      </c>
      <c r="M119" s="157">
        <f>M3/I3-1</f>
        <v>0.10312075983717772</v>
      </c>
      <c r="N119" s="157">
        <f>N3/J3-1</f>
        <v>1.292596944770863E-2</v>
      </c>
      <c r="O119" s="157">
        <f>O3/K3-1</f>
        <v>2.3284313725490113E-2</v>
      </c>
      <c r="P119" s="157">
        <f>P3/L3-1</f>
        <v>5.9610705596107039E-2</v>
      </c>
      <c r="Q119" s="157">
        <f>Q3/M3-1</f>
        <v>2.7060270602706105E-2</v>
      </c>
      <c r="R119" s="157">
        <f>R3/N3-1</f>
        <v>0.11136890951276102</v>
      </c>
      <c r="S119" s="157">
        <f>S3/O3-1</f>
        <v>0.14251497005988023</v>
      </c>
      <c r="T119" s="157">
        <f>T3/P3-1</f>
        <v>0.10677382319173367</v>
      </c>
      <c r="U119" s="157">
        <f>U3/Q3-1</f>
        <v>0.17604790419161676</v>
      </c>
      <c r="V119" s="157">
        <f>V3/R3-1</f>
        <v>0.29123173277661785</v>
      </c>
      <c r="W119" s="157">
        <f>W3/S3-1</f>
        <v>0.27253668763102734</v>
      </c>
      <c r="X119" s="157">
        <f>X3/T3-1</f>
        <v>0.29149377593361003</v>
      </c>
      <c r="Y119" s="157">
        <f>Y3/U3-1</f>
        <v>0.1731160896130346</v>
      </c>
      <c r="Z119" s="157">
        <f>Z3/V3-1</f>
        <v>0.10428455941794668</v>
      </c>
      <c r="AA119" s="157">
        <f>AA3/W3-1</f>
        <v>4.1186161449752845E-2</v>
      </c>
      <c r="AB119" s="157">
        <f>AB3/X3-1</f>
        <v>3.2931726907630576E-2</v>
      </c>
      <c r="AC119" s="157">
        <f>AC3/Y3-1</f>
        <v>7.899305555555558E-2</v>
      </c>
      <c r="AD119" s="157">
        <f>AD3/Z3-1</f>
        <v>-1.4641288433382083E-2</v>
      </c>
      <c r="AE119" s="157">
        <f>AE3/AA3-1</f>
        <v>-3.2436708860759444E-2</v>
      </c>
      <c r="AF119" s="157">
        <f>AF3/AB3-1</f>
        <v>-1.244167962674958E-2</v>
      </c>
      <c r="AG119" s="157">
        <f>AG3/AC3-1</f>
        <v>-2.0917135961383782E-2</v>
      </c>
      <c r="AH119" s="157">
        <f>AH3/AD3-1</f>
        <v>3.714710252600284E-3</v>
      </c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Q119" s="157">
        <f>CQ3/CP3-1</f>
        <v>0.34396076026977318</v>
      </c>
      <c r="CR119" s="157">
        <f>CR3/CQ3-1</f>
        <v>0.11359489051094895</v>
      </c>
      <c r="CS119" s="157">
        <f>CS3/CR3-1</f>
        <v>0.22982384268742329</v>
      </c>
      <c r="CT119" s="157">
        <f>CT3/CS3-1</f>
        <v>0.10359760159893394</v>
      </c>
      <c r="CU119" s="157">
        <f>CU3/CT3-1</f>
        <v>5.6142469061273736E-2</v>
      </c>
      <c r="CV119" s="157">
        <f>CV3/CU3-1</f>
        <v>0.18233781080308664</v>
      </c>
      <c r="CW119" s="157">
        <f>CW3/CV3-1</f>
        <v>0.20304568527918776</v>
      </c>
      <c r="CX119" s="157">
        <f>CX3/CW3-1</f>
        <v>3.2549728752260476E-2</v>
      </c>
      <c r="CY119" s="157">
        <f>CY3/CX3-1</f>
        <v>-1.5178050204319948E-2</v>
      </c>
      <c r="CZ119" s="157">
        <f>CZ3/CY3-1</f>
        <v>-2.0000000000000018E-2</v>
      </c>
      <c r="DA119" s="157">
        <f>DA3/CZ3-1</f>
        <v>-2.0000000000000018E-2</v>
      </c>
      <c r="DB119" s="157">
        <f>DB3/DA3-1</f>
        <v>-2.0000000000000018E-2</v>
      </c>
      <c r="DC119" s="157">
        <f>DC3/DB3-1</f>
        <v>-2.0000000000000018E-2</v>
      </c>
      <c r="DD119" s="157">
        <f>DD3/DC3-1</f>
        <v>-4.0000000000000036E-2</v>
      </c>
      <c r="DE119" s="157">
        <f>DE3/DD3-1</f>
        <v>-4.9999999999999933E-2</v>
      </c>
      <c r="DF119" s="157">
        <f>DF3/DE3-1</f>
        <v>-1</v>
      </c>
      <c r="DG119" s="157" t="e">
        <f>DG3/DF3-1</f>
        <v>#DIV/0!</v>
      </c>
      <c r="DH119" s="157" t="e">
        <f>DH3/DG3-1</f>
        <v>#DIV/0!</v>
      </c>
      <c r="DI119" s="157">
        <f>DI3/DH3-1</f>
        <v>-0.11596091205211723</v>
      </c>
      <c r="DJ119" s="157">
        <f>DJ3/DI3-1</f>
        <v>-0.14591009579955783</v>
      </c>
      <c r="DK119" s="157">
        <f>DK3/DJ3-1</f>
        <v>-1.72562553925798E-2</v>
      </c>
      <c r="DL119" s="157">
        <f>DL3/DK3-1</f>
        <v>-5.0000000000000044E-2</v>
      </c>
      <c r="DM119" s="157">
        <f>DM3/DL3-1</f>
        <v>-4.9999999999999933E-2</v>
      </c>
      <c r="DN119" s="157"/>
      <c r="DY119" s="65" t="s">
        <v>499</v>
      </c>
      <c r="DZ119" s="156">
        <v>0.08</v>
      </c>
    </row>
    <row r="120" spans="2:197" x14ac:dyDescent="0.2">
      <c r="B120" s="65" t="s">
        <v>510</v>
      </c>
      <c r="F120" s="158"/>
      <c r="G120" s="157"/>
      <c r="H120" s="157"/>
      <c r="I120" s="157"/>
      <c r="J120" s="157">
        <f>J54/F54-1</f>
        <v>4.9934296977661052E-2</v>
      </c>
      <c r="K120" s="157">
        <f>K54/G54-1</f>
        <v>0.10186513629842175</v>
      </c>
      <c r="L120" s="157">
        <f>L54/H54-1</f>
        <v>6.612685560053988E-2</v>
      </c>
      <c r="M120" s="157">
        <f>M54/I54-1</f>
        <v>5.249343832020914E-3</v>
      </c>
      <c r="N120" s="157">
        <f>N54/J54-1</f>
        <v>3.0037546933667114E-2</v>
      </c>
      <c r="O120" s="157">
        <f>O54/K54-1</f>
        <v>2.34375E-2</v>
      </c>
      <c r="P120" s="157">
        <f>P54/L54-1</f>
        <v>0.13797468354430387</v>
      </c>
      <c r="Q120" s="157">
        <f>Q54/M54-1</f>
        <v>0.13707571801566587</v>
      </c>
      <c r="R120" s="157">
        <f>R54/N54-1</f>
        <v>0.12636695018225996</v>
      </c>
      <c r="S120" s="157">
        <f>S54/O54-1</f>
        <v>0.13613231552162852</v>
      </c>
      <c r="T120" s="157">
        <f>T54/P54-1</f>
        <v>5.784204671857629E-2</v>
      </c>
      <c r="U120" s="157">
        <f>U54/Q54-1</f>
        <v>0.14121699196326065</v>
      </c>
      <c r="V120" s="157">
        <f>V54/R54-1</f>
        <v>0.19417475728155331</v>
      </c>
      <c r="W120" s="157">
        <f>W54/S54-1</f>
        <v>0.28331466965285546</v>
      </c>
      <c r="X120" s="157">
        <f>X54/T54-1</f>
        <v>0.2250262881177707</v>
      </c>
      <c r="Y120" s="157">
        <f>Y54/U54-1</f>
        <v>0.17203219315895368</v>
      </c>
      <c r="Z120" s="157">
        <f>Z54/V54-1</f>
        <v>6.4137308039747154E-2</v>
      </c>
      <c r="AA120" s="157">
        <f>AA54/W54-1</f>
        <v>7.4171029668411936E-2</v>
      </c>
      <c r="AB120" s="157">
        <f>AB54/X54-1</f>
        <v>7.4678111587982876E-2</v>
      </c>
      <c r="AC120" s="157">
        <f>AC54/Y54-1</f>
        <v>8.1545064377682497E-2</v>
      </c>
      <c r="AD120" s="157">
        <f>AD54/Z54-1</f>
        <v>7.5551782682512725E-2</v>
      </c>
      <c r="AE120" s="157">
        <f>AE54/AA54-1</f>
        <v>7.3111291632818931E-2</v>
      </c>
      <c r="AF120" s="157">
        <f>AF54/AB54-1</f>
        <v>1.9968051118210761E-2</v>
      </c>
      <c r="AG120" s="157">
        <f>AG54/AC54-1</f>
        <v>5.4761904761904789E-2</v>
      </c>
      <c r="AH120" s="157">
        <f>AH54/AD54-1</f>
        <v>7.8926598263606706E-4</v>
      </c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Q120" s="157">
        <f>CQ54/CP54-1</f>
        <v>1.3366490519117091E-2</v>
      </c>
      <c r="CR120" s="157">
        <f>CR54/CQ54-1</f>
        <v>-0.1147239263803681</v>
      </c>
      <c r="CS120" s="157">
        <f>CS54/CR54-1</f>
        <v>3.9154539154539147E-2</v>
      </c>
      <c r="CT120" s="157">
        <f>CT54/CS54-1</f>
        <v>4.9349783261086966E-2</v>
      </c>
      <c r="CU120" s="157">
        <f>CU54/CT54-1</f>
        <v>0.10676835081029545</v>
      </c>
      <c r="CV120" s="157">
        <f>CV54/CU54-1</f>
        <v>0.13264427217915586</v>
      </c>
      <c r="CW120" s="157">
        <f>CW54/CV54-1</f>
        <v>0.17972116603295318</v>
      </c>
      <c r="CX120" s="157">
        <f>CX54/CW54-1</f>
        <v>7.6493339063171462E-2</v>
      </c>
      <c r="CY120" s="157">
        <f>CY54/CX54-1</f>
        <v>3.6926147704590795E-2</v>
      </c>
      <c r="CZ120" s="157">
        <f>CZ54/CY54-1</f>
        <v>5.0000000000000044E-2</v>
      </c>
      <c r="DA120" s="157">
        <f>DA54/CZ54-1</f>
        <v>5.0000000000000044E-2</v>
      </c>
      <c r="DB120" s="157">
        <f>DB54/DA54-1</f>
        <v>3.0000000000000027E-2</v>
      </c>
      <c r="DC120" s="157">
        <f>DC54/DB54-1</f>
        <v>3.0000000000000027E-2</v>
      </c>
      <c r="DD120" s="157">
        <f>DD54/DC54-1</f>
        <v>3.0000000000000027E-2</v>
      </c>
      <c r="DE120" s="157">
        <f>DE54/DD54-1</f>
        <v>3.0000000000000027E-2</v>
      </c>
      <c r="DF120" s="157">
        <f>DF54/DE54-1</f>
        <v>-1</v>
      </c>
      <c r="DG120" s="157" t="e">
        <f>DG54/DF54-1</f>
        <v>#DIV/0!</v>
      </c>
      <c r="DH120" s="157" t="e">
        <f>DH54/DG54-1</f>
        <v>#DIV/0!</v>
      </c>
      <c r="DI120" s="157" t="e">
        <f>DI54/DH54-1</f>
        <v>#DIV/0!</v>
      </c>
      <c r="DJ120" s="157" t="e">
        <f>DJ54/DI54-1</f>
        <v>#DIV/0!</v>
      </c>
      <c r="DK120" s="157" t="e">
        <f>DK54/DJ54-1</f>
        <v>#DIV/0!</v>
      </c>
      <c r="DL120" s="157" t="e">
        <f>DL54/DK54-1</f>
        <v>#DIV/0!</v>
      </c>
      <c r="DM120" s="157" t="e">
        <f>DM54/DL54-1</f>
        <v>#DIV/0!</v>
      </c>
      <c r="DY120" s="65" t="s">
        <v>500</v>
      </c>
      <c r="DZ120" s="158">
        <v>-0.01</v>
      </c>
    </row>
    <row r="121" spans="2:197" s="69" customFormat="1" x14ac:dyDescent="0.2">
      <c r="B121" s="69" t="s">
        <v>424</v>
      </c>
      <c r="C121" s="159"/>
      <c r="D121" s="159"/>
      <c r="E121" s="159"/>
      <c r="F121" s="159"/>
      <c r="G121" s="72"/>
      <c r="H121" s="72"/>
      <c r="I121" s="72"/>
      <c r="J121" s="72"/>
      <c r="K121" s="72"/>
      <c r="L121" s="72"/>
      <c r="M121" s="72"/>
      <c r="N121" s="153">
        <f t="shared" ref="N121:AH121" si="252">N113/J113-1</f>
        <v>4.6915725456125212E-2</v>
      </c>
      <c r="O121" s="153">
        <f t="shared" si="252"/>
        <v>-4.6604527296937315E-3</v>
      </c>
      <c r="P121" s="153">
        <f t="shared" si="252"/>
        <v>-3.0418250950570158E-3</v>
      </c>
      <c r="Q121" s="153">
        <f t="shared" si="252"/>
        <v>-8.1346423562412395E-2</v>
      </c>
      <c r="R121" s="153">
        <f t="shared" si="252"/>
        <v>0.10041493775933619</v>
      </c>
      <c r="S121" s="153">
        <f t="shared" si="252"/>
        <v>-9.8327759197324394E-2</v>
      </c>
      <c r="T121" s="153">
        <f t="shared" si="252"/>
        <v>7.0938215102974933E-2</v>
      </c>
      <c r="U121" s="153">
        <f t="shared" si="252"/>
        <v>-1.7557251908396965E-2</v>
      </c>
      <c r="V121" s="153">
        <f t="shared" si="252"/>
        <v>2.2624434389140191E-2</v>
      </c>
      <c r="W121" s="153">
        <f t="shared" si="252"/>
        <v>-1.1127596439169163E-2</v>
      </c>
      <c r="X121" s="153">
        <f t="shared" si="252"/>
        <v>0.11965811965811968</v>
      </c>
      <c r="Y121" s="153">
        <f t="shared" si="252"/>
        <v>0.12198912198912204</v>
      </c>
      <c r="Z121" s="153">
        <f t="shared" si="252"/>
        <v>0.32448377581120935</v>
      </c>
      <c r="AA121" s="153">
        <f t="shared" si="252"/>
        <v>0.17029257314328583</v>
      </c>
      <c r="AB121" s="153">
        <f t="shared" si="252"/>
        <v>8.1424936386768509E-2</v>
      </c>
      <c r="AC121" s="153">
        <f t="shared" si="252"/>
        <v>4.7783933518005473E-2</v>
      </c>
      <c r="AD121" s="153">
        <f t="shared" si="252"/>
        <v>-0.15701559020044542</v>
      </c>
      <c r="AE121" s="153">
        <f t="shared" si="252"/>
        <v>-0.28589743589743588</v>
      </c>
      <c r="AF121" s="153">
        <f t="shared" si="252"/>
        <v>-0.25470588235294123</v>
      </c>
      <c r="AG121" s="153">
        <f t="shared" si="252"/>
        <v>-5.7501652346331755E-2</v>
      </c>
      <c r="AH121" s="153">
        <f t="shared" si="252"/>
        <v>-7.0673712021136037E-2</v>
      </c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3"/>
      <c r="CO121" s="13"/>
      <c r="CP121" s="72"/>
      <c r="CQ121" s="72"/>
      <c r="CR121" s="170"/>
      <c r="CS121" s="170"/>
      <c r="CT121" s="170"/>
      <c r="CU121" s="170"/>
      <c r="CV121" s="153">
        <f t="shared" ref="CV121:DM121" si="253">CV113/CU113-1</f>
        <v>-7.6600401240196625E-3</v>
      </c>
      <c r="CW121" s="153">
        <f t="shared" si="253"/>
        <v>0.17625436500643255</v>
      </c>
      <c r="CX121" s="153">
        <f t="shared" si="253"/>
        <v>3.3218750000001407E-3</v>
      </c>
      <c r="CY121" s="153">
        <f t="shared" si="253"/>
        <v>-8.8859222396952986E-2</v>
      </c>
      <c r="CZ121" s="153">
        <f t="shared" si="253"/>
        <v>1.5589264016555804E-2</v>
      </c>
      <c r="DA121" s="153">
        <f t="shared" si="253"/>
        <v>0.36010626388332989</v>
      </c>
      <c r="DB121" s="153">
        <f t="shared" si="253"/>
        <v>-1.8075162822559832E-2</v>
      </c>
      <c r="DC121" s="153">
        <f t="shared" si="253"/>
        <v>-3.8890253510197703E-2</v>
      </c>
      <c r="DD121" s="153">
        <f t="shared" si="253"/>
        <v>-1.5549361247586324E-2</v>
      </c>
      <c r="DE121" s="153">
        <f t="shared" si="253"/>
        <v>-1.7212065960605138</v>
      </c>
      <c r="DF121" s="153">
        <f t="shared" si="253"/>
        <v>0</v>
      </c>
      <c r="DG121" s="153">
        <f t="shared" si="253"/>
        <v>-1</v>
      </c>
      <c r="DH121" s="153" t="e">
        <f t="shared" si="253"/>
        <v>#DIV/0!</v>
      </c>
      <c r="DI121" s="153">
        <f t="shared" si="253"/>
        <v>-0.58492524916943522</v>
      </c>
      <c r="DJ121" s="153">
        <f t="shared" si="253"/>
        <v>-3.5667833916958478</v>
      </c>
      <c r="DK121" s="153">
        <f t="shared" si="253"/>
        <v>0.91140372247125279</v>
      </c>
      <c r="DL121" s="153">
        <f t="shared" si="253"/>
        <v>4.4478474827247538E-5</v>
      </c>
      <c r="DM121" s="153">
        <f t="shared" si="253"/>
        <v>2.088091486863064E-2</v>
      </c>
      <c r="DY121" s="65" t="s">
        <v>501</v>
      </c>
      <c r="DZ121" s="151">
        <f>NPV(DZ119,DK113:FW113)+Main!J6-Main!J7</f>
        <v>95244.814739298978</v>
      </c>
    </row>
    <row r="122" spans="2:197" s="69" customFormat="1" x14ac:dyDescent="0.2">
      <c r="B122" s="69" t="s">
        <v>511</v>
      </c>
      <c r="C122" s="159"/>
      <c r="D122" s="159"/>
      <c r="E122" s="159"/>
      <c r="F122" s="159"/>
      <c r="G122" s="72"/>
      <c r="H122" s="72"/>
      <c r="I122" s="72"/>
      <c r="J122" s="72"/>
      <c r="K122" s="72"/>
      <c r="L122" s="72"/>
      <c r="M122" s="72"/>
      <c r="N122" s="153">
        <f t="shared" ref="N122:AH122" si="254">N115/J115-1</f>
        <v>6.5180262393039756E-2</v>
      </c>
      <c r="O122" s="153">
        <f t="shared" si="254"/>
        <v>5.3597440549066899E-3</v>
      </c>
      <c r="P122" s="153">
        <f t="shared" si="254"/>
        <v>1.5390823827629907E-2</v>
      </c>
      <c r="Q122" s="153">
        <f t="shared" si="254"/>
        <v>-5.8260532214133409E-2</v>
      </c>
      <c r="R122" s="153">
        <f t="shared" si="254"/>
        <v>0.12406890573983254</v>
      </c>
      <c r="S122" s="153">
        <f t="shared" si="254"/>
        <v>-5.3528322687291685E-2</v>
      </c>
      <c r="T122" s="153">
        <f t="shared" si="254"/>
        <v>0.14264557282895152</v>
      </c>
      <c r="U122" s="153">
        <f t="shared" si="254"/>
        <v>7.5493918180059127E-2</v>
      </c>
      <c r="V122" s="153">
        <f t="shared" si="254"/>
        <v>0.10046358172797376</v>
      </c>
      <c r="W122" s="153">
        <f t="shared" si="254"/>
        <v>5.3313140759700284E-2</v>
      </c>
      <c r="X122" s="153">
        <f t="shared" si="254"/>
        <v>0.15583270155426021</v>
      </c>
      <c r="Y122" s="153">
        <f t="shared" si="254"/>
        <v>0.11781570904515304</v>
      </c>
      <c r="Z122" s="153">
        <f t="shared" si="254"/>
        <v>0.30946812706276328</v>
      </c>
      <c r="AA122" s="153">
        <f t="shared" si="254"/>
        <v>0.15658891303622169</v>
      </c>
      <c r="AB122" s="153">
        <f t="shared" si="254"/>
        <v>7.7837070672760689E-2</v>
      </c>
      <c r="AC122" s="153">
        <f t="shared" si="254"/>
        <v>4.4104629810763241E-2</v>
      </c>
      <c r="AD122" s="153">
        <f t="shared" si="254"/>
        <v>-0.15964375671579878</v>
      </c>
      <c r="AE122" s="153">
        <f t="shared" si="254"/>
        <v>-0.28701061214701118</v>
      </c>
      <c r="AF122" s="153">
        <f t="shared" si="254"/>
        <v>-1</v>
      </c>
      <c r="AG122" s="153">
        <f t="shared" si="254"/>
        <v>-1</v>
      </c>
      <c r="AH122" s="153">
        <f t="shared" si="254"/>
        <v>-1</v>
      </c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3"/>
      <c r="CO122" s="13"/>
      <c r="CP122" s="72"/>
      <c r="CQ122" s="72"/>
      <c r="CR122" s="153">
        <f t="shared" ref="CR122:DM122" si="255">CR115/CQ115-1</f>
        <v>-0.11742709253253525</v>
      </c>
      <c r="CS122" s="153">
        <f t="shared" si="255"/>
        <v>0.21295723386208487</v>
      </c>
      <c r="CT122" s="153">
        <f t="shared" si="255"/>
        <v>0.15469819903197579</v>
      </c>
      <c r="CU122" s="153">
        <f t="shared" si="255"/>
        <v>3.0610374184536049E-2</v>
      </c>
      <c r="CV122" s="153">
        <f t="shared" si="255"/>
        <v>6.3286092595696841E-2</v>
      </c>
      <c r="CW122" s="153">
        <f t="shared" si="255"/>
        <v>0.20036195630688325</v>
      </c>
      <c r="CX122" s="153">
        <f t="shared" si="255"/>
        <v>-1.622285293471748E-3</v>
      </c>
      <c r="CY122" s="153" t="e">
        <f t="shared" si="255"/>
        <v>#DIV/0!</v>
      </c>
      <c r="CZ122" s="153" t="e">
        <f t="shared" si="255"/>
        <v>#DIV/0!</v>
      </c>
      <c r="DA122" s="153" t="e">
        <f t="shared" si="255"/>
        <v>#DIV/0!</v>
      </c>
      <c r="DB122" s="153" t="e">
        <f t="shared" si="255"/>
        <v>#DIV/0!</v>
      </c>
      <c r="DC122" s="153" t="e">
        <f t="shared" si="255"/>
        <v>#DIV/0!</v>
      </c>
      <c r="DD122" s="153" t="e">
        <f t="shared" si="255"/>
        <v>#DIV/0!</v>
      </c>
      <c r="DE122" s="153" t="e">
        <f t="shared" si="255"/>
        <v>#DIV/0!</v>
      </c>
      <c r="DF122" s="153" t="e">
        <f t="shared" si="255"/>
        <v>#DIV/0!</v>
      </c>
      <c r="DG122" s="153" t="e">
        <f t="shared" si="255"/>
        <v>#DIV/0!</v>
      </c>
      <c r="DH122" s="153" t="e">
        <f t="shared" si="255"/>
        <v>#DIV/0!</v>
      </c>
      <c r="DI122" s="153">
        <f t="shared" si="255"/>
        <v>-0.56444552078696875</v>
      </c>
      <c r="DJ122" s="153">
        <f t="shared" si="255"/>
        <v>-3.8521315716599309</v>
      </c>
      <c r="DK122" s="153">
        <f t="shared" si="255"/>
        <v>0.91140372247125301</v>
      </c>
      <c r="DL122" s="153">
        <f t="shared" si="255"/>
        <v>4.4478474827025494E-5</v>
      </c>
      <c r="DM122" s="153">
        <f t="shared" si="255"/>
        <v>2.088091486863064E-2</v>
      </c>
      <c r="DY122" s="65"/>
      <c r="DZ122" s="159">
        <f>+DZ121/Main!J4*100</f>
        <v>2335.0040387177978</v>
      </c>
    </row>
    <row r="123" spans="2:197" s="69" customFormat="1" x14ac:dyDescent="0.2">
      <c r="B123" s="69" t="s">
        <v>584</v>
      </c>
      <c r="C123" s="159"/>
      <c r="D123" s="159"/>
      <c r="E123" s="159"/>
      <c r="F123" s="159"/>
      <c r="G123" s="72"/>
      <c r="H123" s="72"/>
      <c r="I123" s="72"/>
      <c r="J123" s="72"/>
      <c r="K123" s="72"/>
      <c r="L123" s="72"/>
      <c r="M123" s="72"/>
      <c r="N123" s="153">
        <v>0.22</v>
      </c>
      <c r="O123" s="153">
        <v>0.14000000000000001</v>
      </c>
      <c r="P123" s="153">
        <v>0.11</v>
      </c>
      <c r="Q123" s="153">
        <v>0.01</v>
      </c>
      <c r="R123" s="153">
        <v>0.17</v>
      </c>
      <c r="S123" s="153">
        <v>-0.09</v>
      </c>
      <c r="T123" s="153">
        <v>0.05</v>
      </c>
      <c r="U123" s="153">
        <v>-0.09</v>
      </c>
      <c r="V123" s="153">
        <v>-0.23</v>
      </c>
      <c r="W123" s="153">
        <v>-0.28000000000000003</v>
      </c>
      <c r="X123" s="153">
        <v>-0.04</v>
      </c>
      <c r="Y123" s="153">
        <v>-0.03</v>
      </c>
      <c r="Z123" s="153">
        <v>0.43</v>
      </c>
      <c r="AA123" s="153">
        <v>0.16</v>
      </c>
      <c r="AB123" s="153" t="s">
        <v>449</v>
      </c>
      <c r="AC123" s="153">
        <v>-0.06</v>
      </c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3"/>
      <c r="CO123" s="13"/>
      <c r="CP123" s="72"/>
      <c r="CQ123" s="72"/>
      <c r="CR123" s="153"/>
      <c r="CS123" s="153"/>
      <c r="CT123" s="153"/>
      <c r="CU123" s="153"/>
      <c r="CV123" s="153"/>
      <c r="CW123" s="153"/>
      <c r="CX123" s="153"/>
      <c r="CY123" s="153"/>
      <c r="CZ123" s="153"/>
      <c r="DA123" s="153"/>
      <c r="DB123" s="153"/>
      <c r="DC123" s="153"/>
      <c r="DD123" s="153"/>
      <c r="DE123" s="70"/>
      <c r="DF123" s="70"/>
      <c r="DG123" s="70"/>
      <c r="DH123" s="70"/>
      <c r="DZ123" s="158">
        <f>DZ122/1333-1</f>
        <v>0.75169095177629242</v>
      </c>
    </row>
    <row r="124" spans="2:197" x14ac:dyDescent="0.2">
      <c r="CR124" s="168"/>
      <c r="CS124" s="170"/>
      <c r="CT124" s="168"/>
      <c r="CU124" s="168"/>
      <c r="CV124" s="168"/>
      <c r="CW124" s="157"/>
      <c r="CX124" s="157"/>
      <c r="CY124" s="157"/>
      <c r="CZ124" s="157"/>
      <c r="DA124" s="157"/>
      <c r="DB124" s="157"/>
      <c r="DC124" s="157"/>
      <c r="DD124" s="157"/>
      <c r="DE124" s="157"/>
      <c r="DF124" s="157"/>
      <c r="DG124" s="157"/>
      <c r="DH124" s="157"/>
      <c r="DI124" s="157"/>
      <c r="DJ124" s="157"/>
      <c r="DK124" s="157"/>
      <c r="DL124" s="157"/>
      <c r="DM124" s="157"/>
    </row>
    <row r="125" spans="2:197" x14ac:dyDescent="0.2">
      <c r="B125" s="65" t="s">
        <v>90</v>
      </c>
      <c r="C125" s="174"/>
      <c r="D125" s="174"/>
      <c r="E125" s="174"/>
      <c r="F125" s="174"/>
      <c r="G125" s="138"/>
      <c r="H125" s="138"/>
      <c r="I125" s="138"/>
      <c r="J125" s="138"/>
      <c r="K125" s="136">
        <f t="shared" ref="K125:AH125" si="256">K105/K103</f>
        <v>0.80492000688112852</v>
      </c>
      <c r="L125" s="136">
        <f t="shared" si="256"/>
        <v>0.79194630872483218</v>
      </c>
      <c r="M125" s="136">
        <f t="shared" si="256"/>
        <v>0.78341013824884798</v>
      </c>
      <c r="N125" s="136">
        <f t="shared" si="256"/>
        <v>0.75750964927001174</v>
      </c>
      <c r="O125" s="136">
        <f t="shared" si="256"/>
        <v>0.77932761087267521</v>
      </c>
      <c r="P125" s="136">
        <f t="shared" si="256"/>
        <v>0.78639407825167429</v>
      </c>
      <c r="Q125" s="136">
        <f t="shared" si="256"/>
        <v>0.77501826150474795</v>
      </c>
      <c r="R125" s="136">
        <f t="shared" si="256"/>
        <v>0.74460972756142407</v>
      </c>
      <c r="S125" s="136">
        <f t="shared" si="256"/>
        <v>0.77154414351037637</v>
      </c>
      <c r="T125" s="136">
        <f t="shared" si="256"/>
        <v>0.76591760299625467</v>
      </c>
      <c r="U125" s="136">
        <f t="shared" si="256"/>
        <v>0.75178510710642643</v>
      </c>
      <c r="V125" s="136">
        <f t="shared" si="256"/>
        <v>0.76237337192474675</v>
      </c>
      <c r="W125" s="136">
        <f t="shared" si="256"/>
        <v>0.75712808391195152</v>
      </c>
      <c r="X125" s="136">
        <f t="shared" si="256"/>
        <v>0.75974507188380025</v>
      </c>
      <c r="Y125" s="136">
        <f t="shared" si="256"/>
        <v>0.74371115714708491</v>
      </c>
      <c r="Z125" s="136">
        <f t="shared" si="256"/>
        <v>0.7407956510995799</v>
      </c>
      <c r="AA125" s="136">
        <f t="shared" si="256"/>
        <v>0.73848035884191932</v>
      </c>
      <c r="AB125" s="136">
        <f t="shared" si="256"/>
        <v>0.76854092526690387</v>
      </c>
      <c r="AC125" s="136">
        <f t="shared" si="256"/>
        <v>0.73609276383384703</v>
      </c>
      <c r="AD125" s="136">
        <f t="shared" si="256"/>
        <v>0.72488536890370991</v>
      </c>
      <c r="AE125" s="136">
        <f t="shared" si="256"/>
        <v>0.72968868640850415</v>
      </c>
      <c r="AF125" s="136">
        <f t="shared" si="256"/>
        <v>0.75818452380952384</v>
      </c>
      <c r="AG125" s="136">
        <f t="shared" si="256"/>
        <v>0.72156531531531531</v>
      </c>
      <c r="AH125" s="136">
        <f t="shared" si="256"/>
        <v>0.73115505875609055</v>
      </c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44">
        <f t="shared" ref="BN125:BU125" si="257">+BN105/BN103</f>
        <v>0.67996404090347229</v>
      </c>
      <c r="BO125" s="144">
        <f t="shared" si="257"/>
        <v>0.57910014513788099</v>
      </c>
      <c r="BP125" s="144">
        <f t="shared" si="257"/>
        <v>0.52474286823209781</v>
      </c>
      <c r="BQ125" s="144">
        <f t="shared" si="257"/>
        <v>0.58685751463890701</v>
      </c>
      <c r="BR125" s="144">
        <f t="shared" si="257"/>
        <v>0.55801804654107967</v>
      </c>
      <c r="BS125" s="144">
        <f t="shared" si="257"/>
        <v>0.56036177742823434</v>
      </c>
      <c r="BT125" s="144">
        <f t="shared" si="257"/>
        <v>0.73745040538209417</v>
      </c>
      <c r="BU125" s="144">
        <f t="shared" si="257"/>
        <v>0.59695354150799695</v>
      </c>
      <c r="BV125" s="144">
        <f>+BV105/BV103</f>
        <v>0.5024903941938238</v>
      </c>
      <c r="BW125" s="144">
        <f>+BW105/BW103</f>
        <v>0.61930783242258647</v>
      </c>
      <c r="BX125" s="144">
        <f>+BX105/BX103</f>
        <v>0.71568768942127292</v>
      </c>
      <c r="BY125" s="144">
        <f>+BY105/BY103</f>
        <v>0.71687979539641944</v>
      </c>
      <c r="BZ125" s="144">
        <f>+BZ105/BZ103</f>
        <v>0.72474576271186442</v>
      </c>
      <c r="CA125" s="144">
        <f t="shared" ref="CA125:CF125" si="258">+CA105/CA103</f>
        <v>0.69</v>
      </c>
      <c r="CB125" s="144">
        <f t="shared" si="258"/>
        <v>0.69</v>
      </c>
      <c r="CC125" s="144">
        <f t="shared" si="258"/>
        <v>0.74551927326295109</v>
      </c>
      <c r="CD125" s="144">
        <f t="shared" si="258"/>
        <v>0.73147113594040969</v>
      </c>
      <c r="CE125" s="144">
        <f t="shared" si="258"/>
        <v>0.76463398071438271</v>
      </c>
      <c r="CF125" s="144">
        <f t="shared" si="258"/>
        <v>0.76192288178589551</v>
      </c>
      <c r="CG125" s="144"/>
      <c r="CH125" s="144"/>
      <c r="CI125" s="136"/>
      <c r="CJ125" s="136"/>
      <c r="CK125" s="136"/>
      <c r="CL125" s="136"/>
      <c r="CM125" s="136"/>
      <c r="CN125" s="145"/>
      <c r="CO125" s="145"/>
      <c r="CP125" s="149"/>
      <c r="CQ125" s="149">
        <f t="shared" ref="CQ125:CX125" si="259">CQ105/CQ103</f>
        <v>1.0188051759583989</v>
      </c>
      <c r="CR125" s="149">
        <f t="shared" si="259"/>
        <v>0.91874412041392284</v>
      </c>
      <c r="CS125" s="149">
        <f t="shared" si="259"/>
        <v>0.78651894609440465</v>
      </c>
      <c r="CT125" s="149">
        <f t="shared" si="259"/>
        <v>0.78428417653390747</v>
      </c>
      <c r="CU125" s="149">
        <f t="shared" si="259"/>
        <v>0.77091309130913088</v>
      </c>
      <c r="CV125" s="149">
        <f t="shared" si="259"/>
        <v>0.75935085639537259</v>
      </c>
      <c r="CW125" s="149">
        <f t="shared" si="259"/>
        <v>0.7521224190336443</v>
      </c>
      <c r="CX125" s="149">
        <f t="shared" si="259"/>
        <v>0.74370184354200697</v>
      </c>
      <c r="CY125" s="149">
        <f>CX125-0.1%</f>
        <v>0.74270184354200697</v>
      </c>
      <c r="CZ125" s="149">
        <f t="shared" ref="CZ125:DD125" si="260">CY125-0.1%</f>
        <v>0.74170184354200697</v>
      </c>
      <c r="DA125" s="149">
        <f t="shared" si="260"/>
        <v>0.74070184354200697</v>
      </c>
      <c r="DB125" s="149">
        <f t="shared" si="260"/>
        <v>0.73970184354200696</v>
      </c>
      <c r="DC125" s="149">
        <f t="shared" si="260"/>
        <v>0.73870184354200696</v>
      </c>
      <c r="DD125" s="149">
        <f t="shared" si="260"/>
        <v>0.73770184354200696</v>
      </c>
      <c r="DE125" s="149"/>
      <c r="DF125" s="149"/>
      <c r="DG125" s="149"/>
      <c r="DH125" s="149">
        <f t="shared" ref="DH125:DM125" si="261">+DH105/DH103</f>
        <v>0.56375162685251268</v>
      </c>
      <c r="DI125" s="149">
        <f t="shared" si="261"/>
        <v>0.5955056179775281</v>
      </c>
      <c r="DJ125" s="149">
        <f t="shared" si="261"/>
        <v>0.69478144971121969</v>
      </c>
      <c r="DK125" s="149">
        <f t="shared" si="261"/>
        <v>0.7</v>
      </c>
      <c r="DL125" s="149">
        <f t="shared" si="261"/>
        <v>0.7</v>
      </c>
      <c r="DM125" s="149">
        <f t="shared" si="261"/>
        <v>0.70000000000000007</v>
      </c>
      <c r="DN125" s="149">
        <f t="shared" ref="DN125:DW125" si="262">+DN105/DN103</f>
        <v>0.7</v>
      </c>
      <c r="DO125" s="149">
        <f t="shared" si="262"/>
        <v>0.7</v>
      </c>
      <c r="DP125" s="149">
        <f t="shared" si="262"/>
        <v>0.70000000000000007</v>
      </c>
      <c r="DQ125" s="149">
        <f t="shared" si="262"/>
        <v>0.7</v>
      </c>
      <c r="DR125" s="149">
        <f t="shared" si="262"/>
        <v>0.7</v>
      </c>
      <c r="DS125" s="149">
        <f t="shared" si="262"/>
        <v>0.70000000000000007</v>
      </c>
      <c r="DT125" s="149">
        <f t="shared" si="262"/>
        <v>0.7</v>
      </c>
      <c r="DU125" s="149">
        <f t="shared" si="262"/>
        <v>0.7</v>
      </c>
      <c r="DV125" s="149">
        <f t="shared" si="262"/>
        <v>0.7</v>
      </c>
      <c r="DW125" s="149">
        <f t="shared" si="262"/>
        <v>0.7</v>
      </c>
    </row>
    <row r="126" spans="2:197" x14ac:dyDescent="0.2">
      <c r="B126" s="65" t="s">
        <v>422</v>
      </c>
      <c r="C126" s="174"/>
      <c r="D126" s="174"/>
      <c r="E126" s="174"/>
      <c r="F126" s="174"/>
      <c r="G126" s="138"/>
      <c r="H126" s="138"/>
      <c r="I126" s="138"/>
      <c r="J126" s="138"/>
      <c r="K126" s="137">
        <f t="shared" ref="K126:AH126" si="263">K106/K103</f>
        <v>0.31360743161878546</v>
      </c>
      <c r="L126" s="137">
        <f t="shared" si="263"/>
        <v>0.32404061263121664</v>
      </c>
      <c r="M126" s="137">
        <f t="shared" si="263"/>
        <v>0.28660049627791562</v>
      </c>
      <c r="N126" s="137">
        <f t="shared" si="263"/>
        <v>0.32455109917771441</v>
      </c>
      <c r="O126" s="137">
        <f t="shared" si="263"/>
        <v>0.29917739628040058</v>
      </c>
      <c r="P126" s="137">
        <f t="shared" si="263"/>
        <v>0.3244624603454353</v>
      </c>
      <c r="Q126" s="137">
        <f t="shared" si="263"/>
        <v>0.29528853177501824</v>
      </c>
      <c r="R126" s="137">
        <f t="shared" si="263"/>
        <v>0.28179842888183187</v>
      </c>
      <c r="S126" s="137">
        <f t="shared" si="263"/>
        <v>0.30249736194161098</v>
      </c>
      <c r="T126" s="137">
        <f t="shared" si="263"/>
        <v>0.30047667688117125</v>
      </c>
      <c r="U126" s="137">
        <f t="shared" si="263"/>
        <v>0.28255695341720505</v>
      </c>
      <c r="V126" s="137">
        <f t="shared" si="263"/>
        <v>0.31910274963820551</v>
      </c>
      <c r="W126" s="137">
        <f t="shared" si="263"/>
        <v>0.31452208598020387</v>
      </c>
      <c r="X126" s="137">
        <f t="shared" si="263"/>
        <v>0.33007262487031275</v>
      </c>
      <c r="Y126" s="137">
        <f t="shared" si="263"/>
        <v>0.30541580349215747</v>
      </c>
      <c r="Z126" s="137">
        <f t="shared" si="263"/>
        <v>0.34346429453916483</v>
      </c>
      <c r="AA126" s="137">
        <f t="shared" si="263"/>
        <v>0.31235557971999456</v>
      </c>
      <c r="AB126" s="137">
        <f t="shared" si="263"/>
        <v>0.32384341637010677</v>
      </c>
      <c r="AC126" s="137">
        <f t="shared" si="263"/>
        <v>0.28709819462791719</v>
      </c>
      <c r="AD126" s="137">
        <f t="shared" si="263"/>
        <v>0.29512296790329307</v>
      </c>
      <c r="AE126" s="137">
        <f t="shared" si="263"/>
        <v>0.31192103264996202</v>
      </c>
      <c r="AF126" s="137">
        <f t="shared" si="263"/>
        <v>0.33392857142857141</v>
      </c>
      <c r="AG126" s="137">
        <f t="shared" si="263"/>
        <v>0.29096283783783783</v>
      </c>
      <c r="AH126" s="137">
        <f t="shared" si="263"/>
        <v>0.29578675838349094</v>
      </c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45"/>
      <c r="CO126" s="145"/>
      <c r="CP126" s="149"/>
      <c r="CQ126" s="149">
        <v>0.35282392026578074</v>
      </c>
      <c r="CR126" s="149">
        <v>0.36030221154808367</v>
      </c>
      <c r="CS126" s="149">
        <v>0.33471837488457989</v>
      </c>
      <c r="CT126" s="149">
        <v>0.32424198966335499</v>
      </c>
      <c r="CU126" s="149">
        <v>0.31507091083330829</v>
      </c>
      <c r="CV126" s="149">
        <v>0.315</v>
      </c>
      <c r="CW126" s="149">
        <f>CW106/CW103</f>
        <v>0.32141983719386508</v>
      </c>
      <c r="CX126" s="149">
        <f>CX106/CX103</f>
        <v>0.30264027672366456</v>
      </c>
      <c r="CY126" s="149">
        <v>0.3</v>
      </c>
      <c r="CZ126" s="149">
        <v>0.29499999999999998</v>
      </c>
      <c r="DA126" s="149">
        <v>0.28999999999999998</v>
      </c>
      <c r="DB126" s="149">
        <v>0.28770000000000001</v>
      </c>
      <c r="DC126" s="149">
        <v>0.28770000000000001</v>
      </c>
      <c r="DD126" s="149">
        <v>0.28770000000000001</v>
      </c>
      <c r="DE126" s="149">
        <f t="shared" ref="DE126:DM126" si="264">DE106/DE103</f>
        <v>0.29325044154494134</v>
      </c>
      <c r="DF126" s="149">
        <f t="shared" si="264"/>
        <v>0.86394548263489179</v>
      </c>
      <c r="DG126" s="149">
        <f t="shared" si="264"/>
        <v>0</v>
      </c>
      <c r="DH126" s="149">
        <f t="shared" si="264"/>
        <v>0.45744993492589947</v>
      </c>
      <c r="DI126" s="149">
        <f t="shared" si="264"/>
        <v>0.38296220633299283</v>
      </c>
      <c r="DJ126" s="149">
        <f t="shared" si="264"/>
        <v>0.27921123679983595</v>
      </c>
      <c r="DK126" s="149">
        <f t="shared" si="264"/>
        <v>0.25</v>
      </c>
      <c r="DL126" s="149">
        <f t="shared" si="264"/>
        <v>0.25</v>
      </c>
      <c r="DM126" s="149">
        <f t="shared" si="264"/>
        <v>0.25</v>
      </c>
      <c r="DN126" s="149">
        <f t="shared" ref="DN126:DW126" si="265">DN106/DN103</f>
        <v>0.25</v>
      </c>
      <c r="DO126" s="149">
        <f t="shared" si="265"/>
        <v>0.25</v>
      </c>
      <c r="DP126" s="149">
        <f t="shared" si="265"/>
        <v>0.25</v>
      </c>
      <c r="DQ126" s="149">
        <f t="shared" si="265"/>
        <v>0.25</v>
      </c>
      <c r="DR126" s="149">
        <f t="shared" si="265"/>
        <v>0.25</v>
      </c>
      <c r="DS126" s="149">
        <f t="shared" si="265"/>
        <v>0.25</v>
      </c>
      <c r="DT126" s="149">
        <f t="shared" si="265"/>
        <v>0.25</v>
      </c>
      <c r="DU126" s="149">
        <f t="shared" si="265"/>
        <v>0.25</v>
      </c>
      <c r="DV126" s="149">
        <f t="shared" si="265"/>
        <v>0.25</v>
      </c>
      <c r="DW126" s="149">
        <f t="shared" si="265"/>
        <v>0.25</v>
      </c>
    </row>
    <row r="127" spans="2:197" x14ac:dyDescent="0.2">
      <c r="B127" s="65" t="s">
        <v>421</v>
      </c>
      <c r="C127" s="174"/>
      <c r="D127" s="174"/>
      <c r="E127" s="174"/>
      <c r="F127" s="174"/>
      <c r="G127" s="138"/>
      <c r="H127" s="138"/>
      <c r="I127" s="138"/>
      <c r="J127" s="138"/>
      <c r="K127" s="137">
        <f t="shared" ref="K127:AH127" si="266">K107/K103</f>
        <v>0.12953724410803372</v>
      </c>
      <c r="L127" s="137">
        <f t="shared" si="266"/>
        <v>0.14679056960936154</v>
      </c>
      <c r="M127" s="137">
        <f t="shared" si="266"/>
        <v>0.15437788018433179</v>
      </c>
      <c r="N127" s="137">
        <f t="shared" si="266"/>
        <v>0.16445712367846954</v>
      </c>
      <c r="O127" s="137">
        <f t="shared" si="266"/>
        <v>0.1298283261802575</v>
      </c>
      <c r="P127" s="137">
        <f t="shared" si="266"/>
        <v>0.13905534014804372</v>
      </c>
      <c r="Q127" s="137">
        <f t="shared" si="266"/>
        <v>0.14043097151205258</v>
      </c>
      <c r="R127" s="137">
        <f t="shared" si="266"/>
        <v>0.15928463981280294</v>
      </c>
      <c r="S127" s="137">
        <f t="shared" si="266"/>
        <v>0.13717903622933522</v>
      </c>
      <c r="T127" s="137">
        <f t="shared" si="266"/>
        <v>0.13653387810691181</v>
      </c>
      <c r="U127" s="137">
        <f t="shared" si="266"/>
        <v>0.14178850731043863</v>
      </c>
      <c r="V127" s="137">
        <f t="shared" si="266"/>
        <v>0.15774240231548481</v>
      </c>
      <c r="W127" s="137">
        <f t="shared" si="266"/>
        <v>0.15866449992613385</v>
      </c>
      <c r="X127" s="137">
        <f t="shared" si="266"/>
        <v>0.13680154142581888</v>
      </c>
      <c r="Y127" s="137">
        <f t="shared" si="266"/>
        <v>0.12755253033441846</v>
      </c>
      <c r="Z127" s="137">
        <f t="shared" si="266"/>
        <v>0.13491475166790215</v>
      </c>
      <c r="AA127" s="137">
        <f t="shared" si="266"/>
        <v>0.12763354628245208</v>
      </c>
      <c r="AB127" s="137">
        <f t="shared" si="266"/>
        <v>0.14149466192170818</v>
      </c>
      <c r="AC127" s="137">
        <f t="shared" si="266"/>
        <v>0.13914575077058564</v>
      </c>
      <c r="AD127" s="137">
        <f t="shared" si="266"/>
        <v>0.15047936640266779</v>
      </c>
      <c r="AE127" s="137">
        <f t="shared" si="266"/>
        <v>0.1363705391040243</v>
      </c>
      <c r="AF127" s="137">
        <f t="shared" si="266"/>
        <v>0.14047619047619048</v>
      </c>
      <c r="AG127" s="137">
        <f t="shared" si="266"/>
        <v>0.13668355855855857</v>
      </c>
      <c r="AH127" s="137">
        <f t="shared" si="266"/>
        <v>0.15749498423617081</v>
      </c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45"/>
      <c r="CO127" s="145"/>
      <c r="CP127" s="149"/>
      <c r="CQ127" s="149">
        <f t="shared" ref="CQ127:DM127" si="267">CQ107/CQ103</f>
        <v>0.17196758979320353</v>
      </c>
      <c r="CR127" s="149">
        <f t="shared" si="267"/>
        <v>0.17074317968015051</v>
      </c>
      <c r="CS127" s="149">
        <f t="shared" si="267"/>
        <v>0.14598268317661298</v>
      </c>
      <c r="CT127" s="149">
        <f t="shared" si="267"/>
        <v>0.14884822389666308</v>
      </c>
      <c r="CU127" s="149">
        <f t="shared" si="267"/>
        <v>0.14244224422442245</v>
      </c>
      <c r="CV127" s="149">
        <f t="shared" si="267"/>
        <v>0.14331848097126274</v>
      </c>
      <c r="CW127" s="149">
        <f t="shared" si="267"/>
        <v>0.13803584529923488</v>
      </c>
      <c r="CX127" s="149">
        <f t="shared" si="267"/>
        <v>0.13864163376084668</v>
      </c>
      <c r="CY127" s="149">
        <f t="shared" si="267"/>
        <v>0.14307378398396542</v>
      </c>
      <c r="CZ127" s="149">
        <f t="shared" si="267"/>
        <v>0.1389633121178738</v>
      </c>
      <c r="DA127" s="149">
        <f t="shared" si="267"/>
        <v>1.9985980261547208E-2</v>
      </c>
      <c r="DB127" s="149">
        <f t="shared" si="267"/>
        <v>2.039593965504348E-2</v>
      </c>
      <c r="DC127" s="149">
        <f t="shared" si="267"/>
        <v>2.1135698401322112E-2</v>
      </c>
      <c r="DD127" s="149">
        <f t="shared" si="267"/>
        <v>2.1406086803417837E-2</v>
      </c>
      <c r="DE127" s="149">
        <f t="shared" si="267"/>
        <v>2.1819062936571505E-2</v>
      </c>
      <c r="DF127" s="149">
        <f t="shared" si="267"/>
        <v>6.428116786480087E-2</v>
      </c>
      <c r="DG127" s="149">
        <f t="shared" si="267"/>
        <v>0</v>
      </c>
      <c r="DH127" s="149">
        <f t="shared" si="267"/>
        <v>0.19870691464797011</v>
      </c>
      <c r="DI127" s="149">
        <f t="shared" si="267"/>
        <v>0.19272727272727272</v>
      </c>
      <c r="DJ127" s="149">
        <f t="shared" si="267"/>
        <v>0.17350739892689929</v>
      </c>
      <c r="DK127" s="149">
        <f t="shared" si="267"/>
        <v>0</v>
      </c>
      <c r="DL127" s="149">
        <f t="shared" si="267"/>
        <v>0</v>
      </c>
      <c r="DM127" s="149">
        <f t="shared" si="267"/>
        <v>0</v>
      </c>
      <c r="DN127" s="149">
        <f t="shared" ref="DN127:DW127" si="268">DN107/DN103</f>
        <v>0</v>
      </c>
      <c r="DO127" s="149">
        <f t="shared" si="268"/>
        <v>0</v>
      </c>
      <c r="DP127" s="149">
        <f t="shared" si="268"/>
        <v>0</v>
      </c>
      <c r="DQ127" s="149">
        <f t="shared" si="268"/>
        <v>0</v>
      </c>
      <c r="DR127" s="149">
        <f t="shared" si="268"/>
        <v>0</v>
      </c>
      <c r="DS127" s="149">
        <f t="shared" si="268"/>
        <v>0</v>
      </c>
      <c r="DT127" s="149">
        <f t="shared" si="268"/>
        <v>0</v>
      </c>
      <c r="DU127" s="149">
        <f t="shared" si="268"/>
        <v>0</v>
      </c>
      <c r="DV127" s="149">
        <f t="shared" si="268"/>
        <v>0</v>
      </c>
      <c r="DW127" s="149">
        <f t="shared" si="268"/>
        <v>0</v>
      </c>
    </row>
    <row r="128" spans="2:197" x14ac:dyDescent="0.2">
      <c r="B128" s="65" t="s">
        <v>420</v>
      </c>
      <c r="C128" s="174"/>
      <c r="D128" s="174"/>
      <c r="E128" s="174"/>
      <c r="F128" s="174"/>
      <c r="G128" s="138"/>
      <c r="H128" s="138"/>
      <c r="I128" s="138"/>
      <c r="J128" s="138"/>
      <c r="K128" s="137">
        <f t="shared" ref="K128:AH128" si="269">K109/K103</f>
        <v>0.37398933425081715</v>
      </c>
      <c r="L128" s="137">
        <f t="shared" si="269"/>
        <v>0.32885906040268459</v>
      </c>
      <c r="M128" s="137">
        <f t="shared" si="269"/>
        <v>0.36139666784828073</v>
      </c>
      <c r="N128" s="137">
        <f t="shared" si="269"/>
        <v>0.28528276556469206</v>
      </c>
      <c r="O128" s="137">
        <f t="shared" si="269"/>
        <v>0.39002145922746784</v>
      </c>
      <c r="P128" s="137">
        <f t="shared" si="269"/>
        <v>0.34191046880507581</v>
      </c>
      <c r="Q128" s="137">
        <f t="shared" si="269"/>
        <v>0.35135135135135137</v>
      </c>
      <c r="R128" s="137">
        <f t="shared" si="269"/>
        <v>0.3234163463145579</v>
      </c>
      <c r="S128" s="137">
        <f t="shared" si="269"/>
        <v>0.36018290538163911</v>
      </c>
      <c r="T128" s="137">
        <f t="shared" si="269"/>
        <v>0.36193394620360914</v>
      </c>
      <c r="U128" s="137">
        <f t="shared" si="269"/>
        <v>0.33645018701122065</v>
      </c>
      <c r="V128" s="137">
        <f t="shared" si="269"/>
        <v>0.30477568740955135</v>
      </c>
      <c r="W128" s="137">
        <f t="shared" si="269"/>
        <v>0.29191904269463731</v>
      </c>
      <c r="X128" s="137">
        <f t="shared" si="269"/>
        <v>0.35289758411145694</v>
      </c>
      <c r="Y128" s="137">
        <f t="shared" si="269"/>
        <v>0.32894347440071026</v>
      </c>
      <c r="Z128" s="137">
        <f t="shared" si="269"/>
        <v>0.33073881887818135</v>
      </c>
      <c r="AA128" s="137">
        <f t="shared" si="269"/>
        <v>0.32554030175343213</v>
      </c>
      <c r="AB128" s="137">
        <f t="shared" si="269"/>
        <v>0.31473309608540923</v>
      </c>
      <c r="AC128" s="137">
        <f t="shared" si="269"/>
        <v>0.32379274915602524</v>
      </c>
      <c r="AD128" s="137">
        <f t="shared" si="269"/>
        <v>0.29567875503682089</v>
      </c>
      <c r="AE128" s="137">
        <f t="shared" si="269"/>
        <v>0.32953682611996965</v>
      </c>
      <c r="AF128" s="137">
        <f t="shared" si="269"/>
        <v>0.29300595238095239</v>
      </c>
      <c r="AG128" s="137">
        <f t="shared" si="269"/>
        <v>0.3067286036036036</v>
      </c>
      <c r="AH128" s="137">
        <f t="shared" si="269"/>
        <v>0.29793637145313845</v>
      </c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45"/>
      <c r="CO128" s="145"/>
      <c r="CP128" s="149"/>
      <c r="CQ128" s="149">
        <v>0.30588514475557665</v>
      </c>
      <c r="CR128" s="149">
        <v>0.28800160112078454</v>
      </c>
      <c r="CS128" s="149">
        <v>0.31735918744228991</v>
      </c>
      <c r="CT128" s="149">
        <v>0.32420816743801956</v>
      </c>
      <c r="CU128" s="149">
        <f t="shared" ref="CU128:DM128" si="270">CU111/CU103</f>
        <v>0.34231023102310232</v>
      </c>
      <c r="CV128" s="149">
        <f t="shared" si="270"/>
        <v>0.31811306871602013</v>
      </c>
      <c r="CW128" s="149">
        <f t="shared" si="270"/>
        <v>0.31376864759109807</v>
      </c>
      <c r="CX128" s="149">
        <f t="shared" si="270"/>
        <v>0.2994463428197694</v>
      </c>
      <c r="CY128" s="149">
        <f t="shared" si="270"/>
        <v>0.2963789039984504</v>
      </c>
      <c r="CZ128" s="149">
        <f t="shared" si="270"/>
        <v>0.30773853142413315</v>
      </c>
      <c r="DA128" s="149">
        <f t="shared" si="270"/>
        <v>0.43071586328045974</v>
      </c>
      <c r="DB128" s="149">
        <f t="shared" si="270"/>
        <v>0.43160590388696346</v>
      </c>
      <c r="DC128" s="149">
        <f t="shared" si="270"/>
        <v>0.42986614514068494</v>
      </c>
      <c r="DD128" s="149">
        <f t="shared" si="270"/>
        <v>0.42859575673858913</v>
      </c>
      <c r="DE128" s="149">
        <f t="shared" si="270"/>
        <v>-0.31506950448151283</v>
      </c>
      <c r="DF128" s="149">
        <f t="shared" si="270"/>
        <v>-0.92822665049969266</v>
      </c>
      <c r="DG128" s="149">
        <f t="shared" si="270"/>
        <v>0</v>
      </c>
      <c r="DH128" s="149">
        <f t="shared" si="270"/>
        <v>-0.11314496830261556</v>
      </c>
      <c r="DI128" s="149">
        <f t="shared" si="270"/>
        <v>7.4770173646578142E-3</v>
      </c>
      <c r="DJ128" s="149">
        <f t="shared" si="270"/>
        <v>0.2407641570691364</v>
      </c>
      <c r="DK128" s="149">
        <f t="shared" si="270"/>
        <v>0.44999999999999996</v>
      </c>
      <c r="DL128" s="149">
        <f t="shared" si="270"/>
        <v>0.45340035139300361</v>
      </c>
      <c r="DM128" s="149">
        <f t="shared" si="270"/>
        <v>0.45671038445370804</v>
      </c>
      <c r="DN128" s="149">
        <f t="shared" ref="DN128:DW128" si="271">DN111/DN103</f>
        <v>0.46004672925404849</v>
      </c>
      <c r="DO128" s="149">
        <f t="shared" si="271"/>
        <v>0.46389638777314018</v>
      </c>
      <c r="DP128" s="149">
        <f t="shared" si="271"/>
        <v>0.47051548481307692</v>
      </c>
      <c r="DQ128" s="149">
        <f t="shared" si="271"/>
        <v>0.4742932831671936</v>
      </c>
      <c r="DR128" s="149">
        <f t="shared" si="271"/>
        <v>0.4779927980196127</v>
      </c>
      <c r="DS128" s="149">
        <f t="shared" si="271"/>
        <v>0.48156333636942789</v>
      </c>
      <c r="DT128" s="149">
        <f t="shared" si="271"/>
        <v>0.48652084608332025</v>
      </c>
      <c r="DU128" s="149">
        <f t="shared" si="271"/>
        <v>0.49018815349104583</v>
      </c>
      <c r="DV128" s="149">
        <f t="shared" si="271"/>
        <v>0.49360269722769834</v>
      </c>
      <c r="DW128" s="149">
        <f t="shared" si="271"/>
        <v>0.49687648317567623</v>
      </c>
    </row>
    <row r="129" spans="2:127" x14ac:dyDescent="0.2">
      <c r="B129" s="65" t="s">
        <v>419</v>
      </c>
      <c r="C129" s="174"/>
      <c r="D129" s="174"/>
      <c r="E129" s="174"/>
      <c r="F129" s="174"/>
      <c r="G129" s="138"/>
      <c r="H129" s="138"/>
      <c r="I129" s="138"/>
      <c r="J129" s="138"/>
      <c r="K129" s="138"/>
      <c r="L129" s="138"/>
      <c r="M129" s="137">
        <f t="shared" ref="M129:AH129" si="272">M112/M111</f>
        <v>0.29475766567754697</v>
      </c>
      <c r="N129" s="137">
        <f t="shared" si="272"/>
        <v>0.2953216374269006</v>
      </c>
      <c r="O129" s="137">
        <f t="shared" si="272"/>
        <v>0.29351376574895005</v>
      </c>
      <c r="P129" s="137">
        <f t="shared" si="272"/>
        <v>0.2969409282700422</v>
      </c>
      <c r="Q129" s="137">
        <f t="shared" si="272"/>
        <v>0.30393198724760895</v>
      </c>
      <c r="R129" s="137">
        <f t="shared" si="272"/>
        <v>0.28632938643702904</v>
      </c>
      <c r="S129" s="137">
        <f t="shared" si="272"/>
        <v>0.2998470168281489</v>
      </c>
      <c r="T129" s="137">
        <f t="shared" si="272"/>
        <v>0.29560059317844783</v>
      </c>
      <c r="U129" s="137">
        <f t="shared" si="272"/>
        <v>0.31359999999999999</v>
      </c>
      <c r="V129" s="137">
        <f t="shared" si="272"/>
        <v>0.29485179407176287</v>
      </c>
      <c r="W129" s="137">
        <f t="shared" si="272"/>
        <v>0.30968410150181253</v>
      </c>
      <c r="X129" s="137">
        <f t="shared" si="272"/>
        <v>0.30133333333333334</v>
      </c>
      <c r="Y129" s="137">
        <f t="shared" si="272"/>
        <v>0.30072639225181597</v>
      </c>
      <c r="Z129" s="137">
        <f t="shared" si="272"/>
        <v>0.27580645161290324</v>
      </c>
      <c r="AA129" s="137">
        <f t="shared" si="272"/>
        <v>0.3013882669055083</v>
      </c>
      <c r="AB129" s="137">
        <f t="shared" si="272"/>
        <v>0.17635658914728683</v>
      </c>
      <c r="AC129" s="137">
        <f t="shared" si="272"/>
        <v>0.26123046875</v>
      </c>
      <c r="AD129" s="137">
        <f t="shared" si="272"/>
        <v>0.22912423625254583</v>
      </c>
      <c r="AE129" s="137">
        <f t="shared" si="272"/>
        <v>0.44714640198511169</v>
      </c>
      <c r="AF129" s="137">
        <f t="shared" si="272"/>
        <v>0.28939988782950082</v>
      </c>
      <c r="AG129" s="137">
        <f t="shared" si="272"/>
        <v>0.28913260219341974</v>
      </c>
      <c r="AH129" s="137">
        <f t="shared" si="272"/>
        <v>0.26025236593059936</v>
      </c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>
        <f t="shared" ref="BV129:BW129" si="273">+BV112/BV111</f>
        <v>-0.53459119496855345</v>
      </c>
      <c r="BW129" s="137">
        <f t="shared" si="273"/>
        <v>0.53018736988202642</v>
      </c>
      <c r="BX129" s="137">
        <f t="shared" ref="BX129:CF129" si="274">+BX112/BX111</f>
        <v>0.23397260273972603</v>
      </c>
      <c r="BY129" s="137">
        <f t="shared" si="274"/>
        <v>0.16625310173697269</v>
      </c>
      <c r="BZ129" s="137">
        <f t="shared" si="274"/>
        <v>0.23585598824393827</v>
      </c>
      <c r="CA129" s="137">
        <f t="shared" si="274"/>
        <v>0.25</v>
      </c>
      <c r="CB129" s="137">
        <f t="shared" si="274"/>
        <v>0.25</v>
      </c>
      <c r="CC129" s="137">
        <f t="shared" si="274"/>
        <v>0.21912045889101339</v>
      </c>
      <c r="CD129" s="137">
        <f t="shared" si="274"/>
        <v>0.24760076775431861</v>
      </c>
      <c r="CE129" s="137">
        <f t="shared" si="274"/>
        <v>0.31436619718309861</v>
      </c>
      <c r="CF129" s="137">
        <f t="shared" si="274"/>
        <v>0.17893401015228427</v>
      </c>
      <c r="CG129" s="137"/>
      <c r="CH129" s="137"/>
      <c r="CI129" s="137"/>
      <c r="CJ129" s="137"/>
      <c r="CK129" s="137"/>
      <c r="CL129" s="137"/>
      <c r="CM129" s="137"/>
      <c r="CN129" s="145"/>
      <c r="CO129" s="145"/>
      <c r="CP129" s="149"/>
      <c r="CQ129" s="149"/>
      <c r="CR129" s="149"/>
      <c r="CS129" s="149"/>
      <c r="CT129" s="149"/>
      <c r="CU129" s="149"/>
      <c r="CV129" s="149"/>
      <c r="CW129" s="149">
        <f t="shared" ref="CW129:DM129" si="275">CW112/CW111</f>
        <v>0.28738447834316894</v>
      </c>
      <c r="CX129" s="149">
        <f t="shared" si="275"/>
        <v>0.25</v>
      </c>
      <c r="CY129" s="149">
        <f t="shared" si="275"/>
        <v>0.25</v>
      </c>
      <c r="CZ129" s="149">
        <f t="shared" si="275"/>
        <v>0.25</v>
      </c>
      <c r="DA129" s="149">
        <f t="shared" si="275"/>
        <v>0.25</v>
      </c>
      <c r="DB129" s="149">
        <f t="shared" si="275"/>
        <v>0.25</v>
      </c>
      <c r="DC129" s="149">
        <f t="shared" si="275"/>
        <v>0.25</v>
      </c>
      <c r="DD129" s="149">
        <f t="shared" si="275"/>
        <v>0.25</v>
      </c>
      <c r="DE129" s="149">
        <f t="shared" si="275"/>
        <v>0.25</v>
      </c>
      <c r="DF129" s="149">
        <f t="shared" si="275"/>
        <v>0.25</v>
      </c>
      <c r="DG129" s="149" t="e">
        <f t="shared" si="275"/>
        <v>#DIV/0!</v>
      </c>
      <c r="DH129" s="149">
        <f t="shared" si="275"/>
        <v>-0.78701298701298705</v>
      </c>
      <c r="DI129" s="149">
        <f t="shared" si="275"/>
        <v>11.923497267759563</v>
      </c>
      <c r="DJ129" s="149">
        <f t="shared" si="275"/>
        <v>0.27168204400283891</v>
      </c>
      <c r="DK129" s="149">
        <f t="shared" si="275"/>
        <v>0.25</v>
      </c>
      <c r="DL129" s="149">
        <f t="shared" si="275"/>
        <v>0.25</v>
      </c>
      <c r="DM129" s="149">
        <f t="shared" si="275"/>
        <v>0.25</v>
      </c>
      <c r="DN129" s="149">
        <f t="shared" ref="DN129:DW129" si="276">DN112/DN111</f>
        <v>0.25</v>
      </c>
      <c r="DO129" s="149">
        <f t="shared" si="276"/>
        <v>0.25</v>
      </c>
      <c r="DP129" s="149">
        <f t="shared" si="276"/>
        <v>0.25</v>
      </c>
      <c r="DQ129" s="149">
        <f t="shared" si="276"/>
        <v>0.25</v>
      </c>
      <c r="DR129" s="149">
        <f t="shared" si="276"/>
        <v>0.25</v>
      </c>
      <c r="DS129" s="149">
        <f t="shared" si="276"/>
        <v>0.25</v>
      </c>
      <c r="DT129" s="149">
        <f t="shared" si="276"/>
        <v>0.25</v>
      </c>
      <c r="DU129" s="149">
        <f t="shared" si="276"/>
        <v>0.25</v>
      </c>
      <c r="DV129" s="149">
        <f t="shared" si="276"/>
        <v>0.25</v>
      </c>
      <c r="DW129" s="149">
        <f t="shared" si="276"/>
        <v>0.25</v>
      </c>
    </row>
    <row r="130" spans="2:127" x14ac:dyDescent="0.2">
      <c r="B130" s="65" t="s">
        <v>418</v>
      </c>
      <c r="C130" s="174"/>
      <c r="D130" s="174"/>
      <c r="E130" s="174"/>
      <c r="F130" s="174"/>
      <c r="G130" s="138"/>
      <c r="H130" s="138"/>
      <c r="I130" s="138"/>
      <c r="J130" s="138"/>
      <c r="K130" s="138"/>
      <c r="L130" s="138"/>
      <c r="M130" s="137">
        <f t="shared" ref="M130:AH130" si="277">M113/M103</f>
        <v>0.25274725274725274</v>
      </c>
      <c r="N130" s="137">
        <f t="shared" si="277"/>
        <v>0.20221513676791408</v>
      </c>
      <c r="O130" s="137">
        <f t="shared" si="277"/>
        <v>0.26734620886981403</v>
      </c>
      <c r="P130" s="137">
        <f t="shared" si="277"/>
        <v>0.23105393020796616</v>
      </c>
      <c r="Q130" s="137">
        <f t="shared" si="277"/>
        <v>0.23922571219868516</v>
      </c>
      <c r="R130" s="137">
        <f t="shared" si="277"/>
        <v>0.22162794584656526</v>
      </c>
      <c r="S130" s="137">
        <f t="shared" si="277"/>
        <v>0.23707351389377418</v>
      </c>
      <c r="T130" s="137">
        <f t="shared" si="277"/>
        <v>0.23901940755873341</v>
      </c>
      <c r="U130" s="137">
        <f t="shared" si="277"/>
        <v>0.21880312818769126</v>
      </c>
      <c r="V130" s="137">
        <f t="shared" si="277"/>
        <v>0.19623733719247469</v>
      </c>
      <c r="W130" s="137">
        <f t="shared" si="277"/>
        <v>0.1969271679716354</v>
      </c>
      <c r="X130" s="137">
        <f t="shared" si="277"/>
        <v>0.23299244108492664</v>
      </c>
      <c r="Y130" s="137">
        <f t="shared" si="277"/>
        <v>0.21367268422610239</v>
      </c>
      <c r="Z130" s="137">
        <f t="shared" si="277"/>
        <v>0.22189276006918704</v>
      </c>
      <c r="AA130" s="137">
        <f t="shared" si="277"/>
        <v>0.21204295229033573</v>
      </c>
      <c r="AB130" s="137">
        <f t="shared" si="277"/>
        <v>0.24199288256227758</v>
      </c>
      <c r="AC130" s="137">
        <f t="shared" si="277"/>
        <v>0.22207544400410978</v>
      </c>
      <c r="AD130" s="137">
        <f t="shared" si="277"/>
        <v>0.21036543004029457</v>
      </c>
      <c r="AE130" s="137">
        <f t="shared" si="277"/>
        <v>0.16917236142748671</v>
      </c>
      <c r="AF130" s="137">
        <f t="shared" si="277"/>
        <v>0.18854166666666666</v>
      </c>
      <c r="AG130" s="137">
        <f t="shared" si="277"/>
        <v>0.20073198198198197</v>
      </c>
      <c r="AH130" s="137">
        <f t="shared" si="277"/>
        <v>0.20163370593293206</v>
      </c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45"/>
      <c r="CO130" s="145"/>
      <c r="CP130" s="149"/>
      <c r="CQ130" s="149">
        <v>0.21271950640721404</v>
      </c>
      <c r="CR130" s="149">
        <v>0.19553687581306914</v>
      </c>
      <c r="CS130" s="149">
        <v>0.21648199445983379</v>
      </c>
      <c r="CT130" s="149">
        <v>0.22091294839709819</v>
      </c>
      <c r="CU130" s="149">
        <f t="shared" ref="CU130:DM130" si="278">CU113/CU103</f>
        <v>0.24127612761276127</v>
      </c>
      <c r="CV130" s="149">
        <f t="shared" si="278"/>
        <v>0.22241752851244737</v>
      </c>
      <c r="CW130" s="149">
        <f t="shared" si="278"/>
        <v>0.22359640848268875</v>
      </c>
      <c r="CX130" s="149">
        <f t="shared" si="278"/>
        <v>0.22458475711482703</v>
      </c>
      <c r="CY130" s="149">
        <f t="shared" si="278"/>
        <v>0.22228417799883782</v>
      </c>
      <c r="CZ130" s="149">
        <f t="shared" si="278"/>
        <v>0.23080389856809991</v>
      </c>
      <c r="DA130" s="149">
        <f t="shared" si="278"/>
        <v>0.32303689746034481</v>
      </c>
      <c r="DB130" s="149">
        <f t="shared" si="278"/>
        <v>0.32370442791522258</v>
      </c>
      <c r="DC130" s="149">
        <f t="shared" si="278"/>
        <v>0.32239960885551372</v>
      </c>
      <c r="DD130" s="149">
        <f t="shared" si="278"/>
        <v>0.32144681755394183</v>
      </c>
      <c r="DE130" s="149">
        <f t="shared" si="278"/>
        <v>-0.23630212836113462</v>
      </c>
      <c r="DF130" s="149">
        <f t="shared" si="278"/>
        <v>-0.69616998787476947</v>
      </c>
      <c r="DG130" s="149">
        <f t="shared" si="278"/>
        <v>0</v>
      </c>
      <c r="DH130" s="149">
        <f t="shared" si="278"/>
        <v>-0.20219152777194677</v>
      </c>
      <c r="DI130" s="149">
        <f t="shared" si="278"/>
        <v>-8.1675178753830444E-2</v>
      </c>
      <c r="DJ130" s="149">
        <f t="shared" si="278"/>
        <v>0.17535285875397286</v>
      </c>
      <c r="DK130" s="149">
        <f t="shared" si="278"/>
        <v>0.33749999999999997</v>
      </c>
      <c r="DL130" s="149">
        <f t="shared" si="278"/>
        <v>0.34005026354475271</v>
      </c>
      <c r="DM130" s="149">
        <f t="shared" si="278"/>
        <v>0.342532788340281</v>
      </c>
      <c r="DN130" s="149">
        <f t="shared" ref="DN130:DW130" si="279">DN113/DN103</f>
        <v>0.34503504694053638</v>
      </c>
      <c r="DO130" s="149">
        <f t="shared" si="279"/>
        <v>0.34792229082985515</v>
      </c>
      <c r="DP130" s="149">
        <f t="shared" si="279"/>
        <v>0.35288661360980772</v>
      </c>
      <c r="DQ130" s="149">
        <f t="shared" si="279"/>
        <v>0.35571996237539522</v>
      </c>
      <c r="DR130" s="149">
        <f t="shared" si="279"/>
        <v>0.35849459851470949</v>
      </c>
      <c r="DS130" s="149">
        <f t="shared" si="279"/>
        <v>0.36117250227707093</v>
      </c>
      <c r="DT130" s="149">
        <f t="shared" si="279"/>
        <v>0.36489063456249016</v>
      </c>
      <c r="DU130" s="149">
        <f t="shared" si="279"/>
        <v>0.36764111511828435</v>
      </c>
      <c r="DV130" s="149">
        <f t="shared" si="279"/>
        <v>0.37020202292077381</v>
      </c>
      <c r="DW130" s="149">
        <f t="shared" si="279"/>
        <v>0.37265736238175717</v>
      </c>
    </row>
    <row r="131" spans="2:127" x14ac:dyDescent="0.2">
      <c r="B131" s="175"/>
      <c r="C131" s="174"/>
      <c r="D131" s="174"/>
      <c r="E131" s="174"/>
      <c r="F131" s="174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45"/>
      <c r="CO131" s="145"/>
      <c r="CP131" s="138"/>
      <c r="CQ131" s="138"/>
      <c r="CR131" s="149"/>
      <c r="CS131" s="149"/>
      <c r="CT131" s="149"/>
      <c r="CU131" s="149"/>
      <c r="CV131" s="149"/>
      <c r="CW131" s="149"/>
      <c r="CX131" s="149"/>
      <c r="DF131" s="152"/>
      <c r="DG131" s="152"/>
      <c r="DH131" s="152"/>
    </row>
    <row r="132" spans="2:127" s="180" customFormat="1" x14ac:dyDescent="0.2">
      <c r="B132" s="180" t="s">
        <v>377</v>
      </c>
      <c r="G132" s="162"/>
      <c r="H132" s="162"/>
      <c r="I132" s="162"/>
      <c r="J132" s="162"/>
      <c r="K132" s="162"/>
      <c r="L132" s="162"/>
      <c r="M132" s="162"/>
      <c r="N132" s="162"/>
      <c r="O132" s="162">
        <f>O159-O163</f>
        <v>-2994</v>
      </c>
      <c r="P132" s="162">
        <f>P159-P163</f>
        <v>-3279</v>
      </c>
      <c r="Q132" s="162">
        <f t="shared" ref="Q132:Z132" si="280">Q159-Q163</f>
        <v>-3741</v>
      </c>
      <c r="R132" s="162">
        <f t="shared" si="280"/>
        <v>-5560</v>
      </c>
      <c r="S132" s="162">
        <f t="shared" si="280"/>
        <v>-6055</v>
      </c>
      <c r="T132" s="162">
        <f t="shared" si="280"/>
        <v>-8010</v>
      </c>
      <c r="U132" s="162">
        <f t="shared" si="280"/>
        <v>-8282</v>
      </c>
      <c r="V132" s="162">
        <f t="shared" si="280"/>
        <v>-9315</v>
      </c>
      <c r="W132" s="162">
        <f t="shared" si="280"/>
        <v>-9537</v>
      </c>
      <c r="X132" s="162">
        <f t="shared" si="280"/>
        <v>-8331</v>
      </c>
      <c r="Y132" s="162">
        <f t="shared" si="280"/>
        <v>-9875</v>
      </c>
      <c r="Z132" s="162">
        <f t="shared" si="280"/>
        <v>-9301</v>
      </c>
      <c r="AA132" s="162">
        <f>AA159-AA163</f>
        <v>-9008</v>
      </c>
      <c r="AB132" s="162">
        <f>AB159-AB163</f>
        <v>-8349</v>
      </c>
      <c r="AC132" s="162">
        <f>AC159-AC163</f>
        <v>-8552</v>
      </c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>
        <v>-19400</v>
      </c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81"/>
      <c r="CO132" s="181"/>
      <c r="CP132" s="162"/>
      <c r="CQ132" s="162"/>
      <c r="CR132" s="162"/>
      <c r="CS132" s="162"/>
      <c r="CT132" s="162"/>
      <c r="CU132" s="162">
        <v>-3745</v>
      </c>
      <c r="CV132" s="162"/>
      <c r="CW132" s="162">
        <v>-8502</v>
      </c>
      <c r="CX132" s="162">
        <f>+AC132</f>
        <v>-8552</v>
      </c>
      <c r="CY132" s="162">
        <f t="shared" ref="CY132:DG132" si="281">CY113+CX132</f>
        <v>-2701.3281704086585</v>
      </c>
      <c r="CZ132" s="162">
        <f t="shared" si="281"/>
        <v>3240.5513270084084</v>
      </c>
      <c r="DA132" s="162">
        <f t="shared" si="281"/>
        <v>11322.138850685293</v>
      </c>
      <c r="DB132" s="162">
        <f t="shared" si="281"/>
        <v>19257.65036400695</v>
      </c>
      <c r="DC132" s="162">
        <f t="shared" si="281"/>
        <v>26884.547822842436</v>
      </c>
      <c r="DD132" s="162">
        <f t="shared" si="281"/>
        <v>34392.851897892193</v>
      </c>
      <c r="DE132" s="162">
        <f t="shared" si="281"/>
        <v>28977.813473738275</v>
      </c>
      <c r="DF132" s="162">
        <f t="shared" si="281"/>
        <v>23562.775049584357</v>
      </c>
      <c r="DG132" s="162">
        <f t="shared" si="281"/>
        <v>23562.775049584357</v>
      </c>
      <c r="DH132" s="162"/>
      <c r="DI132" s="162"/>
      <c r="DJ132" s="162">
        <f>+CA132</f>
        <v>0</v>
      </c>
      <c r="DK132" s="162">
        <f>+DJ132+DK113</f>
        <v>9807.4124999999985</v>
      </c>
      <c r="DL132" s="162">
        <f t="shared" ref="DL132:DW132" si="282">+DK132+DL113</f>
        <v>19615.261218749998</v>
      </c>
      <c r="DM132" s="162">
        <f t="shared" si="282"/>
        <v>29627.906791640624</v>
      </c>
      <c r="DN132" s="162">
        <f t="shared" si="282"/>
        <v>39803.025431852933</v>
      </c>
      <c r="DO132" s="162">
        <f t="shared" si="282"/>
        <v>49768.463944569332</v>
      </c>
      <c r="DP132" s="162">
        <f t="shared" si="282"/>
        <v>58329.13158951146</v>
      </c>
      <c r="DQ132" s="162">
        <f t="shared" si="282"/>
        <v>66870.108266731579</v>
      </c>
      <c r="DR132" s="162">
        <f t="shared" si="282"/>
        <v>75433.944078686167</v>
      </c>
      <c r="DS132" s="162">
        <f t="shared" si="282"/>
        <v>84065.688841231851</v>
      </c>
      <c r="DT132" s="162">
        <f t="shared" si="282"/>
        <v>92464.941825740243</v>
      </c>
      <c r="DU132" s="162">
        <f t="shared" si="282"/>
        <v>100923.63210364425</v>
      </c>
      <c r="DV132" s="162">
        <f t="shared" si="282"/>
        <v>109492.39851966928</v>
      </c>
      <c r="DW132" s="162">
        <f t="shared" si="282"/>
        <v>118196.79476890934</v>
      </c>
    </row>
    <row r="133" spans="2:127" x14ac:dyDescent="0.2">
      <c r="B133" s="65" t="s">
        <v>412</v>
      </c>
      <c r="K133" s="164">
        <v>1.7529999999999999</v>
      </c>
      <c r="L133" s="164">
        <v>1.8295999999999999</v>
      </c>
      <c r="M133" s="164">
        <v>1.8752</v>
      </c>
      <c r="N133" s="164">
        <v>1.9166000000000001</v>
      </c>
      <c r="O133" s="164">
        <v>1.9550000000000001</v>
      </c>
      <c r="P133" s="164">
        <v>1.9861</v>
      </c>
      <c r="Q133" s="164">
        <v>2.0215999999999998</v>
      </c>
      <c r="R133" s="164">
        <v>2.0442</v>
      </c>
      <c r="S133" s="164">
        <v>1.9781</v>
      </c>
      <c r="T133" s="164">
        <v>1.9718</v>
      </c>
      <c r="U133" s="164">
        <v>1.8936999999999999</v>
      </c>
      <c r="V133" s="164">
        <v>1.5699000000000001</v>
      </c>
      <c r="W133" s="164">
        <v>1.4367000000000001</v>
      </c>
      <c r="X133" s="164">
        <v>1.5523</v>
      </c>
      <c r="Y133" s="164">
        <v>1.6454</v>
      </c>
      <c r="Z133" s="164">
        <v>1.6454</v>
      </c>
      <c r="AA133" s="164">
        <v>1.56</v>
      </c>
      <c r="AB133" s="164">
        <v>1.4924999999999999</v>
      </c>
      <c r="AC133" s="164">
        <v>1.5501</v>
      </c>
      <c r="AD133" s="164">
        <v>1.5797000000000001</v>
      </c>
      <c r="AE133" s="164">
        <f>+AD133</f>
        <v>1.5797000000000001</v>
      </c>
      <c r="AF133" s="164">
        <f>+AE133</f>
        <v>1.5797000000000001</v>
      </c>
      <c r="AG133" s="164">
        <f>+AF133</f>
        <v>1.5797000000000001</v>
      </c>
      <c r="AH133" s="164">
        <f>+AG133</f>
        <v>1.5797000000000001</v>
      </c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/>
      <c r="CH133" s="164"/>
      <c r="CI133" s="164"/>
      <c r="CJ133" s="164"/>
      <c r="CK133" s="164"/>
      <c r="CL133" s="164"/>
      <c r="CM133" s="164"/>
      <c r="CV133" s="164">
        <f>AVERAGE(S133:V133)</f>
        <v>1.8533750000000002</v>
      </c>
      <c r="CW133" s="164">
        <f>AVERAGE(W133:Z133)</f>
        <v>1.56995</v>
      </c>
      <c r="CX133" s="152">
        <v>1.65</v>
      </c>
    </row>
    <row r="134" spans="2:127" x14ac:dyDescent="0.2">
      <c r="B134" s="65" t="s">
        <v>581</v>
      </c>
      <c r="G134" s="165">
        <v>-1.44E-2</v>
      </c>
      <c r="H134" s="165">
        <v>-5.2400000000000002E-2</v>
      </c>
      <c r="I134" s="165">
        <v>-1.52E-2</v>
      </c>
      <c r="J134" s="165">
        <v>-2.3400000000000001E-2</v>
      </c>
      <c r="K134" s="165">
        <v>8.2000000000000007E-3</v>
      </c>
      <c r="L134" s="165">
        <v>6.4000000000000001E-2</v>
      </c>
      <c r="M134" s="165">
        <v>1.29E-2</v>
      </c>
      <c r="N134" s="165">
        <v>4.6300000000000001E-2</v>
      </c>
      <c r="O134" s="157">
        <v>4.5999999999999999E-3</v>
      </c>
      <c r="P134" s="157">
        <v>2.0799999999999999E-2</v>
      </c>
      <c r="Q134" s="157">
        <v>1.9199999999999998E-2</v>
      </c>
      <c r="R134" s="157">
        <v>-3.04E-2</v>
      </c>
      <c r="S134" s="157">
        <v>-6.9999999999999999E-4</v>
      </c>
      <c r="T134" s="157">
        <v>4.3E-3</v>
      </c>
      <c r="U134" s="157">
        <v>-0.10630000000000001</v>
      </c>
      <c r="V134" s="157">
        <v>-0.1804</v>
      </c>
      <c r="W134" s="157">
        <v>-1.8499999999999999E-2</v>
      </c>
      <c r="X134" s="157">
        <v>0.14899999999999999</v>
      </c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  <c r="CE134" s="165"/>
      <c r="CF134" s="165"/>
      <c r="CG134" s="165"/>
      <c r="CH134" s="165"/>
      <c r="CI134" s="165"/>
      <c r="CJ134" s="165"/>
      <c r="CK134" s="165"/>
      <c r="CL134" s="165"/>
      <c r="CM134" s="165"/>
    </row>
    <row r="135" spans="2:127" x14ac:dyDescent="0.2">
      <c r="B135" s="65" t="s">
        <v>581</v>
      </c>
      <c r="L135" s="165">
        <f t="shared" ref="L135:U135" si="283">L133/K133-1</f>
        <v>4.3696520250998239E-2</v>
      </c>
      <c r="M135" s="165">
        <f t="shared" si="283"/>
        <v>2.4923480542194953E-2</v>
      </c>
      <c r="N135" s="165">
        <f t="shared" si="283"/>
        <v>2.2077645051194583E-2</v>
      </c>
      <c r="O135" s="157">
        <f t="shared" si="283"/>
        <v>2.003547949493889E-2</v>
      </c>
      <c r="P135" s="157">
        <f t="shared" si="283"/>
        <v>1.5907928388746662E-2</v>
      </c>
      <c r="Q135" s="157">
        <f t="shared" si="283"/>
        <v>1.7874225869795035E-2</v>
      </c>
      <c r="R135" s="157">
        <f t="shared" si="283"/>
        <v>1.1179263949347096E-2</v>
      </c>
      <c r="S135" s="157">
        <f t="shared" si="283"/>
        <v>-3.2335387926817338E-2</v>
      </c>
      <c r="T135" s="157">
        <f t="shared" si="283"/>
        <v>-3.1848743743996266E-3</v>
      </c>
      <c r="U135" s="157">
        <f t="shared" si="283"/>
        <v>-3.9608479561821675E-2</v>
      </c>
      <c r="V135" s="157">
        <f>V133/U133-1</f>
        <v>-0.17098801288482857</v>
      </c>
      <c r="W135" s="157">
        <f t="shared" ref="W135" si="284">W133/V133-1</f>
        <v>-8.4846168545767209E-2</v>
      </c>
      <c r="X135" s="157">
        <f t="shared" ref="X135:AD135" si="285">X133/W133-1</f>
        <v>8.0462170251270226E-2</v>
      </c>
      <c r="Y135" s="157">
        <f t="shared" si="285"/>
        <v>5.9975520195838516E-2</v>
      </c>
      <c r="Z135" s="157">
        <f t="shared" si="285"/>
        <v>0</v>
      </c>
      <c r="AA135" s="157">
        <f t="shared" si="285"/>
        <v>-5.1902273003524901E-2</v>
      </c>
      <c r="AB135" s="157">
        <f t="shared" si="285"/>
        <v>-4.3269230769230838E-2</v>
      </c>
      <c r="AC135" s="157">
        <f t="shared" si="285"/>
        <v>3.8592964824120779E-2</v>
      </c>
      <c r="AD135" s="157">
        <f t="shared" si="285"/>
        <v>1.9095542223082518E-2</v>
      </c>
      <c r="AE135" s="157">
        <f t="shared" ref="AE135:AH135" si="286">AE133/AD133-1</f>
        <v>0</v>
      </c>
      <c r="AF135" s="157">
        <f t="shared" si="286"/>
        <v>0</v>
      </c>
      <c r="AG135" s="157">
        <f t="shared" si="286"/>
        <v>0</v>
      </c>
      <c r="AH135" s="157">
        <f t="shared" si="286"/>
        <v>0</v>
      </c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</row>
    <row r="136" spans="2:127" x14ac:dyDescent="0.2">
      <c r="B136" s="65" t="s">
        <v>582</v>
      </c>
      <c r="O136" s="157">
        <f t="shared" ref="O136:U136" si="287">O133/K133-1</f>
        <v>0.11523103251568756</v>
      </c>
      <c r="P136" s="157">
        <f t="shared" si="287"/>
        <v>8.5537822474857972E-2</v>
      </c>
      <c r="Q136" s="157">
        <f t="shared" si="287"/>
        <v>7.8071672354948829E-2</v>
      </c>
      <c r="R136" s="157">
        <f t="shared" si="287"/>
        <v>6.6576228738390864E-2</v>
      </c>
      <c r="S136" s="157">
        <f t="shared" si="287"/>
        <v>1.1815856777493527E-2</v>
      </c>
      <c r="T136" s="157">
        <f t="shared" si="287"/>
        <v>-7.2000402799455854E-3</v>
      </c>
      <c r="U136" s="157">
        <f t="shared" si="287"/>
        <v>-6.3266719430154272E-2</v>
      </c>
      <c r="V136" s="157">
        <f t="shared" ref="V136:AD136" si="288">V133/R133-1</f>
        <v>-0.23202230701496918</v>
      </c>
      <c r="W136" s="157">
        <f t="shared" si="288"/>
        <v>-0.27369698195237846</v>
      </c>
      <c r="X136" s="157">
        <f t="shared" si="288"/>
        <v>-0.21274977178212795</v>
      </c>
      <c r="Y136" s="157">
        <f t="shared" si="288"/>
        <v>-0.13111897343824253</v>
      </c>
      <c r="Z136" s="157">
        <f t="shared" si="288"/>
        <v>4.8092235174214792E-2</v>
      </c>
      <c r="AA136" s="157">
        <f t="shared" si="288"/>
        <v>8.582167467112134E-2</v>
      </c>
      <c r="AB136" s="157">
        <f t="shared" si="288"/>
        <v>-3.8523481285833938E-2</v>
      </c>
      <c r="AC136" s="157">
        <f t="shared" si="288"/>
        <v>-5.7919047040233318E-2</v>
      </c>
      <c r="AD136" s="157">
        <f t="shared" si="288"/>
        <v>-3.9929500425428421E-2</v>
      </c>
      <c r="AE136" s="157">
        <f t="shared" ref="AE136:AH136" si="289">AE133/AA133-1</f>
        <v>1.2628205128205172E-2</v>
      </c>
      <c r="AF136" s="157">
        <f t="shared" si="289"/>
        <v>5.8425460636515991E-2</v>
      </c>
      <c r="AG136" s="157">
        <f t="shared" si="289"/>
        <v>1.9095542223082518E-2</v>
      </c>
      <c r="AH136" s="157">
        <f t="shared" si="289"/>
        <v>0</v>
      </c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P136" s="165">
        <v>0.10680000000000001</v>
      </c>
      <c r="CQ136" s="165">
        <v>0.10920000000000001</v>
      </c>
      <c r="CR136" s="165">
        <v>7.4099999999999999E-2</v>
      </c>
      <c r="CS136" s="165">
        <v>-0.1017</v>
      </c>
      <c r="CT136" s="165">
        <v>0.13689999999999999</v>
      </c>
      <c r="CU136" s="165">
        <v>1.34E-2</v>
      </c>
      <c r="CV136" s="165">
        <v>-0.26479999999999998</v>
      </c>
      <c r="CW136" s="165">
        <f>CW133/CV133-1</f>
        <v>-0.15292372024010259</v>
      </c>
      <c r="CX136" s="165">
        <f>CX133/CW133-1</f>
        <v>5.0988884996337358E-2</v>
      </c>
    </row>
    <row r="138" spans="2:127" x14ac:dyDescent="0.2">
      <c r="B138" s="65" t="s">
        <v>658</v>
      </c>
      <c r="W138" s="73">
        <v>1169</v>
      </c>
      <c r="X138" s="73">
        <f>2630-W138</f>
        <v>1461</v>
      </c>
      <c r="Y138" s="73">
        <v>1371</v>
      </c>
      <c r="Z138" s="73">
        <v>1668</v>
      </c>
      <c r="AA138" s="73">
        <v>1395</v>
      </c>
      <c r="AB138" s="73">
        <v>-252</v>
      </c>
    </row>
    <row r="139" spans="2:127" x14ac:dyDescent="0.2">
      <c r="B139" s="65" t="s">
        <v>659</v>
      </c>
      <c r="W139" s="73">
        <v>-214</v>
      </c>
      <c r="X139" s="73">
        <f>-599-W139</f>
        <v>-385</v>
      </c>
      <c r="Y139" s="73">
        <v>457</v>
      </c>
      <c r="Z139" s="73">
        <f>-96+19</f>
        <v>-77</v>
      </c>
      <c r="AA139" s="73">
        <v>203</v>
      </c>
      <c r="AB139" s="73">
        <f>-417-2+4</f>
        <v>-415</v>
      </c>
    </row>
    <row r="140" spans="2:127" x14ac:dyDescent="0.2">
      <c r="B140" s="65" t="s">
        <v>660</v>
      </c>
      <c r="W140" s="73">
        <f>17-1</f>
        <v>16</v>
      </c>
      <c r="X140" s="73">
        <f>-9-8-W140</f>
        <v>-33</v>
      </c>
      <c r="Y140" s="73">
        <f>102-1</f>
        <v>101</v>
      </c>
      <c r="Z140" s="73">
        <f>-51-2+1-6</f>
        <v>-58</v>
      </c>
      <c r="AA140" s="73">
        <f>1-13</f>
        <v>-12</v>
      </c>
      <c r="AB140" s="73">
        <f>-47+2-5+3</f>
        <v>-47</v>
      </c>
    </row>
    <row r="141" spans="2:127" x14ac:dyDescent="0.2">
      <c r="B141" s="65" t="s">
        <v>661</v>
      </c>
      <c r="W141" s="73">
        <f>-135+37-3</f>
        <v>-101</v>
      </c>
      <c r="X141" s="73">
        <f>-920+249-6+2-W141</f>
        <v>-574</v>
      </c>
      <c r="Y141" s="73">
        <f>434-102</f>
        <v>332</v>
      </c>
      <c r="Z141" s="73">
        <f>-173+36</f>
        <v>-137</v>
      </c>
      <c r="AA141" s="73">
        <f>-165+53</f>
        <v>-112</v>
      </c>
      <c r="AB141" s="73">
        <f>-389+133</f>
        <v>-256</v>
      </c>
    </row>
    <row r="142" spans="2:127" x14ac:dyDescent="0.2">
      <c r="B142" s="65" t="s">
        <v>662</v>
      </c>
      <c r="W142" s="73">
        <f t="shared" ref="W142:AB142" si="290">SUM(W138:W141)</f>
        <v>870</v>
      </c>
      <c r="X142" s="73">
        <f t="shared" si="290"/>
        <v>469</v>
      </c>
      <c r="Y142" s="73">
        <f t="shared" si="290"/>
        <v>2261</v>
      </c>
      <c r="Z142" s="73">
        <f t="shared" si="290"/>
        <v>1396</v>
      </c>
      <c r="AA142" s="73">
        <f t="shared" si="290"/>
        <v>1474</v>
      </c>
      <c r="AB142" s="73">
        <f t="shared" si="290"/>
        <v>-970</v>
      </c>
    </row>
    <row r="143" spans="2:127" x14ac:dyDescent="0.2">
      <c r="B143" s="65" t="s">
        <v>663</v>
      </c>
      <c r="W143" s="73">
        <v>26</v>
      </c>
      <c r="X143" s="73">
        <v>18</v>
      </c>
      <c r="Y143" s="73">
        <v>44</v>
      </c>
      <c r="Z143" s="73">
        <v>39</v>
      </c>
      <c r="AA143" s="73">
        <v>85</v>
      </c>
      <c r="AB143" s="73">
        <v>51</v>
      </c>
    </row>
    <row r="144" spans="2:127" x14ac:dyDescent="0.2">
      <c r="B144" s="65" t="s">
        <v>664</v>
      </c>
      <c r="W144" s="73">
        <f t="shared" ref="W144:AB144" si="291">W142-W143</f>
        <v>844</v>
      </c>
      <c r="X144" s="73">
        <f t="shared" si="291"/>
        <v>451</v>
      </c>
      <c r="Y144" s="73">
        <f t="shared" si="291"/>
        <v>2217</v>
      </c>
      <c r="Z144" s="73">
        <f t="shared" si="291"/>
        <v>1357</v>
      </c>
      <c r="AA144" s="73">
        <f t="shared" si="291"/>
        <v>1389</v>
      </c>
      <c r="AB144" s="73">
        <f t="shared" si="291"/>
        <v>-1021</v>
      </c>
    </row>
    <row r="145" spans="2:84" x14ac:dyDescent="0.2">
      <c r="B145" s="65" t="s">
        <v>665</v>
      </c>
      <c r="W145" s="73">
        <f t="shared" ref="W145:AB145" si="292">W113</f>
        <v>1333</v>
      </c>
      <c r="X145" s="73">
        <f t="shared" si="292"/>
        <v>1572</v>
      </c>
      <c r="Y145" s="73">
        <f t="shared" si="292"/>
        <v>1444</v>
      </c>
      <c r="Z145" s="73">
        <f t="shared" si="292"/>
        <v>1796</v>
      </c>
      <c r="AA145" s="73">
        <f t="shared" si="292"/>
        <v>1560</v>
      </c>
      <c r="AB145" s="73">
        <f t="shared" si="292"/>
        <v>1700</v>
      </c>
    </row>
    <row r="147" spans="2:84" x14ac:dyDescent="0.2">
      <c r="B147" s="112" t="s">
        <v>1430</v>
      </c>
      <c r="BX147" s="73">
        <f>+BX159-BX163</f>
        <v>-13746</v>
      </c>
      <c r="CE147" s="73">
        <f>+CE159-CE163</f>
        <v>-12343</v>
      </c>
      <c r="CF147" s="73">
        <f>+CF159-CF163</f>
        <v>-12724</v>
      </c>
    </row>
    <row r="149" spans="2:84" x14ac:dyDescent="0.2">
      <c r="B149" s="65" t="s">
        <v>671</v>
      </c>
      <c r="O149" s="73">
        <v>7051</v>
      </c>
      <c r="P149" s="73">
        <v>7215</v>
      </c>
      <c r="Q149" s="73">
        <v>7464</v>
      </c>
      <c r="R149" s="73">
        <v>7821</v>
      </c>
      <c r="S149" s="73">
        <v>8026</v>
      </c>
      <c r="T149" s="73">
        <v>8092</v>
      </c>
      <c r="U149" s="73">
        <v>8395</v>
      </c>
      <c r="V149" s="73">
        <v>9678</v>
      </c>
      <c r="W149" s="73">
        <v>9441</v>
      </c>
      <c r="X149" s="73">
        <v>8875</v>
      </c>
      <c r="Y149" s="73">
        <v>9380</v>
      </c>
      <c r="Z149" s="73">
        <v>9374</v>
      </c>
      <c r="AA149" s="73">
        <f>9532</f>
        <v>9532</v>
      </c>
      <c r="AB149" s="73">
        <v>9180</v>
      </c>
      <c r="AC149" s="73">
        <v>9152</v>
      </c>
      <c r="BX149" s="73">
        <v>8503</v>
      </c>
      <c r="CE149" s="73">
        <v>8952</v>
      </c>
      <c r="CF149" s="73">
        <v>8982</v>
      </c>
    </row>
    <row r="150" spans="2:84" x14ac:dyDescent="0.2">
      <c r="B150" s="65" t="s">
        <v>672</v>
      </c>
      <c r="O150" s="73">
        <f>946+3702</f>
        <v>4648</v>
      </c>
      <c r="P150" s="73">
        <f>956+3688</f>
        <v>4644</v>
      </c>
      <c r="Q150" s="73">
        <f>985+3721</f>
        <v>4706</v>
      </c>
      <c r="R150" s="73">
        <f>1370+4456</f>
        <v>5826</v>
      </c>
      <c r="S150" s="73">
        <f>1372+4492</f>
        <v>5864</v>
      </c>
      <c r="T150" s="73">
        <f>1618+4658</f>
        <v>6276</v>
      </c>
      <c r="U150" s="73">
        <f>1747+4944</f>
        <v>6691</v>
      </c>
      <c r="V150" s="73">
        <f>2101+5869</f>
        <v>7970</v>
      </c>
      <c r="W150" s="73">
        <f>2147+6157</f>
        <v>8304</v>
      </c>
      <c r="X150" s="73">
        <f>2015+5787</f>
        <v>7802</v>
      </c>
      <c r="Y150" s="73">
        <f>3294+7261</f>
        <v>10555</v>
      </c>
      <c r="Z150" s="73">
        <f>3361+8183</f>
        <v>11544</v>
      </c>
      <c r="AA150" s="73">
        <f>3524+8412</f>
        <v>11936</v>
      </c>
      <c r="AB150" s="73">
        <f>3545+8378</f>
        <v>11923</v>
      </c>
      <c r="AC150" s="73">
        <f>3484+8369</f>
        <v>11853</v>
      </c>
      <c r="BX150" s="73">
        <f>650+5906+11371</f>
        <v>17927</v>
      </c>
      <c r="CE150" s="73">
        <f>915+6978+15667</f>
        <v>23560</v>
      </c>
      <c r="CF150" s="73">
        <f>841+6960+15473</f>
        <v>23274</v>
      </c>
    </row>
    <row r="151" spans="2:84" x14ac:dyDescent="0.2">
      <c r="B151" s="65" t="s">
        <v>673</v>
      </c>
      <c r="O151" s="73">
        <v>305</v>
      </c>
      <c r="P151" s="73">
        <v>309</v>
      </c>
      <c r="Q151" s="73">
        <v>313</v>
      </c>
      <c r="R151" s="73">
        <v>329</v>
      </c>
      <c r="S151" s="73">
        <v>328</v>
      </c>
      <c r="T151" s="73">
        <v>346</v>
      </c>
      <c r="U151" s="73">
        <v>445</v>
      </c>
      <c r="V151" s="73">
        <v>552</v>
      </c>
      <c r="W151" s="73">
        <v>499</v>
      </c>
      <c r="X151" s="73">
        <v>448</v>
      </c>
      <c r="Y151" s="73">
        <v>511</v>
      </c>
      <c r="Z151" s="73">
        <v>895</v>
      </c>
      <c r="AA151" s="73">
        <v>965</v>
      </c>
      <c r="AB151" s="73">
        <v>1071</v>
      </c>
      <c r="AC151" s="73">
        <v>1062</v>
      </c>
    </row>
    <row r="152" spans="2:84" x14ac:dyDescent="0.2">
      <c r="B152" s="65" t="s">
        <v>674</v>
      </c>
      <c r="O152" s="73">
        <v>581</v>
      </c>
      <c r="P152" s="73">
        <v>576</v>
      </c>
      <c r="Q152" s="73">
        <v>533</v>
      </c>
      <c r="R152" s="73">
        <v>517</v>
      </c>
      <c r="S152" s="73">
        <v>424</v>
      </c>
      <c r="T152" s="73">
        <v>382</v>
      </c>
      <c r="U152" s="73">
        <v>454</v>
      </c>
      <c r="V152" s="73">
        <v>478</v>
      </c>
      <c r="W152" s="73">
        <v>512</v>
      </c>
      <c r="X152" s="73">
        <v>463</v>
      </c>
      <c r="Y152" s="73">
        <v>558</v>
      </c>
      <c r="Z152" s="73">
        <v>454</v>
      </c>
      <c r="AA152" s="73">
        <v>529</v>
      </c>
      <c r="AB152" s="73">
        <v>495</v>
      </c>
      <c r="AC152" s="73">
        <v>560</v>
      </c>
    </row>
    <row r="153" spans="2:84" x14ac:dyDescent="0.2">
      <c r="B153" s="65" t="s">
        <v>416</v>
      </c>
      <c r="O153" s="73">
        <v>2199</v>
      </c>
      <c r="P153" s="73">
        <v>2173</v>
      </c>
      <c r="Q153" s="73">
        <v>2278</v>
      </c>
      <c r="R153" s="73">
        <v>2196</v>
      </c>
      <c r="S153" s="73">
        <v>2262</v>
      </c>
      <c r="T153" s="73">
        <v>2210</v>
      </c>
      <c r="U153" s="73">
        <v>2439</v>
      </c>
      <c r="V153" s="73">
        <v>2760</v>
      </c>
      <c r="W153" s="73">
        <v>2772</v>
      </c>
      <c r="X153" s="73">
        <v>2570</v>
      </c>
      <c r="Y153" s="73">
        <v>2397</v>
      </c>
      <c r="Z153" s="73">
        <v>2374</v>
      </c>
      <c r="AA153" s="73">
        <v>2492</v>
      </c>
      <c r="AB153" s="73">
        <v>2639</v>
      </c>
      <c r="AC153" s="73">
        <v>2510</v>
      </c>
      <c r="BX153" s="73">
        <f>4952+11</f>
        <v>4963</v>
      </c>
      <c r="CE153" s="73">
        <v>5863</v>
      </c>
      <c r="CF153" s="73">
        <v>6166</v>
      </c>
    </row>
    <row r="154" spans="2:84" x14ac:dyDescent="0.2">
      <c r="B154" s="65" t="s">
        <v>675</v>
      </c>
      <c r="O154" s="73">
        <v>0</v>
      </c>
      <c r="P154" s="73">
        <v>0</v>
      </c>
      <c r="Q154" s="73">
        <v>0</v>
      </c>
      <c r="R154" s="73">
        <v>1</v>
      </c>
      <c r="S154" s="73">
        <v>113</v>
      </c>
      <c r="T154" s="73">
        <v>42</v>
      </c>
      <c r="U154" s="73">
        <v>17</v>
      </c>
      <c r="V154" s="73">
        <v>107</v>
      </c>
      <c r="W154" s="73">
        <v>112</v>
      </c>
      <c r="X154" s="73">
        <v>61</v>
      </c>
      <c r="Y154" s="73">
        <v>89</v>
      </c>
      <c r="Z154" s="73">
        <v>68</v>
      </c>
      <c r="AA154" s="73">
        <f>94+87</f>
        <v>181</v>
      </c>
      <c r="AB154" s="73">
        <v>106</v>
      </c>
      <c r="AC154" s="73">
        <v>125</v>
      </c>
    </row>
    <row r="155" spans="2:84" x14ac:dyDescent="0.2">
      <c r="B155" s="65" t="s">
        <v>676</v>
      </c>
      <c r="O155" s="73">
        <v>735</v>
      </c>
      <c r="P155" s="73">
        <v>939</v>
      </c>
      <c r="Q155" s="73">
        <v>994</v>
      </c>
      <c r="R155" s="73">
        <v>687</v>
      </c>
      <c r="S155" s="73">
        <v>806</v>
      </c>
      <c r="T155" s="73">
        <v>495</v>
      </c>
      <c r="U155" s="73">
        <v>465</v>
      </c>
      <c r="V155" s="73">
        <v>579</v>
      </c>
      <c r="W155" s="73">
        <v>560</v>
      </c>
      <c r="X155" s="73">
        <v>493</v>
      </c>
      <c r="Y155" s="73">
        <v>616</v>
      </c>
      <c r="Z155" s="73">
        <v>583</v>
      </c>
      <c r="AA155" s="73">
        <v>653</v>
      </c>
      <c r="AB155" s="73">
        <v>560</v>
      </c>
      <c r="AC155" s="73">
        <v>593</v>
      </c>
      <c r="BX155" s="73">
        <v>1736</v>
      </c>
      <c r="CE155" s="73">
        <v>1654</v>
      </c>
      <c r="CF155" s="73">
        <v>1728</v>
      </c>
    </row>
    <row r="156" spans="2:84" x14ac:dyDescent="0.2">
      <c r="B156" s="65" t="s">
        <v>677</v>
      </c>
      <c r="O156" s="73">
        <v>2554</v>
      </c>
      <c r="P156" s="73">
        <v>2758</v>
      </c>
      <c r="Q156" s="73">
        <v>2965</v>
      </c>
      <c r="R156" s="73">
        <v>3062</v>
      </c>
      <c r="S156" s="73">
        <v>3314</v>
      </c>
      <c r="T156" s="73">
        <v>3525</v>
      </c>
      <c r="U156" s="73">
        <v>3515</v>
      </c>
      <c r="V156" s="73">
        <v>4056</v>
      </c>
      <c r="W156" s="73">
        <v>4107</v>
      </c>
      <c r="X156" s="73">
        <v>3910</v>
      </c>
      <c r="Y156" s="73">
        <v>4193</v>
      </c>
      <c r="Z156" s="73">
        <v>4064</v>
      </c>
      <c r="AA156" s="73">
        <v>4157</v>
      </c>
      <c r="AB156" s="73">
        <v>4070</v>
      </c>
      <c r="AC156" s="73">
        <v>4074</v>
      </c>
      <c r="BX156" s="73">
        <v>4664</v>
      </c>
      <c r="CE156" s="73">
        <v>5702</v>
      </c>
      <c r="CF156" s="73">
        <v>5859</v>
      </c>
    </row>
    <row r="157" spans="2:84" x14ac:dyDescent="0.2">
      <c r="B157" s="65" t="s">
        <v>678</v>
      </c>
      <c r="O157" s="73">
        <v>90</v>
      </c>
      <c r="P157" s="73">
        <v>68</v>
      </c>
      <c r="Q157" s="73">
        <v>159</v>
      </c>
      <c r="R157" s="73">
        <v>58</v>
      </c>
      <c r="S157" s="73">
        <v>45</v>
      </c>
      <c r="T157" s="73">
        <v>49</v>
      </c>
      <c r="U157" s="73">
        <v>50</v>
      </c>
      <c r="V157" s="73">
        <v>76</v>
      </c>
      <c r="W157" s="73">
        <v>95</v>
      </c>
      <c r="X157" s="73">
        <v>55</v>
      </c>
      <c r="Y157" s="73">
        <v>52</v>
      </c>
      <c r="Z157" s="73">
        <v>58</v>
      </c>
      <c r="AA157" s="73">
        <v>52</v>
      </c>
      <c r="AB157" s="73">
        <v>42</v>
      </c>
      <c r="AC157" s="73">
        <v>48</v>
      </c>
      <c r="BX157" s="73">
        <v>413</v>
      </c>
      <c r="CE157" s="73">
        <v>460</v>
      </c>
      <c r="CF157" s="73">
        <v>519</v>
      </c>
    </row>
    <row r="158" spans="2:84" x14ac:dyDescent="0.2">
      <c r="B158" s="65" t="s">
        <v>679</v>
      </c>
      <c r="O158" s="73">
        <v>5216</v>
      </c>
      <c r="P158" s="73">
        <v>5229</v>
      </c>
      <c r="Q158" s="73">
        <v>5119</v>
      </c>
      <c r="R158" s="73">
        <v>5495</v>
      </c>
      <c r="S158" s="73">
        <v>5316</v>
      </c>
      <c r="T158" s="73">
        <v>5392</v>
      </c>
      <c r="U158" s="73">
        <v>5483</v>
      </c>
      <c r="V158" s="73">
        <v>6265</v>
      </c>
      <c r="W158" s="73">
        <v>5920</v>
      </c>
      <c r="X158" s="73">
        <v>5363</v>
      </c>
      <c r="Y158" s="73">
        <v>6050</v>
      </c>
      <c r="Z158" s="73">
        <v>6492</v>
      </c>
      <c r="AA158" s="73">
        <v>6814</v>
      </c>
      <c r="AB158" s="73">
        <v>6015</v>
      </c>
      <c r="AC158" s="73">
        <v>5986</v>
      </c>
      <c r="BX158" s="73">
        <v>6457</v>
      </c>
      <c r="CE158" s="73">
        <v>6831</v>
      </c>
      <c r="CF158" s="73">
        <v>7259</v>
      </c>
    </row>
    <row r="159" spans="2:84" x14ac:dyDescent="0.2">
      <c r="B159" s="65" t="s">
        <v>377</v>
      </c>
      <c r="O159" s="73">
        <f>1009+1981+7</f>
        <v>2997</v>
      </c>
      <c r="P159" s="73">
        <f>1022+1894+3</f>
        <v>2919</v>
      </c>
      <c r="Q159" s="73">
        <f>1084+2050+4</f>
        <v>3138</v>
      </c>
      <c r="R159" s="73">
        <f>475+1153+3379+4</f>
        <v>5011</v>
      </c>
      <c r="S159" s="73">
        <f>2147+3+1225+483</f>
        <v>3858</v>
      </c>
      <c r="T159" s="73">
        <f>329+393+4988+3</f>
        <v>5713</v>
      </c>
      <c r="U159" s="73">
        <f>349+401+5148+8</f>
        <v>5906</v>
      </c>
      <c r="V159" s="73">
        <f>856+391+5623+2</f>
        <v>6872</v>
      </c>
      <c r="W159" s="73">
        <f>258+364+6221+2</f>
        <v>6845</v>
      </c>
      <c r="X159" s="73">
        <f>283+290+2+5346</f>
        <v>5921</v>
      </c>
      <c r="Y159" s="73">
        <f>288+274+6467+17</f>
        <v>7046</v>
      </c>
      <c r="Z159" s="73">
        <f>129+268+6545+14</f>
        <v>6956</v>
      </c>
      <c r="AA159" s="73">
        <f>254+6964+28</f>
        <v>7246</v>
      </c>
      <c r="AB159" s="73">
        <f>225+134+6574+19</f>
        <v>6952</v>
      </c>
      <c r="AC159" s="73">
        <f>215+216+6229+25</f>
        <v>6685</v>
      </c>
      <c r="BX159" s="73">
        <f>6465+67+105+77+1651</f>
        <v>8365</v>
      </c>
      <c r="CE159" s="73">
        <f>1284+21+2790+46+1231+57</f>
        <v>5429</v>
      </c>
      <c r="CF159" s="73">
        <f>84+21+2962+53+1099</f>
        <v>4219</v>
      </c>
    </row>
    <row r="160" spans="2:84" x14ac:dyDescent="0.2">
      <c r="B160" s="112" t="s">
        <v>1429</v>
      </c>
      <c r="BX160" s="73">
        <v>36017</v>
      </c>
      <c r="CE160" s="73">
        <v>60</v>
      </c>
      <c r="CF160" s="73">
        <v>60</v>
      </c>
    </row>
    <row r="161" spans="2:84" x14ac:dyDescent="0.2">
      <c r="B161" s="65" t="s">
        <v>680</v>
      </c>
      <c r="O161" s="73">
        <f t="shared" ref="O161:AC161" si="293">SUM(O149:O159)</f>
        <v>26376</v>
      </c>
      <c r="P161" s="73">
        <f t="shared" si="293"/>
        <v>26830</v>
      </c>
      <c r="Q161" s="73">
        <f t="shared" si="293"/>
        <v>27669</v>
      </c>
      <c r="R161" s="73">
        <f t="shared" si="293"/>
        <v>31003</v>
      </c>
      <c r="S161" s="73">
        <f t="shared" si="293"/>
        <v>30356</v>
      </c>
      <c r="T161" s="73">
        <f t="shared" si="293"/>
        <v>32522</v>
      </c>
      <c r="U161" s="73">
        <f t="shared" si="293"/>
        <v>33860</v>
      </c>
      <c r="V161" s="73">
        <f t="shared" si="293"/>
        <v>39393</v>
      </c>
      <c r="W161" s="73">
        <f t="shared" si="293"/>
        <v>39167</v>
      </c>
      <c r="X161" s="73">
        <f t="shared" si="293"/>
        <v>35961</v>
      </c>
      <c r="Y161" s="73">
        <f t="shared" si="293"/>
        <v>41447</v>
      </c>
      <c r="Z161" s="73">
        <f t="shared" si="293"/>
        <v>42862</v>
      </c>
      <c r="AA161" s="73">
        <f t="shared" si="293"/>
        <v>44557</v>
      </c>
      <c r="AB161" s="73">
        <f t="shared" si="293"/>
        <v>43053</v>
      </c>
      <c r="AC161" s="73">
        <f t="shared" si="293"/>
        <v>42648</v>
      </c>
      <c r="BX161" s="73">
        <f>SUM(BX149:BX160)</f>
        <v>89045</v>
      </c>
      <c r="CE161" s="73">
        <f>SUM(CE149:CE160)</f>
        <v>58511</v>
      </c>
      <c r="CF161" s="73">
        <f>SUM(CF149:CF160)</f>
        <v>58066</v>
      </c>
    </row>
    <row r="163" spans="2:84" x14ac:dyDescent="0.2">
      <c r="B163" s="65" t="s">
        <v>681</v>
      </c>
      <c r="O163" s="73">
        <f>1205+4786</f>
        <v>5991</v>
      </c>
      <c r="P163" s="73">
        <f>1175+5023</f>
        <v>6198</v>
      </c>
      <c r="Q163" s="73">
        <f>1994+4885</f>
        <v>6879</v>
      </c>
      <c r="R163" s="73">
        <f>3504+7067</f>
        <v>10571</v>
      </c>
      <c r="S163" s="73">
        <f>1799+8114</f>
        <v>9913</v>
      </c>
      <c r="T163" s="73">
        <f>1157+12566</f>
        <v>13723</v>
      </c>
      <c r="U163" s="73">
        <f>1387+12801</f>
        <v>14188</v>
      </c>
      <c r="V163" s="73">
        <f>956+15231</f>
        <v>16187</v>
      </c>
      <c r="W163" s="73">
        <f>1276+15106</f>
        <v>16382</v>
      </c>
      <c r="X163" s="73">
        <f>1185+13067</f>
        <v>14252</v>
      </c>
      <c r="Y163" s="73">
        <f>1886+15035</f>
        <v>16921</v>
      </c>
      <c r="Z163" s="73">
        <f>1471+14786</f>
        <v>16257</v>
      </c>
      <c r="AA163" s="73">
        <f>1034+15220</f>
        <v>16254</v>
      </c>
      <c r="AB163" s="73">
        <f>453+14848</f>
        <v>15301</v>
      </c>
      <c r="AC163" s="73">
        <f>386+14851</f>
        <v>15237</v>
      </c>
      <c r="BX163" s="73">
        <f>3327+18784</f>
        <v>22111</v>
      </c>
      <c r="CE163" s="73">
        <f>2616+15156</f>
        <v>17772</v>
      </c>
      <c r="CF163" s="73">
        <f>3366+13577</f>
        <v>16943</v>
      </c>
    </row>
    <row r="164" spans="2:84" x14ac:dyDescent="0.2">
      <c r="B164" s="65" t="s">
        <v>682</v>
      </c>
      <c r="O164" s="73">
        <v>4583</v>
      </c>
      <c r="P164" s="73">
        <v>4516</v>
      </c>
      <c r="Q164" s="73">
        <v>5217</v>
      </c>
      <c r="R164" s="73">
        <v>4861</v>
      </c>
      <c r="S164" s="73">
        <v>5329</v>
      </c>
      <c r="T164" s="73">
        <v>5312</v>
      </c>
      <c r="U164" s="73">
        <v>5143</v>
      </c>
      <c r="V164" s="73">
        <v>6075</v>
      </c>
      <c r="W164" s="73">
        <v>5752</v>
      </c>
      <c r="X164" s="73">
        <v>5161</v>
      </c>
      <c r="Y164" s="73">
        <v>6084</v>
      </c>
      <c r="Z164" s="73">
        <v>6772</v>
      </c>
      <c r="AA164" s="73">
        <v>6796</v>
      </c>
      <c r="AB164" s="73">
        <v>6568</v>
      </c>
      <c r="AC164" s="73">
        <v>6806</v>
      </c>
      <c r="CE164" s="73">
        <v>14621</v>
      </c>
      <c r="CF164" s="73">
        <v>14245</v>
      </c>
    </row>
    <row r="165" spans="2:84" x14ac:dyDescent="0.2">
      <c r="B165" s="65" t="s">
        <v>675</v>
      </c>
      <c r="O165" s="73">
        <v>0</v>
      </c>
      <c r="P165" s="73">
        <v>0</v>
      </c>
      <c r="Q165" s="73">
        <v>0</v>
      </c>
      <c r="R165" s="73">
        <v>262</v>
      </c>
      <c r="S165" s="73">
        <v>244</v>
      </c>
      <c r="T165" s="73">
        <v>137</v>
      </c>
      <c r="U165" s="73">
        <v>195</v>
      </c>
      <c r="V165" s="73">
        <v>752</v>
      </c>
      <c r="W165" s="73">
        <v>254</v>
      </c>
      <c r="X165" s="73">
        <v>400</v>
      </c>
      <c r="Y165" s="73">
        <v>241</v>
      </c>
      <c r="Z165" s="73">
        <v>168</v>
      </c>
      <c r="AA165" s="73">
        <f>127+667+6</f>
        <v>800</v>
      </c>
      <c r="AB165" s="73">
        <v>209</v>
      </c>
      <c r="AC165" s="73">
        <f>231+7</f>
        <v>238</v>
      </c>
      <c r="CE165" s="73">
        <v>69</v>
      </c>
      <c r="CF165" s="73">
        <v>103</v>
      </c>
    </row>
    <row r="166" spans="2:84" x14ac:dyDescent="0.2">
      <c r="B166" s="65" t="s">
        <v>416</v>
      </c>
      <c r="O166" s="73">
        <f>914+739</f>
        <v>1653</v>
      </c>
      <c r="P166" s="73">
        <f>783+917</f>
        <v>1700</v>
      </c>
      <c r="Q166" s="73">
        <f>1217+831</f>
        <v>2048</v>
      </c>
      <c r="R166" s="73">
        <f>826+887</f>
        <v>1713</v>
      </c>
      <c r="S166" s="73">
        <f>1056+989</f>
        <v>2045</v>
      </c>
      <c r="T166" s="73">
        <f>841+762</f>
        <v>1603</v>
      </c>
      <c r="U166" s="73">
        <f>1058+652</f>
        <v>1710</v>
      </c>
      <c r="V166" s="73">
        <f>780+714</f>
        <v>1494</v>
      </c>
      <c r="W166" s="73">
        <v>948</v>
      </c>
      <c r="X166" s="73">
        <f>875+497</f>
        <v>1372</v>
      </c>
      <c r="Y166" s="73">
        <f>1179+691</f>
        <v>1870</v>
      </c>
      <c r="Z166" s="73">
        <f>1451+645</f>
        <v>2096</v>
      </c>
      <c r="AA166" s="73">
        <v>1716</v>
      </c>
      <c r="AB166" s="73">
        <f>1347+668</f>
        <v>2015</v>
      </c>
      <c r="AC166" s="73">
        <f>1172+706</f>
        <v>1878</v>
      </c>
      <c r="CE166" s="73">
        <f>76+720+288</f>
        <v>1084</v>
      </c>
      <c r="CF166" s="73">
        <f>731+290+104</f>
        <v>1125</v>
      </c>
    </row>
    <row r="167" spans="2:84" x14ac:dyDescent="0.2">
      <c r="B167" s="65" t="s">
        <v>683</v>
      </c>
      <c r="O167" s="73">
        <v>740</v>
      </c>
      <c r="P167" s="73">
        <v>733</v>
      </c>
      <c r="Q167" s="73">
        <v>601</v>
      </c>
      <c r="R167" s="73">
        <v>892</v>
      </c>
      <c r="S167" s="73">
        <v>851</v>
      </c>
      <c r="T167" s="73">
        <v>819</v>
      </c>
      <c r="U167" s="73">
        <v>1015</v>
      </c>
      <c r="V167" s="73">
        <v>1454</v>
      </c>
      <c r="W167" s="73">
        <f>1516+717</f>
        <v>2233</v>
      </c>
      <c r="X167" s="73">
        <v>1413</v>
      </c>
      <c r="Y167" s="73">
        <v>1730</v>
      </c>
      <c r="Z167" s="73">
        <v>2256</v>
      </c>
      <c r="AA167" s="73">
        <f>2480+1191</f>
        <v>3671</v>
      </c>
      <c r="AB167" s="73">
        <f>3425+1618</f>
        <v>5043</v>
      </c>
      <c r="AC167" s="73">
        <f>2648+1263</f>
        <v>3911</v>
      </c>
      <c r="CE167" s="73">
        <f>510+726</f>
        <v>1236</v>
      </c>
      <c r="CF167" s="73">
        <f>805+567</f>
        <v>1372</v>
      </c>
    </row>
    <row r="168" spans="2:84" x14ac:dyDescent="0.2">
      <c r="B168" s="65" t="s">
        <v>684</v>
      </c>
      <c r="O168" s="73">
        <f>2033</f>
        <v>2033</v>
      </c>
      <c r="P168" s="73">
        <v>1422</v>
      </c>
      <c r="Q168" s="73">
        <v>1331</v>
      </c>
      <c r="R168" s="73">
        <v>1383</v>
      </c>
      <c r="S168" s="73">
        <v>1326</v>
      </c>
      <c r="T168" s="73">
        <v>1756</v>
      </c>
      <c r="U168" s="73">
        <v>2312</v>
      </c>
      <c r="V168" s="73">
        <v>3039</v>
      </c>
      <c r="W168" s="73">
        <v>3227</v>
      </c>
      <c r="X168" s="73">
        <v>3664</v>
      </c>
      <c r="Y168" s="73">
        <v>3335</v>
      </c>
      <c r="Z168" s="73">
        <v>2981</v>
      </c>
      <c r="AA168" s="73">
        <v>3280</v>
      </c>
      <c r="AB168" s="73">
        <v>3773</v>
      </c>
      <c r="AC168" s="73">
        <v>3385</v>
      </c>
      <c r="CE168" s="73">
        <v>2306</v>
      </c>
      <c r="CF168" s="73">
        <v>2243</v>
      </c>
    </row>
    <row r="169" spans="2:84" x14ac:dyDescent="0.2">
      <c r="B169" s="112" t="s">
        <v>1499</v>
      </c>
      <c r="CE169" s="73">
        <f>5981+1094</f>
        <v>7075</v>
      </c>
      <c r="CF169" s="73">
        <f>1095+6043</f>
        <v>7138</v>
      </c>
    </row>
    <row r="170" spans="2:84" x14ac:dyDescent="0.2">
      <c r="B170" s="65" t="s">
        <v>685</v>
      </c>
      <c r="O170" s="73">
        <f>817+397</f>
        <v>1214</v>
      </c>
      <c r="P170" s="73">
        <f>813+407</f>
        <v>1220</v>
      </c>
      <c r="Q170" s="73">
        <f>1002+429</f>
        <v>1431</v>
      </c>
      <c r="R170" s="73">
        <f>1035+8+368</f>
        <v>1411</v>
      </c>
      <c r="S170" s="73">
        <f>1084+354</f>
        <v>1438</v>
      </c>
      <c r="T170" s="73">
        <f>1100+2+363</f>
        <v>1465</v>
      </c>
      <c r="U170" s="73">
        <f>1129+371</f>
        <v>1500</v>
      </c>
      <c r="V170" s="73">
        <f>1645+2+427</f>
        <v>2074</v>
      </c>
      <c r="W170" s="73">
        <f>1529+2+406</f>
        <v>1937</v>
      </c>
      <c r="X170" s="73">
        <f>1276+392</f>
        <v>1668</v>
      </c>
      <c r="Y170" s="73">
        <f>1187+445</f>
        <v>1632</v>
      </c>
      <c r="Z170" s="73">
        <f>985+605</f>
        <v>1590</v>
      </c>
      <c r="AA170" s="73">
        <v>614</v>
      </c>
      <c r="AB170" s="73">
        <f>594+6</f>
        <v>600</v>
      </c>
      <c r="AC170" s="73">
        <v>580</v>
      </c>
      <c r="CE170" s="73">
        <v>1119</v>
      </c>
      <c r="CF170" s="73">
        <v>1127</v>
      </c>
    </row>
    <row r="171" spans="2:84" x14ac:dyDescent="0.2">
      <c r="B171" s="65" t="s">
        <v>686</v>
      </c>
      <c r="O171" s="73">
        <f t="shared" ref="O171:AB171" si="294">SUM(O163:O170)</f>
        <v>16214</v>
      </c>
      <c r="P171" s="73">
        <f t="shared" si="294"/>
        <v>15789</v>
      </c>
      <c r="Q171" s="73">
        <f t="shared" si="294"/>
        <v>17507</v>
      </c>
      <c r="R171" s="73">
        <f t="shared" si="294"/>
        <v>21093</v>
      </c>
      <c r="S171" s="73">
        <f t="shared" si="294"/>
        <v>21146</v>
      </c>
      <c r="T171" s="73">
        <f t="shared" si="294"/>
        <v>24815</v>
      </c>
      <c r="U171" s="73">
        <f t="shared" si="294"/>
        <v>26063</v>
      </c>
      <c r="V171" s="73">
        <f t="shared" si="294"/>
        <v>31075</v>
      </c>
      <c r="W171" s="73">
        <f t="shared" si="294"/>
        <v>30733</v>
      </c>
      <c r="X171" s="73">
        <f t="shared" si="294"/>
        <v>27930</v>
      </c>
      <c r="Y171" s="73">
        <f t="shared" si="294"/>
        <v>31813</v>
      </c>
      <c r="Z171" s="73">
        <f t="shared" si="294"/>
        <v>32120</v>
      </c>
      <c r="AA171" s="73">
        <f t="shared" si="294"/>
        <v>33131</v>
      </c>
      <c r="AB171" s="73">
        <f t="shared" si="294"/>
        <v>33509</v>
      </c>
      <c r="AC171" s="73">
        <f>SUM(AC163:AC170)</f>
        <v>32035</v>
      </c>
      <c r="CE171" s="73">
        <f>SUM(CE163:CE170)</f>
        <v>45282</v>
      </c>
      <c r="CF171" s="73">
        <f>SUM(CF163:CF170)</f>
        <v>44296</v>
      </c>
    </row>
    <row r="172" spans="2:84" x14ac:dyDescent="0.2">
      <c r="B172" s="65" t="s">
        <v>687</v>
      </c>
      <c r="O172" s="73">
        <v>9935</v>
      </c>
      <c r="P172" s="73">
        <v>10796</v>
      </c>
      <c r="Q172" s="73">
        <v>9879</v>
      </c>
      <c r="R172" s="73">
        <v>9603</v>
      </c>
      <c r="S172" s="73">
        <v>8916</v>
      </c>
      <c r="T172" s="73">
        <v>7438</v>
      </c>
      <c r="U172" s="73">
        <v>7486</v>
      </c>
      <c r="V172" s="73">
        <v>7931</v>
      </c>
      <c r="W172" s="73">
        <v>8062</v>
      </c>
      <c r="X172" s="73">
        <v>7717</v>
      </c>
      <c r="Y172" s="73">
        <v>9280</v>
      </c>
      <c r="Z172" s="73">
        <v>10005</v>
      </c>
      <c r="AA172" s="73">
        <v>10670</v>
      </c>
      <c r="AB172" s="73">
        <v>8769</v>
      </c>
      <c r="AC172" s="73">
        <v>9809</v>
      </c>
      <c r="CE172" s="73">
        <v>13840</v>
      </c>
      <c r="CF172" s="73">
        <v>14372</v>
      </c>
    </row>
    <row r="173" spans="2:84" x14ac:dyDescent="0.2">
      <c r="B173" s="65" t="s">
        <v>688</v>
      </c>
      <c r="O173" s="73">
        <v>227</v>
      </c>
      <c r="P173" s="73">
        <v>245</v>
      </c>
      <c r="Q173" s="73">
        <v>283</v>
      </c>
      <c r="R173" s="73">
        <v>307</v>
      </c>
      <c r="S173" s="73">
        <v>294</v>
      </c>
      <c r="T173" s="73">
        <v>269</v>
      </c>
      <c r="U173" s="73">
        <v>311</v>
      </c>
      <c r="V173" s="73">
        <v>387</v>
      </c>
      <c r="W173" s="73">
        <v>372</v>
      </c>
      <c r="X173" s="73">
        <v>314</v>
      </c>
      <c r="Y173" s="73">
        <v>354</v>
      </c>
      <c r="Z173" s="73">
        <v>737</v>
      </c>
      <c r="AA173" s="73">
        <v>756</v>
      </c>
      <c r="AB173" s="73">
        <v>775</v>
      </c>
      <c r="AC173" s="73">
        <v>804</v>
      </c>
      <c r="CE173" s="73">
        <v>-611</v>
      </c>
      <c r="CF173" s="73">
        <v>-602</v>
      </c>
    </row>
    <row r="174" spans="2:84" x14ac:dyDescent="0.2">
      <c r="B174" s="65" t="s">
        <v>689</v>
      </c>
      <c r="O174" s="73">
        <f t="shared" ref="O174:AB174" si="295">SUM(O171:O173)</f>
        <v>26376</v>
      </c>
      <c r="P174" s="73">
        <f t="shared" si="295"/>
        <v>26830</v>
      </c>
      <c r="Q174" s="73">
        <f t="shared" si="295"/>
        <v>27669</v>
      </c>
      <c r="R174" s="73">
        <f t="shared" si="295"/>
        <v>31003</v>
      </c>
      <c r="S174" s="73">
        <f t="shared" si="295"/>
        <v>30356</v>
      </c>
      <c r="T174" s="73">
        <f t="shared" si="295"/>
        <v>32522</v>
      </c>
      <c r="U174" s="73">
        <f t="shared" si="295"/>
        <v>33860</v>
      </c>
      <c r="V174" s="73">
        <f t="shared" si="295"/>
        <v>39393</v>
      </c>
      <c r="W174" s="73">
        <f t="shared" si="295"/>
        <v>39167</v>
      </c>
      <c r="X174" s="73">
        <f t="shared" si="295"/>
        <v>35961</v>
      </c>
      <c r="Y174" s="73">
        <f t="shared" si="295"/>
        <v>41447</v>
      </c>
      <c r="Z174" s="73">
        <f t="shared" si="295"/>
        <v>42862</v>
      </c>
      <c r="AA174" s="73">
        <f t="shared" si="295"/>
        <v>44557</v>
      </c>
      <c r="AB174" s="73">
        <f t="shared" si="295"/>
        <v>43053</v>
      </c>
      <c r="AC174" s="73">
        <f>SUM(AC171:AC173)</f>
        <v>42648</v>
      </c>
      <c r="CE174" s="73">
        <f>SUM(CE171:CE173)</f>
        <v>58511</v>
      </c>
      <c r="CF174" s="73">
        <f>SUM(CF171:CF173)</f>
        <v>58066</v>
      </c>
    </row>
    <row r="176" spans="2:84" x14ac:dyDescent="0.2">
      <c r="B176" s="65" t="s">
        <v>690</v>
      </c>
      <c r="W176" s="73">
        <v>1169</v>
      </c>
      <c r="X176" s="73">
        <f>2630-W176</f>
        <v>1461</v>
      </c>
      <c r="Y176" s="73">
        <f>4001-X176-W176</f>
        <v>1371</v>
      </c>
      <c r="Z176" s="73">
        <f>5669-Y176-X176-W176</f>
        <v>1668</v>
      </c>
      <c r="AA176" s="73">
        <f>AA138</f>
        <v>1395</v>
      </c>
      <c r="AB176" s="73">
        <f>1143-AA176</f>
        <v>-252</v>
      </c>
      <c r="AC176" s="73">
        <f>2486-AB176-AA176</f>
        <v>1343</v>
      </c>
      <c r="CE176" s="73">
        <v>1081</v>
      </c>
    </row>
    <row r="177" spans="2:109" x14ac:dyDescent="0.2">
      <c r="B177" s="65" t="s">
        <v>416</v>
      </c>
      <c r="W177" s="73">
        <v>497</v>
      </c>
      <c r="X177" s="73">
        <f>1098-W177</f>
        <v>601</v>
      </c>
      <c r="Y177" s="73">
        <f>1640-X177-W177</f>
        <v>542</v>
      </c>
      <c r="Z177" s="73">
        <f>2222-Y177-X177-W177</f>
        <v>582</v>
      </c>
      <c r="AA177" s="73">
        <v>536</v>
      </c>
      <c r="AB177" s="73">
        <f>691-AA177</f>
        <v>155</v>
      </c>
      <c r="AC177" s="73">
        <f>1147-AB177-AA177</f>
        <v>456</v>
      </c>
      <c r="CE177" s="73">
        <v>274</v>
      </c>
    </row>
    <row r="178" spans="2:109" x14ac:dyDescent="0.2">
      <c r="B178" s="65" t="s">
        <v>691</v>
      </c>
      <c r="W178" s="73">
        <f>-14-115</f>
        <v>-129</v>
      </c>
      <c r="X178" s="73">
        <f>-31-115-W178</f>
        <v>-17</v>
      </c>
      <c r="Y178" s="73">
        <f>-53-115-X178-W178</f>
        <v>-22</v>
      </c>
      <c r="Z178" s="73">
        <f>-64-115-Y178-X178-W178</f>
        <v>-11</v>
      </c>
      <c r="AA178" s="73">
        <v>-25</v>
      </c>
      <c r="AB178" s="73">
        <f>-47-AA178</f>
        <v>-22</v>
      </c>
      <c r="AC178" s="73">
        <f>-63-AB178-AA178</f>
        <v>-16</v>
      </c>
      <c r="CE178" s="73">
        <v>1</v>
      </c>
    </row>
    <row r="179" spans="2:109" x14ac:dyDescent="0.2">
      <c r="B179" s="65" t="s">
        <v>692</v>
      </c>
      <c r="W179" s="73">
        <v>175</v>
      </c>
      <c r="X179" s="73">
        <f>325-W179</f>
        <v>150</v>
      </c>
      <c r="Y179" s="73">
        <f>505-X179-W179</f>
        <v>180</v>
      </c>
      <c r="Z179" s="73">
        <f>713-Y179-X179-W179</f>
        <v>208</v>
      </c>
      <c r="AA179" s="73">
        <v>188</v>
      </c>
      <c r="AB179" s="73">
        <f>358-AA179</f>
        <v>170</v>
      </c>
      <c r="AC179" s="73">
        <f>533-AB179-AA179</f>
        <v>175</v>
      </c>
      <c r="CE179" s="73">
        <v>134</v>
      </c>
    </row>
    <row r="180" spans="2:109" x14ac:dyDescent="0.2">
      <c r="B180" s="65" t="s">
        <v>693</v>
      </c>
      <c r="W180" s="73">
        <v>603</v>
      </c>
      <c r="X180" s="73">
        <f>767-W180</f>
        <v>164</v>
      </c>
      <c r="Y180" s="73">
        <f>1248-X180-W180</f>
        <v>481</v>
      </c>
      <c r="Z180" s="73">
        <f>1271-Y180-X180-W180</f>
        <v>23</v>
      </c>
      <c r="AA180" s="73">
        <v>466</v>
      </c>
      <c r="AB180" s="73">
        <f>928-AA180</f>
        <v>462</v>
      </c>
      <c r="AC180" s="73">
        <f>1494-AB180-AA180</f>
        <v>566</v>
      </c>
      <c r="CE180" s="73">
        <v>549</v>
      </c>
    </row>
    <row r="181" spans="2:109" x14ac:dyDescent="0.2">
      <c r="B181" s="65" t="s">
        <v>694</v>
      </c>
      <c r="W181" s="73">
        <v>22</v>
      </c>
      <c r="X181" s="73">
        <f>228-W181</f>
        <v>206</v>
      </c>
      <c r="Y181" s="73">
        <f>-51-X181-W181</f>
        <v>-279</v>
      </c>
      <c r="Z181" s="73">
        <f>-106-Y181-X181-W181</f>
        <v>-55</v>
      </c>
      <c r="AA181" s="73">
        <v>-277</v>
      </c>
      <c r="AB181" s="73">
        <f>464-AA181</f>
        <v>741</v>
      </c>
      <c r="AC181" s="73">
        <f>555-AB181-AA181</f>
        <v>91</v>
      </c>
      <c r="CE181" s="73">
        <v>-311</v>
      </c>
    </row>
    <row r="182" spans="2:109" x14ac:dyDescent="0.2">
      <c r="B182" s="112" t="s">
        <v>1499</v>
      </c>
      <c r="CE182" s="73">
        <v>-296</v>
      </c>
    </row>
    <row r="183" spans="2:109" x14ac:dyDescent="0.2">
      <c r="B183" s="65" t="s">
        <v>695</v>
      </c>
      <c r="W183" s="73">
        <v>-271</v>
      </c>
      <c r="X183" s="73">
        <f>-488-W183</f>
        <v>-217</v>
      </c>
      <c r="Y183" s="73">
        <f>-329-X183-W183</f>
        <v>159</v>
      </c>
      <c r="Z183" s="73">
        <f>-45-Y183-X183-W183</f>
        <v>284</v>
      </c>
      <c r="AA183" s="73">
        <v>122</v>
      </c>
      <c r="AB183" s="73">
        <f>1525-AA183</f>
        <v>1403</v>
      </c>
      <c r="AC183" s="73">
        <f>545-AB183-AA183</f>
        <v>-980</v>
      </c>
      <c r="CE183" s="73">
        <v>-306</v>
      </c>
    </row>
    <row r="184" spans="2:109" s="69" customFormat="1" x14ac:dyDescent="0.2">
      <c r="B184" s="69" t="s">
        <v>515</v>
      </c>
      <c r="C184" s="159"/>
      <c r="D184" s="159"/>
      <c r="E184" s="159"/>
      <c r="F184" s="159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296">SUM(W176:W183)</f>
        <v>2066</v>
      </c>
      <c r="X184" s="72">
        <f t="shared" si="296"/>
        <v>2348</v>
      </c>
      <c r="Y184" s="72">
        <f t="shared" si="296"/>
        <v>2432</v>
      </c>
      <c r="Z184" s="72">
        <f t="shared" si="296"/>
        <v>2699</v>
      </c>
      <c r="AA184" s="72">
        <f t="shared" si="296"/>
        <v>2405</v>
      </c>
      <c r="AB184" s="72">
        <f t="shared" si="296"/>
        <v>2657</v>
      </c>
      <c r="AC184" s="72">
        <f t="shared" si="296"/>
        <v>1635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>
        <f>SUM(CE176:CE183)</f>
        <v>1126</v>
      </c>
      <c r="CF184" s="72"/>
      <c r="CG184" s="72"/>
      <c r="CH184" s="72"/>
      <c r="CI184" s="72"/>
      <c r="CJ184" s="72"/>
      <c r="CK184" s="72"/>
      <c r="CL184" s="72"/>
      <c r="CM184" s="72"/>
      <c r="CN184" s="13"/>
      <c r="CO184" s="13"/>
      <c r="CP184" s="72"/>
      <c r="CQ184" s="72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</row>
    <row r="185" spans="2:109" x14ac:dyDescent="0.2">
      <c r="B185" s="65" t="s">
        <v>416</v>
      </c>
      <c r="W185" s="73">
        <v>330</v>
      </c>
      <c r="X185" s="73">
        <f>915-W185</f>
        <v>585</v>
      </c>
      <c r="Y185" s="73">
        <f>1266-X185-W185</f>
        <v>351</v>
      </c>
      <c r="Z185" s="73">
        <f>1704-Y185-X185-W185</f>
        <v>438</v>
      </c>
      <c r="AA185" s="73">
        <v>283</v>
      </c>
      <c r="AB185" s="73">
        <f>824-AA185</f>
        <v>541</v>
      </c>
      <c r="AC185" s="73">
        <f>1365-AB185-AA185</f>
        <v>541</v>
      </c>
      <c r="CE185" s="73">
        <v>-168</v>
      </c>
    </row>
    <row r="186" spans="2:109" s="69" customFormat="1" x14ac:dyDescent="0.2">
      <c r="B186" s="69" t="s">
        <v>858</v>
      </c>
      <c r="C186" s="159"/>
      <c r="D186" s="159"/>
      <c r="E186" s="159"/>
      <c r="F186" s="159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>
        <f t="shared" ref="W186:AC186" si="297">+W184-W185</f>
        <v>1736</v>
      </c>
      <c r="X186" s="72">
        <f t="shared" si="297"/>
        <v>1763</v>
      </c>
      <c r="Y186" s="72">
        <f t="shared" si="297"/>
        <v>2081</v>
      </c>
      <c r="Z186" s="72">
        <f t="shared" si="297"/>
        <v>2261</v>
      </c>
      <c r="AA186" s="72">
        <f t="shared" si="297"/>
        <v>2122</v>
      </c>
      <c r="AB186" s="72">
        <f t="shared" si="297"/>
        <v>2116</v>
      </c>
      <c r="AC186" s="72">
        <f t="shared" si="297"/>
        <v>1094</v>
      </c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>
        <f>+CE184+CE185</f>
        <v>958</v>
      </c>
      <c r="CF186" s="72"/>
      <c r="CG186" s="72"/>
      <c r="CH186" s="72"/>
      <c r="CI186" s="72"/>
      <c r="CJ186" s="72"/>
      <c r="CK186" s="72"/>
      <c r="CL186" s="72"/>
      <c r="CM186" s="72"/>
      <c r="CN186" s="13"/>
      <c r="CO186" s="13"/>
      <c r="CP186" s="72"/>
      <c r="CQ186" s="72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</row>
    <row r="187" spans="2:109" x14ac:dyDescent="0.2">
      <c r="B187" s="65" t="s">
        <v>696</v>
      </c>
      <c r="W187" s="73">
        <f>-268+7</f>
        <v>-261</v>
      </c>
      <c r="X187" s="73">
        <f>-655+12-W187</f>
        <v>-382</v>
      </c>
      <c r="Y187" s="73">
        <f>-972+26-X187-W187</f>
        <v>-303</v>
      </c>
      <c r="Z187" s="73">
        <f>-1418+48-Y187-X187-W187</f>
        <v>-424</v>
      </c>
      <c r="AA187" s="73">
        <f>-207+17</f>
        <v>-190</v>
      </c>
      <c r="AB187" s="73">
        <f>-474-AA187+46</f>
        <v>-238</v>
      </c>
      <c r="AC187" s="73">
        <f>-725+57-AB187-AA187</f>
        <v>-240</v>
      </c>
      <c r="CE187" s="73">
        <f>-248+1</f>
        <v>-247</v>
      </c>
    </row>
    <row r="188" spans="2:109" s="69" customFormat="1" x14ac:dyDescent="0.2">
      <c r="B188" s="69" t="s">
        <v>697</v>
      </c>
      <c r="C188" s="159"/>
      <c r="D188" s="159"/>
      <c r="E188" s="159"/>
      <c r="F188" s="159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>
        <f t="shared" ref="W188:AC188" si="298">W187+W186</f>
        <v>1475</v>
      </c>
      <c r="X188" s="72">
        <f t="shared" si="298"/>
        <v>1381</v>
      </c>
      <c r="Y188" s="72">
        <f t="shared" si="298"/>
        <v>1778</v>
      </c>
      <c r="Z188" s="72">
        <f t="shared" si="298"/>
        <v>1837</v>
      </c>
      <c r="AA188" s="72">
        <f t="shared" si="298"/>
        <v>1932</v>
      </c>
      <c r="AB188" s="72">
        <f t="shared" si="298"/>
        <v>1878</v>
      </c>
      <c r="AC188" s="72">
        <f t="shared" si="298"/>
        <v>854</v>
      </c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>
        <f>+CE186+CE187</f>
        <v>711</v>
      </c>
      <c r="CF188" s="72"/>
      <c r="CG188" s="72"/>
      <c r="CH188" s="72"/>
      <c r="CI188" s="72"/>
      <c r="CJ188" s="72"/>
      <c r="CK188" s="72"/>
      <c r="CL188" s="72"/>
      <c r="CM188" s="72"/>
      <c r="CN188" s="13"/>
      <c r="CO188" s="13"/>
      <c r="CP188" s="72"/>
      <c r="CQ188" s="72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</row>
    <row r="189" spans="2:109" x14ac:dyDescent="0.2">
      <c r="B189" s="65" t="s">
        <v>859</v>
      </c>
      <c r="W189" s="73">
        <v>-120</v>
      </c>
      <c r="X189" s="73">
        <f>-195+353-W189</f>
        <v>278</v>
      </c>
      <c r="Y189" s="73">
        <f>-260+346-X189-W189</f>
        <v>-72</v>
      </c>
      <c r="Z189" s="73">
        <f>-455+356-Y189-X189-W189</f>
        <v>-185</v>
      </c>
      <c r="AA189" s="73">
        <v>-119</v>
      </c>
      <c r="AB189" s="73">
        <f>-198+32-AA189</f>
        <v>-47</v>
      </c>
      <c r="CE189" s="73">
        <f>-315+27</f>
        <v>-288</v>
      </c>
    </row>
    <row r="190" spans="2:109" x14ac:dyDescent="0.2">
      <c r="B190" s="65" t="s">
        <v>860</v>
      </c>
      <c r="W190" s="73">
        <f>-23+1-501-7</f>
        <v>-530</v>
      </c>
      <c r="X190" s="73">
        <f>-44+2-673-7-W190</f>
        <v>-192</v>
      </c>
      <c r="Y190" s="73">
        <f>-117+25-2677-27-X190-W190</f>
        <v>-2074</v>
      </c>
      <c r="Z190" s="73">
        <f>-154+59-2792-29-Y190-X190-W190</f>
        <v>-120</v>
      </c>
      <c r="AA190" s="73">
        <f>-61+10-13</f>
        <v>-64</v>
      </c>
      <c r="AB190" s="73">
        <f>-147+12-163-43-AA190</f>
        <v>-277</v>
      </c>
      <c r="CE190" s="73">
        <f>-18+1055</f>
        <v>1037</v>
      </c>
    </row>
    <row r="191" spans="2:109" x14ac:dyDescent="0.2">
      <c r="B191" s="65" t="s">
        <v>861</v>
      </c>
      <c r="W191" s="73">
        <f>23+178+41+3</f>
        <v>245</v>
      </c>
      <c r="X191" s="73">
        <f>58+178+59+8-W191</f>
        <v>58</v>
      </c>
      <c r="Y191" s="73">
        <f>84+178+81+11-X191-W191</f>
        <v>51</v>
      </c>
      <c r="Z191" s="73">
        <f>87+178+90+17-Y191-X191-W191</f>
        <v>18</v>
      </c>
      <c r="AA191" s="73">
        <f>28+19+2</f>
        <v>49</v>
      </c>
      <c r="AB191" s="73">
        <f>56+39+4-AA191</f>
        <v>50</v>
      </c>
      <c r="CE191" s="73">
        <f>-719-3-3+37+22+15</f>
        <v>-651</v>
      </c>
    </row>
    <row r="192" spans="2:109" x14ac:dyDescent="0.2">
      <c r="B192" s="65" t="s">
        <v>862</v>
      </c>
      <c r="W192" s="73">
        <f>SUM(W189:W191)</f>
        <v>-405</v>
      </c>
      <c r="X192" s="73">
        <f>SUM(X189:X191)</f>
        <v>144</v>
      </c>
      <c r="Y192" s="73">
        <f>SUM(Y189:Y191)</f>
        <v>-2095</v>
      </c>
      <c r="Z192" s="73">
        <f>SUM(Z189:Z191)</f>
        <v>-287</v>
      </c>
      <c r="AA192" s="73">
        <f>SUM(AA189:AA191)</f>
        <v>-134</v>
      </c>
      <c r="AB192" s="73">
        <f t="shared" ref="AB192" si="299">SUM(AB189:AB191)</f>
        <v>-274</v>
      </c>
      <c r="CE192" s="72">
        <f>+CE191+CE190+CE189+CE187</f>
        <v>-149</v>
      </c>
    </row>
    <row r="193" spans="2:109" x14ac:dyDescent="0.2">
      <c r="B193" s="65" t="s">
        <v>695</v>
      </c>
      <c r="W193" s="73">
        <f>3-50+15+166-11-56+50</f>
        <v>117</v>
      </c>
      <c r="X193" s="73">
        <f>3-48+16-471-23-385-W193-208</f>
        <v>-1233</v>
      </c>
      <c r="Y193" s="73">
        <f>4-56+19+1358+148-33-390-X193-W193-152</f>
        <v>2014</v>
      </c>
      <c r="Z193" s="73">
        <f>13-58+44+1358+646-748-48-780-109-Y193-X193-W193</f>
        <v>-580</v>
      </c>
      <c r="AA193" s="73">
        <f>6+17-56-625+15-11-40-93</f>
        <v>-787</v>
      </c>
      <c r="AB193" s="73">
        <f>6+21-58-1321+38-24-352-AA193-201</f>
        <v>-1104</v>
      </c>
      <c r="CE193" s="73">
        <f>18-323-57-71+38</f>
        <v>-395</v>
      </c>
    </row>
    <row r="194" spans="2:109" x14ac:dyDescent="0.2">
      <c r="B194" s="65" t="s">
        <v>516</v>
      </c>
      <c r="W194" s="73">
        <v>-730</v>
      </c>
      <c r="X194" s="73">
        <f>-1586-W194</f>
        <v>-856</v>
      </c>
      <c r="Y194" s="73">
        <f>-2290-X194-W194</f>
        <v>-704</v>
      </c>
      <c r="Z194" s="73">
        <f>-3003-Y194-X194-W194</f>
        <v>-713</v>
      </c>
      <c r="AA194" s="73">
        <v>-763</v>
      </c>
      <c r="AB194" s="73">
        <f>-1682-AA194</f>
        <v>-919</v>
      </c>
      <c r="CE194" s="73">
        <v>-568</v>
      </c>
    </row>
    <row r="195" spans="2:109" x14ac:dyDescent="0.2">
      <c r="B195" s="65" t="s">
        <v>688</v>
      </c>
      <c r="W195" s="73">
        <v>-41</v>
      </c>
      <c r="X195" s="73">
        <f>-91-W195</f>
        <v>-50</v>
      </c>
      <c r="Y195" s="73">
        <f>-85-X195-W195</f>
        <v>6</v>
      </c>
      <c r="Z195" s="73">
        <f>-89-Y195-X195-W195</f>
        <v>-4</v>
      </c>
      <c r="AA195" s="73">
        <v>-67</v>
      </c>
      <c r="AB195" s="73">
        <f>-99-AA195</f>
        <v>-32</v>
      </c>
      <c r="CE195" s="73">
        <v>-97</v>
      </c>
    </row>
    <row r="196" spans="2:109" x14ac:dyDescent="0.2">
      <c r="B196" s="65" t="s">
        <v>863</v>
      </c>
      <c r="W196" s="73">
        <f t="shared" ref="W196:AB196" si="300">SUM(W193:W195)</f>
        <v>-654</v>
      </c>
      <c r="X196" s="73">
        <f t="shared" si="300"/>
        <v>-2139</v>
      </c>
      <c r="Y196" s="73">
        <f t="shared" si="300"/>
        <v>1316</v>
      </c>
      <c r="Z196" s="73">
        <f t="shared" si="300"/>
        <v>-1297</v>
      </c>
      <c r="AA196" s="73">
        <f t="shared" si="300"/>
        <v>-1617</v>
      </c>
      <c r="AB196" s="73">
        <f t="shared" si="300"/>
        <v>-2055</v>
      </c>
      <c r="CE196" s="73">
        <f>+CE195+CE194+CE193</f>
        <v>-1060</v>
      </c>
    </row>
    <row r="197" spans="2:109" x14ac:dyDescent="0.2">
      <c r="B197" s="112" t="s">
        <v>1500</v>
      </c>
      <c r="CE197" s="72">
        <f>+CE196+CE192+CE186</f>
        <v>-251</v>
      </c>
    </row>
    <row r="198" spans="2:109" x14ac:dyDescent="0.2">
      <c r="B198" s="112" t="s">
        <v>659</v>
      </c>
      <c r="CE198" s="72">
        <v>-19</v>
      </c>
    </row>
    <row r="199" spans="2:109" s="69" customFormat="1" x14ac:dyDescent="0.2">
      <c r="B199" s="69" t="s">
        <v>417</v>
      </c>
      <c r="C199" s="159"/>
      <c r="D199" s="159"/>
      <c r="E199" s="159"/>
      <c r="F199" s="159"/>
      <c r="G199" s="72"/>
      <c r="H199" s="72"/>
      <c r="I199" s="72"/>
      <c r="J199" s="72"/>
      <c r="K199" s="72"/>
      <c r="L199" s="72"/>
      <c r="M199" s="72"/>
      <c r="N199" s="72"/>
      <c r="O199" s="72">
        <f t="shared" ref="O199:AC199" si="301">O113</f>
        <v>1495</v>
      </c>
      <c r="P199" s="72">
        <f t="shared" si="301"/>
        <v>1311</v>
      </c>
      <c r="Q199" s="72">
        <f t="shared" si="301"/>
        <v>1310</v>
      </c>
      <c r="R199" s="72">
        <f t="shared" si="301"/>
        <v>1326</v>
      </c>
      <c r="S199" s="72">
        <f t="shared" si="301"/>
        <v>1348</v>
      </c>
      <c r="T199" s="72">
        <f t="shared" si="301"/>
        <v>1404</v>
      </c>
      <c r="U199" s="72">
        <f t="shared" si="301"/>
        <v>1287</v>
      </c>
      <c r="V199" s="72">
        <f t="shared" si="301"/>
        <v>1356</v>
      </c>
      <c r="W199" s="72">
        <f t="shared" si="301"/>
        <v>1333</v>
      </c>
      <c r="X199" s="72">
        <f t="shared" si="301"/>
        <v>1572</v>
      </c>
      <c r="Y199" s="72">
        <f t="shared" si="301"/>
        <v>1444</v>
      </c>
      <c r="Z199" s="72">
        <f t="shared" si="301"/>
        <v>1796</v>
      </c>
      <c r="AA199" s="72">
        <f t="shared" si="301"/>
        <v>1560</v>
      </c>
      <c r="AB199" s="72">
        <f t="shared" si="301"/>
        <v>1700</v>
      </c>
      <c r="AC199" s="72">
        <f t="shared" si="301"/>
        <v>1513</v>
      </c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F199" s="72"/>
      <c r="CG199" s="72"/>
      <c r="CH199" s="72"/>
      <c r="CI199" s="72"/>
      <c r="CJ199" s="72"/>
      <c r="CK199" s="72"/>
      <c r="CL199" s="72"/>
      <c r="CM199" s="72"/>
      <c r="CN199" s="13"/>
      <c r="CO199" s="13"/>
      <c r="CP199" s="72"/>
      <c r="CQ199" s="72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</row>
    <row r="200" spans="2:109" s="69" customFormat="1" x14ac:dyDescent="0.2">
      <c r="B200" s="69" t="s">
        <v>515</v>
      </c>
      <c r="C200" s="159"/>
      <c r="D200" s="159"/>
      <c r="E200" s="159"/>
      <c r="F200" s="159"/>
      <c r="G200" s="72"/>
      <c r="H200" s="72"/>
      <c r="I200" s="72"/>
      <c r="J200" s="72"/>
      <c r="K200" s="72"/>
      <c r="L200" s="72"/>
      <c r="M200" s="72"/>
      <c r="N200" s="72"/>
      <c r="O200" s="72">
        <v>1550</v>
      </c>
      <c r="P200" s="72">
        <v>1385</v>
      </c>
      <c r="Q200" s="72">
        <v>1842</v>
      </c>
      <c r="R200" s="72">
        <f>6161-Q200-P200-O200</f>
        <v>1384</v>
      </c>
      <c r="S200" s="72">
        <v>1801</v>
      </c>
      <c r="T200" s="72">
        <f>3174-S200</f>
        <v>1373</v>
      </c>
      <c r="U200" s="72">
        <f>5067-T200-S200</f>
        <v>1893</v>
      </c>
      <c r="V200" s="72">
        <f>7311-U200-T200-S200</f>
        <v>2244</v>
      </c>
      <c r="W200" s="72">
        <v>1736</v>
      </c>
      <c r="X200" s="72">
        <f>3499-W200</f>
        <v>1763</v>
      </c>
      <c r="Y200" s="72">
        <f>5580-X200-W200</f>
        <v>2081</v>
      </c>
      <c r="Z200" s="72">
        <f>7841-Y200-X200-W200</f>
        <v>2261</v>
      </c>
      <c r="AA200" s="72">
        <v>2122</v>
      </c>
      <c r="AB200" s="72">
        <f>AB199+562</f>
        <v>2262</v>
      </c>
      <c r="AC200" s="72">
        <f>5332-AB200-AA200</f>
        <v>948</v>
      </c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13"/>
      <c r="CO200" s="13"/>
      <c r="CP200" s="72"/>
      <c r="CQ200" s="72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</row>
    <row r="201" spans="2:109" x14ac:dyDescent="0.2">
      <c r="B201" s="65" t="s">
        <v>656</v>
      </c>
      <c r="O201" s="73">
        <f t="shared" ref="O201:AC201" si="302">O199-O200</f>
        <v>-55</v>
      </c>
      <c r="P201" s="73">
        <f t="shared" si="302"/>
        <v>-74</v>
      </c>
      <c r="Q201" s="73">
        <f t="shared" si="302"/>
        <v>-532</v>
      </c>
      <c r="R201" s="73">
        <f t="shared" si="302"/>
        <v>-58</v>
      </c>
      <c r="S201" s="73">
        <f t="shared" si="302"/>
        <v>-453</v>
      </c>
      <c r="T201" s="73">
        <f t="shared" si="302"/>
        <v>31</v>
      </c>
      <c r="U201" s="73">
        <f t="shared" si="302"/>
        <v>-606</v>
      </c>
      <c r="V201" s="73">
        <f t="shared" si="302"/>
        <v>-888</v>
      </c>
      <c r="W201" s="73">
        <f>W199-W200</f>
        <v>-403</v>
      </c>
      <c r="X201" s="73">
        <f t="shared" si="302"/>
        <v>-191</v>
      </c>
      <c r="Y201" s="73">
        <f t="shared" si="302"/>
        <v>-637</v>
      </c>
      <c r="Z201" s="73">
        <f t="shared" si="302"/>
        <v>-465</v>
      </c>
      <c r="AA201" s="73">
        <f t="shared" si="302"/>
        <v>-562</v>
      </c>
      <c r="AB201" s="73">
        <f t="shared" si="302"/>
        <v>-562</v>
      </c>
      <c r="AC201" s="73">
        <f t="shared" si="302"/>
        <v>565</v>
      </c>
    </row>
    <row r="203" spans="2:109" x14ac:dyDescent="0.2">
      <c r="B203" s="65" t="s">
        <v>702</v>
      </c>
      <c r="S203" s="73">
        <v>2138</v>
      </c>
      <c r="T203" s="73">
        <v>2129</v>
      </c>
      <c r="U203" s="73">
        <v>2101</v>
      </c>
      <c r="V203" s="73">
        <v>2526</v>
      </c>
      <c r="W203" s="73">
        <v>2088</v>
      </c>
      <c r="X203" s="73">
        <v>2140</v>
      </c>
      <c r="Y203" s="73">
        <v>2143</v>
      </c>
      <c r="Z203" s="73">
        <v>2450</v>
      </c>
      <c r="AA203" s="73">
        <v>1909</v>
      </c>
      <c r="AB203" s="73">
        <v>1935</v>
      </c>
    </row>
    <row r="204" spans="2:109" x14ac:dyDescent="0.2">
      <c r="B204" s="65" t="s">
        <v>703</v>
      </c>
      <c r="S204" s="73">
        <v>1496</v>
      </c>
      <c r="T204" s="73">
        <v>1598</v>
      </c>
      <c r="U204" s="73">
        <v>1563</v>
      </c>
      <c r="V204" s="73">
        <v>1826</v>
      </c>
      <c r="W204" s="73">
        <v>1669</v>
      </c>
      <c r="X204" s="73">
        <v>1588</v>
      </c>
      <c r="Y204" s="73">
        <v>1734</v>
      </c>
      <c r="Z204" s="73">
        <v>2361</v>
      </c>
      <c r="AA204" s="73">
        <v>1893</v>
      </c>
      <c r="AB204" s="73">
        <v>1580</v>
      </c>
    </row>
    <row r="205" spans="2:109" x14ac:dyDescent="0.2">
      <c r="B205" s="65" t="s">
        <v>704</v>
      </c>
      <c r="S205" s="73">
        <v>469</v>
      </c>
      <c r="T205" s="73">
        <v>563</v>
      </c>
      <c r="U205" s="73">
        <v>581</v>
      </c>
      <c r="V205" s="73">
        <v>677</v>
      </c>
      <c r="W205" s="73">
        <v>639</v>
      </c>
      <c r="X205" s="73">
        <v>693</v>
      </c>
      <c r="Y205" s="73">
        <v>765</v>
      </c>
      <c r="Z205" s="73">
        <v>827</v>
      </c>
      <c r="AA205" s="73">
        <v>866</v>
      </c>
      <c r="AB205" s="73">
        <v>848</v>
      </c>
      <c r="AF205" s="157"/>
    </row>
    <row r="206" spans="2:109" x14ac:dyDescent="0.2">
      <c r="B206" s="65" t="s">
        <v>705</v>
      </c>
      <c r="S206" s="73">
        <v>420</v>
      </c>
      <c r="T206" s="73">
        <v>464</v>
      </c>
      <c r="U206" s="73">
        <v>464</v>
      </c>
      <c r="V206" s="73">
        <v>570</v>
      </c>
      <c r="W206" s="73">
        <v>619</v>
      </c>
      <c r="X206" s="73">
        <v>587</v>
      </c>
      <c r="Y206" s="73">
        <v>643</v>
      </c>
      <c r="Z206" s="73">
        <v>809</v>
      </c>
      <c r="AA206" s="73">
        <v>885</v>
      </c>
      <c r="AB206" s="73">
        <v>727</v>
      </c>
    </row>
    <row r="207" spans="2:109" x14ac:dyDescent="0.2">
      <c r="B207" s="65" t="s">
        <v>706</v>
      </c>
      <c r="W207" s="73">
        <v>419</v>
      </c>
      <c r="X207" s="176">
        <v>379</v>
      </c>
      <c r="AA207" s="73">
        <v>373</v>
      </c>
      <c r="AB207" s="73">
        <v>389</v>
      </c>
    </row>
    <row r="208" spans="2:109" x14ac:dyDescent="0.2">
      <c r="B208" s="65" t="s">
        <v>707</v>
      </c>
      <c r="S208" s="73">
        <v>244</v>
      </c>
      <c r="T208" s="73">
        <v>169</v>
      </c>
      <c r="U208" s="73">
        <v>179</v>
      </c>
      <c r="V208" s="73">
        <v>204</v>
      </c>
      <c r="W208" s="73">
        <v>184</v>
      </c>
      <c r="X208" s="73">
        <v>191</v>
      </c>
      <c r="Y208" s="73">
        <v>308</v>
      </c>
      <c r="Z208" s="73">
        <v>469</v>
      </c>
      <c r="AA208" s="73">
        <v>200</v>
      </c>
      <c r="AB208" s="73">
        <v>294</v>
      </c>
    </row>
    <row r="209" spans="2:28" x14ac:dyDescent="0.2">
      <c r="B209" s="65" t="s">
        <v>369</v>
      </c>
      <c r="S209" s="73">
        <v>919</v>
      </c>
      <c r="T209" s="73">
        <v>951</v>
      </c>
      <c r="U209" s="73">
        <v>994</v>
      </c>
      <c r="V209" s="73">
        <v>1107</v>
      </c>
      <c r="W209" s="73">
        <v>1151</v>
      </c>
      <c r="X209" s="73">
        <v>1169</v>
      </c>
      <c r="Y209" s="73">
        <v>1165</v>
      </c>
      <c r="Z209" s="73">
        <v>1178</v>
      </c>
      <c r="AA209" s="73">
        <v>1231</v>
      </c>
      <c r="AB209" s="73">
        <v>1252</v>
      </c>
    </row>
    <row r="210" spans="2:28" x14ac:dyDescent="0.2">
      <c r="B210" s="65" t="s">
        <v>370</v>
      </c>
      <c r="S210" s="73">
        <f>SUM(S203:S209)</f>
        <v>5686</v>
      </c>
      <c r="T210" s="73">
        <f t="shared" ref="T210:AB210" si="303">SUM(T203:T209)</f>
        <v>5874</v>
      </c>
      <c r="U210" s="73">
        <f t="shared" si="303"/>
        <v>5882</v>
      </c>
      <c r="V210" s="73">
        <f t="shared" si="303"/>
        <v>6910</v>
      </c>
      <c r="W210" s="73">
        <f t="shared" si="303"/>
        <v>6769</v>
      </c>
      <c r="X210" s="73">
        <f t="shared" si="303"/>
        <v>6747</v>
      </c>
      <c r="Y210" s="73">
        <f t="shared" si="303"/>
        <v>6758</v>
      </c>
      <c r="Z210" s="73">
        <f t="shared" si="303"/>
        <v>8094</v>
      </c>
      <c r="AA210" s="73">
        <f t="shared" si="303"/>
        <v>7357</v>
      </c>
      <c r="AB210" s="73">
        <f t="shared" si="303"/>
        <v>7025</v>
      </c>
    </row>
    <row r="212" spans="2:28" x14ac:dyDescent="0.2">
      <c r="B212" s="65" t="s">
        <v>708</v>
      </c>
      <c r="W212" s="157">
        <f t="shared" ref="W212:AB212" si="304">W203/S203-1</f>
        <v>-2.3386342376052416E-2</v>
      </c>
      <c r="X212" s="157">
        <f t="shared" si="304"/>
        <v>5.1667449506811458E-3</v>
      </c>
      <c r="Y212" s="157">
        <f t="shared" si="304"/>
        <v>1.9990480723464987E-2</v>
      </c>
      <c r="Z212" s="157">
        <f t="shared" si="304"/>
        <v>-3.0087094220110799E-2</v>
      </c>
      <c r="AA212" s="157">
        <f t="shared" si="304"/>
        <v>-8.5727969348659006E-2</v>
      </c>
      <c r="AB212" s="157">
        <f t="shared" si="304"/>
        <v>-9.5794392523364524E-2</v>
      </c>
    </row>
    <row r="213" spans="2:28" x14ac:dyDescent="0.2">
      <c r="B213" s="65" t="s">
        <v>648</v>
      </c>
      <c r="W213" s="157">
        <v>-0.22</v>
      </c>
      <c r="X213" s="157">
        <v>-0.15</v>
      </c>
      <c r="Y213" s="157">
        <v>-0.12</v>
      </c>
      <c r="Z213" s="157">
        <v>-0.04</v>
      </c>
      <c r="AA213" s="157">
        <v>-0.01</v>
      </c>
      <c r="AB213" s="157">
        <v>-0.13</v>
      </c>
    </row>
    <row r="214" spans="2:28" x14ac:dyDescent="0.2">
      <c r="B214" s="65" t="s">
        <v>709</v>
      </c>
      <c r="W214" s="157">
        <f t="shared" ref="W214:AB214" si="305">W204/S204-1</f>
        <v>0.1156417112299466</v>
      </c>
      <c r="X214" s="157">
        <f t="shared" si="305"/>
        <v>-6.2578222778473247E-3</v>
      </c>
      <c r="Y214" s="157">
        <f t="shared" si="305"/>
        <v>0.10940499040307095</v>
      </c>
      <c r="Z214" s="157">
        <f t="shared" si="305"/>
        <v>0.2929901423877328</v>
      </c>
      <c r="AA214" s="157">
        <f t="shared" si="305"/>
        <v>0.13421210305572195</v>
      </c>
      <c r="AB214" s="157">
        <f t="shared" si="305"/>
        <v>-5.0377833753149082E-3</v>
      </c>
    </row>
    <row r="215" spans="2:28" x14ac:dyDescent="0.2">
      <c r="B215" s="65" t="s">
        <v>710</v>
      </c>
      <c r="W215" s="157">
        <v>7.0000000000000007E-2</v>
      </c>
      <c r="X215" s="157">
        <v>0.01</v>
      </c>
      <c r="Y215" s="157">
        <v>0.03</v>
      </c>
      <c r="Z215" s="157">
        <v>0.23</v>
      </c>
      <c r="AA215" s="157">
        <v>0.16</v>
      </c>
      <c r="AB215" s="157">
        <v>0.01</v>
      </c>
    </row>
    <row r="216" spans="2:28" x14ac:dyDescent="0.2">
      <c r="B216" s="65" t="s">
        <v>711</v>
      </c>
      <c r="W216" s="157">
        <f t="shared" ref="W216:AB216" si="306">W205/S205-1</f>
        <v>0.36247334754797444</v>
      </c>
      <c r="X216" s="157">
        <f t="shared" si="306"/>
        <v>0.23090586145648317</v>
      </c>
      <c r="Y216" s="157">
        <f t="shared" si="306"/>
        <v>0.31669535283993122</v>
      </c>
      <c r="Z216" s="157">
        <f t="shared" si="306"/>
        <v>0.2215657311669128</v>
      </c>
      <c r="AA216" s="157">
        <f t="shared" si="306"/>
        <v>0.35524256651017216</v>
      </c>
      <c r="AB216" s="157">
        <f t="shared" si="306"/>
        <v>0.22366522366522368</v>
      </c>
    </row>
    <row r="217" spans="2:28" x14ac:dyDescent="0.2">
      <c r="B217" s="65" t="s">
        <v>712</v>
      </c>
      <c r="W217" s="157">
        <v>0.18</v>
      </c>
      <c r="X217" s="157">
        <v>0.14000000000000001</v>
      </c>
      <c r="Y217" s="157">
        <v>0.25</v>
      </c>
      <c r="Z217" s="157">
        <v>0.22</v>
      </c>
      <c r="AA217" s="157">
        <v>0.43</v>
      </c>
      <c r="AB217" s="157">
        <v>0.17</v>
      </c>
    </row>
    <row r="218" spans="2:28" x14ac:dyDescent="0.2">
      <c r="B218" s="65" t="s">
        <v>713</v>
      </c>
      <c r="W218" s="157">
        <f t="shared" ref="W218:AB218" si="307">W206/S206-1</f>
        <v>0.4738095238095239</v>
      </c>
      <c r="X218" s="157">
        <f t="shared" si="307"/>
        <v>0.26508620689655182</v>
      </c>
      <c r="Y218" s="157">
        <f t="shared" si="307"/>
        <v>0.38577586206896552</v>
      </c>
      <c r="Z218" s="157">
        <f t="shared" si="307"/>
        <v>0.41929824561403506</v>
      </c>
      <c r="AA218" s="157">
        <f t="shared" si="307"/>
        <v>0.4297253634894993</v>
      </c>
      <c r="AB218" s="157">
        <f t="shared" si="307"/>
        <v>0.23850085178875635</v>
      </c>
    </row>
    <row r="219" spans="2:28" x14ac:dyDescent="0.2">
      <c r="B219" s="65" t="s">
        <v>714</v>
      </c>
      <c r="W219" s="157">
        <v>0.12</v>
      </c>
      <c r="X219" s="157">
        <v>0.06</v>
      </c>
      <c r="Y219" s="157">
        <v>0.13</v>
      </c>
      <c r="Z219" s="157">
        <v>0.28000000000000003</v>
      </c>
      <c r="AA219" s="157">
        <v>0.45</v>
      </c>
      <c r="AB219" s="157">
        <v>0.09</v>
      </c>
    </row>
    <row r="220" spans="2:28" x14ac:dyDescent="0.2">
      <c r="B220" s="65" t="s">
        <v>715</v>
      </c>
      <c r="W220" s="157"/>
      <c r="X220" s="157"/>
      <c r="Y220" s="157"/>
      <c r="Z220" s="157"/>
      <c r="AA220" s="157">
        <f>AA207/W207-1</f>
        <v>-0.10978520286396176</v>
      </c>
      <c r="AB220" s="157">
        <f>AB207/X207-1</f>
        <v>2.638522427440626E-2</v>
      </c>
    </row>
    <row r="221" spans="2:28" x14ac:dyDescent="0.2">
      <c r="B221" s="65" t="s">
        <v>716</v>
      </c>
      <c r="W221" s="157"/>
      <c r="X221" s="157"/>
      <c r="Y221" s="157"/>
      <c r="Z221" s="157"/>
      <c r="AA221" s="157">
        <v>-7.0000000000000007E-2</v>
      </c>
      <c r="AB221" s="157">
        <v>0.01</v>
      </c>
    </row>
    <row r="222" spans="2:28" x14ac:dyDescent="0.2">
      <c r="B222" s="65" t="s">
        <v>717</v>
      </c>
      <c r="W222" s="157">
        <f t="shared" ref="W222:AB222" si="308">W208/S208-1</f>
        <v>-0.24590163934426235</v>
      </c>
      <c r="X222" s="157">
        <f t="shared" si="308"/>
        <v>0.13017751479289941</v>
      </c>
      <c r="Y222" s="157">
        <f t="shared" si="308"/>
        <v>0.72067039106145248</v>
      </c>
      <c r="Z222" s="157">
        <f t="shared" si="308"/>
        <v>1.2990196078431371</v>
      </c>
      <c r="AA222" s="157">
        <f t="shared" si="308"/>
        <v>8.6956521739130377E-2</v>
      </c>
      <c r="AB222" s="157">
        <f t="shared" si="308"/>
        <v>0.53926701570680624</v>
      </c>
    </row>
    <row r="223" spans="2:28" x14ac:dyDescent="0.2">
      <c r="B223" s="65" t="s">
        <v>718</v>
      </c>
      <c r="W223" s="178">
        <v>-0.28999999999999998</v>
      </c>
      <c r="X223" s="178">
        <v>0.06</v>
      </c>
      <c r="Y223" s="178">
        <v>0.48</v>
      </c>
      <c r="Z223" s="178" t="s">
        <v>1226</v>
      </c>
      <c r="AA223" s="157">
        <v>0.04</v>
      </c>
      <c r="AB223" s="157">
        <v>0.37</v>
      </c>
    </row>
    <row r="225" spans="2:91" x14ac:dyDescent="0.2">
      <c r="B225" s="112" t="s">
        <v>1155</v>
      </c>
      <c r="S225" s="157">
        <v>0.38</v>
      </c>
      <c r="T225" s="157">
        <v>0.37</v>
      </c>
      <c r="U225" s="157">
        <v>0.35</v>
      </c>
      <c r="V225" s="157">
        <v>0.34</v>
      </c>
      <c r="W225" s="157">
        <v>0.32</v>
      </c>
      <c r="X225" s="157">
        <v>0.31</v>
      </c>
      <c r="Y225" s="157">
        <v>0.28999999999999998</v>
      </c>
      <c r="Z225" s="157">
        <v>0.28000000000000003</v>
      </c>
      <c r="AA225" s="157">
        <v>0.27</v>
      </c>
      <c r="AB225" s="157">
        <v>0.26</v>
      </c>
      <c r="AC225" s="157">
        <v>0.23</v>
      </c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7"/>
      <c r="AY225" s="157"/>
      <c r="AZ225" s="157"/>
      <c r="BA225" s="157"/>
      <c r="BB225" s="157"/>
      <c r="BC225" s="157"/>
      <c r="BD225" s="157"/>
      <c r="BE225" s="157"/>
      <c r="BF225" s="157"/>
      <c r="BG225" s="157"/>
      <c r="BH225" s="157"/>
      <c r="BI225" s="157"/>
      <c r="BJ225" s="157"/>
      <c r="BK225" s="157"/>
      <c r="BL225" s="157"/>
      <c r="BM225" s="157"/>
      <c r="BN225" s="157"/>
      <c r="BO225" s="157"/>
      <c r="BP225" s="157"/>
      <c r="BQ225" s="157"/>
      <c r="BR225" s="157"/>
      <c r="BS225" s="157"/>
      <c r="BT225" s="157"/>
      <c r="BU225" s="157"/>
      <c r="BV225" s="157"/>
      <c r="BW225" s="157"/>
      <c r="BX225" s="157"/>
      <c r="BY225" s="157"/>
      <c r="BZ225" s="157"/>
      <c r="CA225" s="157"/>
      <c r="CB225" s="157"/>
      <c r="CC225" s="157"/>
      <c r="CD225" s="157"/>
      <c r="CE225" s="157"/>
      <c r="CF225" s="157"/>
      <c r="CG225" s="157"/>
      <c r="CH225" s="157"/>
      <c r="CI225" s="157"/>
      <c r="CJ225" s="157"/>
      <c r="CK225" s="157"/>
      <c r="CL225" s="157"/>
      <c r="CM225" s="157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ColWidth="9.140625" defaultRowHeight="12.75" x14ac:dyDescent="0.2"/>
  <cols>
    <col min="1" max="1" width="9.140625" style="1"/>
    <col min="2" max="2" width="13.42578125" style="1" customWidth="1"/>
    <col min="3" max="16384" width="9.140625" style="1"/>
  </cols>
  <sheetData>
    <row r="1" spans="1:4" x14ac:dyDescent="0.2">
      <c r="A1" s="17" t="s">
        <v>135</v>
      </c>
    </row>
    <row r="2" spans="1:4" x14ac:dyDescent="0.2">
      <c r="A2" s="17"/>
    </row>
    <row r="3" spans="1:4" x14ac:dyDescent="0.2">
      <c r="A3" s="17"/>
      <c r="B3" s="1" t="s">
        <v>154</v>
      </c>
      <c r="C3" s="1" t="s">
        <v>168</v>
      </c>
    </row>
    <row r="4" spans="1:4" x14ac:dyDescent="0.2">
      <c r="A4" s="17"/>
      <c r="B4" s="1" t="s">
        <v>0</v>
      </c>
      <c r="C4" s="1" t="s">
        <v>143</v>
      </c>
    </row>
    <row r="5" spans="1:4" x14ac:dyDescent="0.2">
      <c r="A5" s="17"/>
      <c r="B5" s="1" t="s">
        <v>156</v>
      </c>
      <c r="C5" s="1" t="s">
        <v>180</v>
      </c>
    </row>
    <row r="6" spans="1:4" x14ac:dyDescent="0.2">
      <c r="A6" s="17"/>
      <c r="B6" s="1" t="s">
        <v>174</v>
      </c>
      <c r="C6" s="1" t="s">
        <v>179</v>
      </c>
    </row>
    <row r="7" spans="1:4" x14ac:dyDescent="0.2">
      <c r="A7" s="17"/>
      <c r="B7" s="1" t="s">
        <v>169</v>
      </c>
    </row>
    <row r="8" spans="1:4" x14ac:dyDescent="0.2">
      <c r="C8" s="1" t="s">
        <v>4</v>
      </c>
      <c r="D8" s="1" t="s">
        <v>170</v>
      </c>
    </row>
    <row r="9" spans="1:4" x14ac:dyDescent="0.2">
      <c r="C9" s="1" t="s">
        <v>171</v>
      </c>
      <c r="D9" s="1" t="s">
        <v>172</v>
      </c>
    </row>
    <row r="10" spans="1:4" x14ac:dyDescent="0.2">
      <c r="C10" s="1" t="s">
        <v>164</v>
      </c>
      <c r="D10" s="1" t="s">
        <v>173</v>
      </c>
    </row>
    <row r="11" spans="1:4" x14ac:dyDescent="0.2">
      <c r="D11" s="1" t="s">
        <v>175</v>
      </c>
    </row>
    <row r="12" spans="1:4" x14ac:dyDescent="0.2">
      <c r="D12" s="1" t="s">
        <v>178</v>
      </c>
    </row>
    <row r="13" spans="1:4" x14ac:dyDescent="0.2">
      <c r="C13" s="1" t="s">
        <v>176</v>
      </c>
      <c r="D13" s="1" t="s">
        <v>177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31" t="s">
        <v>568</v>
      </c>
    </row>
    <row r="3" spans="1:3" x14ac:dyDescent="0.2">
      <c r="B3" s="1" t="s">
        <v>154</v>
      </c>
      <c r="C3" s="117" t="s">
        <v>427</v>
      </c>
    </row>
    <row r="4" spans="1:3" x14ac:dyDescent="0.2">
      <c r="B4" s="31" t="s">
        <v>0</v>
      </c>
      <c r="C4" s="117" t="s">
        <v>1165</v>
      </c>
    </row>
    <row r="5" spans="1:3" x14ac:dyDescent="0.2">
      <c r="B5" s="31" t="s">
        <v>223</v>
      </c>
      <c r="C5" s="117" t="s">
        <v>1183</v>
      </c>
    </row>
    <row r="6" spans="1:3" x14ac:dyDescent="0.2">
      <c r="B6" s="1" t="s">
        <v>428</v>
      </c>
      <c r="C6" s="1" t="s">
        <v>429</v>
      </c>
    </row>
    <row r="7" spans="1:3" x14ac:dyDescent="0.2">
      <c r="B7" s="31" t="s">
        <v>157</v>
      </c>
      <c r="C7" s="117" t="s">
        <v>1164</v>
      </c>
    </row>
    <row r="8" spans="1:3" x14ac:dyDescent="0.2">
      <c r="B8" s="31" t="s">
        <v>174</v>
      </c>
      <c r="C8" s="117" t="s">
        <v>1202</v>
      </c>
    </row>
    <row r="9" spans="1:3" x14ac:dyDescent="0.2">
      <c r="B9" s="31"/>
      <c r="C9" s="31" t="s">
        <v>864</v>
      </c>
    </row>
    <row r="10" spans="1:3" x14ac:dyDescent="0.2">
      <c r="C10" s="117" t="s">
        <v>1250</v>
      </c>
    </row>
    <row r="11" spans="1:3" x14ac:dyDescent="0.2">
      <c r="C11" s="117" t="s">
        <v>1251</v>
      </c>
    </row>
    <row r="12" spans="1:3" x14ac:dyDescent="0.2">
      <c r="B12" s="117" t="s">
        <v>169</v>
      </c>
    </row>
    <row r="13" spans="1:3" x14ac:dyDescent="0.2">
      <c r="C13" s="19" t="s">
        <v>1166</v>
      </c>
    </row>
    <row r="14" spans="1:3" x14ac:dyDescent="0.2">
      <c r="C14" s="117" t="s">
        <v>1167</v>
      </c>
    </row>
    <row r="17" spans="3:3" x14ac:dyDescent="0.2">
      <c r="C17" s="19" t="s">
        <v>1173</v>
      </c>
    </row>
    <row r="18" spans="3:3" x14ac:dyDescent="0.2">
      <c r="C18" s="117" t="s">
        <v>1171</v>
      </c>
    </row>
    <row r="19" spans="3:3" x14ac:dyDescent="0.2">
      <c r="C19" s="117" t="s">
        <v>1172</v>
      </c>
    </row>
    <row r="20" spans="3:3" x14ac:dyDescent="0.2">
      <c r="C20" s="117" t="s">
        <v>1174</v>
      </c>
    </row>
    <row r="23" spans="3:3" x14ac:dyDescent="0.2">
      <c r="C23" s="19" t="s">
        <v>1269</v>
      </c>
    </row>
    <row r="24" spans="3:3" x14ac:dyDescent="0.2">
      <c r="C24" s="117" t="s">
        <v>1270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ColWidth="9.140625" defaultRowHeight="12.75" x14ac:dyDescent="0.2"/>
  <cols>
    <col min="1" max="1" width="5.42578125" style="1" customWidth="1"/>
    <col min="2" max="2" width="13.28515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1215</v>
      </c>
    </row>
    <row r="3" spans="1:3" x14ac:dyDescent="0.2">
      <c r="B3" s="1" t="s">
        <v>154</v>
      </c>
      <c r="C3" s="1" t="s">
        <v>199</v>
      </c>
    </row>
    <row r="4" spans="1:3" x14ac:dyDescent="0.2">
      <c r="B4" s="1" t="s">
        <v>0</v>
      </c>
      <c r="C4" s="1" t="s">
        <v>144</v>
      </c>
    </row>
    <row r="5" spans="1:3" x14ac:dyDescent="0.2">
      <c r="B5" s="1" t="s">
        <v>156</v>
      </c>
      <c r="C5" s="1" t="s">
        <v>200</v>
      </c>
    </row>
    <row r="6" spans="1:3" x14ac:dyDescent="0.2">
      <c r="B6" s="1" t="s">
        <v>2</v>
      </c>
      <c r="C6" s="1" t="s">
        <v>409</v>
      </c>
    </row>
    <row r="7" spans="1:3" x14ac:dyDescent="0.2">
      <c r="B7" s="117" t="s">
        <v>213</v>
      </c>
      <c r="C7" s="117" t="s">
        <v>1217</v>
      </c>
    </row>
    <row r="8" spans="1:3" x14ac:dyDescent="0.2">
      <c r="B8" s="117"/>
      <c r="C8" s="117" t="s">
        <v>1216</v>
      </c>
    </row>
    <row r="9" spans="1:3" x14ac:dyDescent="0.2">
      <c r="B9" s="117"/>
      <c r="C9" s="117" t="s">
        <v>1232</v>
      </c>
    </row>
    <row r="10" spans="1:3" x14ac:dyDescent="0.2">
      <c r="B10" s="1" t="s">
        <v>169</v>
      </c>
      <c r="C10" s="1" t="s">
        <v>201</v>
      </c>
    </row>
    <row r="11" spans="1:3" x14ac:dyDescent="0.2">
      <c r="C11" s="1" t="s">
        <v>202</v>
      </c>
    </row>
    <row r="12" spans="1:3" x14ac:dyDescent="0.2">
      <c r="C12" s="1" t="s">
        <v>145</v>
      </c>
    </row>
    <row r="13" spans="1:3" x14ac:dyDescent="0.2">
      <c r="C13" s="1" t="s">
        <v>146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3" width="11" style="1" customWidth="1"/>
    <col min="4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23</v>
      </c>
    </row>
    <row r="3" spans="1:3" x14ac:dyDescent="0.2">
      <c r="B3" s="1" t="s">
        <v>156</v>
      </c>
      <c r="C3" s="1" t="s">
        <v>408</v>
      </c>
    </row>
    <row r="4" spans="1:3" x14ac:dyDescent="0.2">
      <c r="B4" s="1" t="s">
        <v>2</v>
      </c>
      <c r="C4" s="1" t="s">
        <v>197</v>
      </c>
    </row>
    <row r="5" spans="1:3" x14ac:dyDescent="0.2">
      <c r="B5" s="1" t="s">
        <v>174</v>
      </c>
      <c r="C5" s="117" t="s">
        <v>1253</v>
      </c>
    </row>
    <row r="6" spans="1:3" x14ac:dyDescent="0.2">
      <c r="C6" s="117" t="s">
        <v>1252</v>
      </c>
    </row>
    <row r="7" spans="1:3" x14ac:dyDescent="0.2">
      <c r="C7" s="117" t="s">
        <v>1254</v>
      </c>
    </row>
    <row r="8" spans="1:3" x14ac:dyDescent="0.2">
      <c r="B8" s="1" t="s">
        <v>169</v>
      </c>
    </row>
    <row r="9" spans="1:3" x14ac:dyDescent="0.2">
      <c r="C9" s="61" t="s">
        <v>1287</v>
      </c>
    </row>
    <row r="10" spans="1:3" x14ac:dyDescent="0.2">
      <c r="C10" s="31" t="s">
        <v>413</v>
      </c>
    </row>
    <row r="11" spans="1:3" x14ac:dyDescent="0.2">
      <c r="C11" s="117" t="s">
        <v>1286</v>
      </c>
    </row>
    <row r="13" spans="1:3" x14ac:dyDescent="0.2">
      <c r="C13" s="19" t="s">
        <v>252</v>
      </c>
    </row>
    <row r="14" spans="1:3" x14ac:dyDescent="0.2">
      <c r="C14" s="1" t="s">
        <v>253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1221</v>
      </c>
    </row>
    <row r="3" spans="1:3" x14ac:dyDescent="0.2">
      <c r="B3" s="1" t="s">
        <v>223</v>
      </c>
      <c r="C3" s="1" t="s">
        <v>517</v>
      </c>
    </row>
    <row r="4" spans="1:3" x14ac:dyDescent="0.2">
      <c r="B4" s="1" t="s">
        <v>0</v>
      </c>
      <c r="C4" s="1" t="s">
        <v>518</v>
      </c>
    </row>
    <row r="5" spans="1:3" x14ac:dyDescent="0.2">
      <c r="B5" s="117" t="s">
        <v>174</v>
      </c>
      <c r="C5" s="117" t="s">
        <v>1224</v>
      </c>
    </row>
    <row r="6" spans="1:3" x14ac:dyDescent="0.2">
      <c r="C6" s="117" t="s">
        <v>1222</v>
      </c>
    </row>
    <row r="7" spans="1:3" x14ac:dyDescent="0.2">
      <c r="C7" s="117" t="s">
        <v>1223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245</v>
      </c>
    </row>
    <row r="3" spans="1:3" x14ac:dyDescent="0.2">
      <c r="B3" s="1" t="s">
        <v>154</v>
      </c>
    </row>
    <row r="4" spans="1:3" x14ac:dyDescent="0.2">
      <c r="B4" s="1" t="s">
        <v>156</v>
      </c>
      <c r="C4" s="1" t="s">
        <v>246</v>
      </c>
    </row>
    <row r="5" spans="1:3" x14ac:dyDescent="0.2">
      <c r="B5" s="1" t="s">
        <v>169</v>
      </c>
    </row>
    <row r="6" spans="1:3" x14ac:dyDescent="0.2">
      <c r="C6" s="19" t="s">
        <v>247</v>
      </c>
    </row>
    <row r="7" spans="1:3" x14ac:dyDescent="0.2">
      <c r="C7" s="31" t="s">
        <v>251</v>
      </c>
    </row>
    <row r="8" spans="1:3" x14ac:dyDescent="0.2">
      <c r="C8" s="1" t="s">
        <v>248</v>
      </c>
    </row>
    <row r="10" spans="1:3" x14ac:dyDescent="0.2">
      <c r="C10" s="19" t="s">
        <v>249</v>
      </c>
    </row>
    <row r="11" spans="1:3" x14ac:dyDescent="0.2">
      <c r="C11" s="1" t="s">
        <v>250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0" t="s">
        <v>135</v>
      </c>
    </row>
    <row r="2" spans="1:2" x14ac:dyDescent="0.2">
      <c r="B2" t="s">
        <v>7</v>
      </c>
    </row>
    <row r="3" spans="1:2" x14ac:dyDescent="0.2">
      <c r="B3" t="s">
        <v>8</v>
      </c>
    </row>
    <row r="4" spans="1:2" x14ac:dyDescent="0.2">
      <c r="B4" t="s">
        <v>9</v>
      </c>
    </row>
    <row r="6" spans="1:2" x14ac:dyDescent="0.2">
      <c r="B6" t="s">
        <v>10</v>
      </c>
    </row>
    <row r="7" spans="1:2" x14ac:dyDescent="0.2">
      <c r="B7" t="s">
        <v>11</v>
      </c>
    </row>
    <row r="9" spans="1:2" x14ac:dyDescent="0.2">
      <c r="B9" t="s">
        <v>12</v>
      </c>
    </row>
    <row r="10" spans="1:2" x14ac:dyDescent="0.2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65" t="s">
        <v>834</v>
      </c>
    </row>
    <row r="3" spans="1:3" x14ac:dyDescent="0.2">
      <c r="B3" s="65" t="s">
        <v>154</v>
      </c>
      <c r="C3" s="65" t="s">
        <v>833</v>
      </c>
    </row>
    <row r="4" spans="1:3" x14ac:dyDescent="0.2">
      <c r="B4" s="65" t="s">
        <v>174</v>
      </c>
      <c r="C4" s="65" t="s">
        <v>839</v>
      </c>
    </row>
    <row r="5" spans="1:3" x14ac:dyDescent="0.2">
      <c r="C5" s="65" t="s">
        <v>856</v>
      </c>
    </row>
    <row r="6" spans="1:3" x14ac:dyDescent="0.2">
      <c r="C6" s="112" t="s">
        <v>1246</v>
      </c>
    </row>
    <row r="7" spans="1:3" x14ac:dyDescent="0.2">
      <c r="B7" s="112" t="s">
        <v>223</v>
      </c>
      <c r="C7" s="112" t="s">
        <v>555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112" t="s">
        <v>1228</v>
      </c>
    </row>
    <row r="3" spans="1:3" x14ac:dyDescent="0.2">
      <c r="B3" s="65" t="s">
        <v>223</v>
      </c>
      <c r="C3" s="112" t="s">
        <v>1229</v>
      </c>
    </row>
    <row r="4" spans="1:3" x14ac:dyDescent="0.2">
      <c r="B4" s="65" t="s">
        <v>0</v>
      </c>
      <c r="C4" s="65" t="s">
        <v>816</v>
      </c>
    </row>
    <row r="5" spans="1:3" x14ac:dyDescent="0.2">
      <c r="B5" s="65" t="s">
        <v>156</v>
      </c>
      <c r="C5" s="112" t="s">
        <v>1231</v>
      </c>
    </row>
    <row r="6" spans="1:3" x14ac:dyDescent="0.2">
      <c r="B6" s="112" t="s">
        <v>169</v>
      </c>
    </row>
    <row r="7" spans="1:3" x14ac:dyDescent="0.2">
      <c r="C7" s="113" t="s">
        <v>1129</v>
      </c>
    </row>
    <row r="10" spans="1:3" x14ac:dyDescent="0.2">
      <c r="C10" s="113" t="s">
        <v>1230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827</v>
      </c>
    </row>
    <row r="3" spans="1:3" x14ac:dyDescent="0.2">
      <c r="B3" s="112" t="s">
        <v>0</v>
      </c>
      <c r="C3" s="112" t="s">
        <v>1115</v>
      </c>
    </row>
    <row r="4" spans="1:3" x14ac:dyDescent="0.2">
      <c r="B4" s="112" t="s">
        <v>174</v>
      </c>
      <c r="C4" s="20" t="s">
        <v>1112</v>
      </c>
    </row>
    <row r="5" spans="1:3" x14ac:dyDescent="0.2">
      <c r="B5" s="112" t="s">
        <v>156</v>
      </c>
      <c r="C5" s="112" t="s">
        <v>1116</v>
      </c>
    </row>
    <row r="6" spans="1:3" x14ac:dyDescent="0.2">
      <c r="B6" s="112" t="s">
        <v>169</v>
      </c>
    </row>
    <row r="7" spans="1:3" x14ac:dyDescent="0.2">
      <c r="C7" s="113" t="s">
        <v>1117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DED-79B8-4782-9318-DA3A5EAF743A}">
  <dimension ref="A1:H14"/>
  <sheetViews>
    <sheetView zoomScale="250" zoomScaleNormal="250" workbookViewId="0"/>
  </sheetViews>
  <sheetFormatPr defaultColWidth="8.85546875" defaultRowHeight="12.75" x14ac:dyDescent="0.2"/>
  <cols>
    <col min="1" max="1" width="5" bestFit="1" customWidth="1"/>
    <col min="2" max="2" width="12.42578125" customWidth="1"/>
  </cols>
  <sheetData>
    <row r="1" spans="1:8" x14ac:dyDescent="0.2">
      <c r="A1" s="20" t="s">
        <v>135</v>
      </c>
    </row>
    <row r="2" spans="1:8" x14ac:dyDescent="0.2">
      <c r="B2" s="112" t="s">
        <v>1399</v>
      </c>
      <c r="C2" s="112" t="s">
        <v>1391</v>
      </c>
    </row>
    <row r="3" spans="1:8" x14ac:dyDescent="0.2">
      <c r="B3" s="112" t="s">
        <v>580</v>
      </c>
    </row>
    <row r="4" spans="1:8" x14ac:dyDescent="0.2">
      <c r="B4" s="112" t="s">
        <v>1401</v>
      </c>
      <c r="C4" s="112" t="s">
        <v>1457</v>
      </c>
    </row>
    <row r="5" spans="1:8" x14ac:dyDescent="0.2">
      <c r="B5" s="112" t="s">
        <v>1282</v>
      </c>
      <c r="C5" s="112" t="s">
        <v>1455</v>
      </c>
    </row>
    <row r="6" spans="1:8" x14ac:dyDescent="0.2">
      <c r="B6" s="112" t="s">
        <v>0</v>
      </c>
      <c r="C6" s="112" t="s">
        <v>1456</v>
      </c>
    </row>
    <row r="7" spans="1:8" x14ac:dyDescent="0.2">
      <c r="B7" s="112" t="s">
        <v>798</v>
      </c>
      <c r="C7" s="112" t="s">
        <v>1462</v>
      </c>
    </row>
    <row r="8" spans="1:8" x14ac:dyDescent="0.2">
      <c r="B8" s="112" t="s">
        <v>1463</v>
      </c>
      <c r="C8" s="112" t="s">
        <v>1464</v>
      </c>
    </row>
    <row r="9" spans="1:8" x14ac:dyDescent="0.2">
      <c r="B9" s="112" t="s">
        <v>169</v>
      </c>
    </row>
    <row r="10" spans="1:8" x14ac:dyDescent="0.2">
      <c r="C10" s="113" t="s">
        <v>1459</v>
      </c>
    </row>
    <row r="11" spans="1:8" x14ac:dyDescent="0.2">
      <c r="C11" s="112" t="s">
        <v>1458</v>
      </c>
      <c r="G11" s="187"/>
    </row>
    <row r="12" spans="1:8" x14ac:dyDescent="0.2">
      <c r="H12" s="187"/>
    </row>
    <row r="13" spans="1:8" x14ac:dyDescent="0.2">
      <c r="C13" s="113" t="s">
        <v>1460</v>
      </c>
      <c r="G13" s="187"/>
    </row>
    <row r="14" spans="1:8" x14ac:dyDescent="0.2">
      <c r="C14" s="112" t="s">
        <v>1461</v>
      </c>
    </row>
  </sheetData>
  <hyperlinks>
    <hyperlink ref="A1" location="Main!A1" display="Main" xr:uid="{BCFFFA33-A082-4A35-A503-0A0FA062209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828</v>
      </c>
    </row>
    <row r="3" spans="1:3" x14ac:dyDescent="0.2">
      <c r="B3" s="112" t="s">
        <v>0</v>
      </c>
      <c r="C3" s="112" t="s">
        <v>1115</v>
      </c>
    </row>
    <row r="4" spans="1:3" x14ac:dyDescent="0.2">
      <c r="B4" s="112" t="s">
        <v>174</v>
      </c>
      <c r="C4" s="20" t="s">
        <v>1112</v>
      </c>
    </row>
    <row r="5" spans="1:3" x14ac:dyDescent="0.2">
      <c r="B5" s="112" t="s">
        <v>156</v>
      </c>
      <c r="C5" s="112" t="s">
        <v>1113</v>
      </c>
    </row>
    <row r="6" spans="1:3" x14ac:dyDescent="0.2">
      <c r="B6" s="112" t="s">
        <v>169</v>
      </c>
    </row>
    <row r="7" spans="1:3" x14ac:dyDescent="0.2">
      <c r="C7" s="113" t="s">
        <v>1114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836</v>
      </c>
    </row>
    <row r="3" spans="1:3" x14ac:dyDescent="0.2">
      <c r="B3" s="112" t="s">
        <v>0</v>
      </c>
      <c r="C3" s="112" t="s">
        <v>769</v>
      </c>
    </row>
    <row r="4" spans="1:3" x14ac:dyDescent="0.2">
      <c r="B4" s="112" t="s">
        <v>156</v>
      </c>
      <c r="C4" s="112" t="s">
        <v>1119</v>
      </c>
    </row>
    <row r="5" spans="1:3" x14ac:dyDescent="0.2">
      <c r="B5" s="112" t="s">
        <v>223</v>
      </c>
      <c r="C5" s="112" t="s">
        <v>819</v>
      </c>
    </row>
    <row r="6" spans="1:3" x14ac:dyDescent="0.2">
      <c r="B6" s="112" t="s">
        <v>169</v>
      </c>
    </row>
    <row r="7" spans="1:3" x14ac:dyDescent="0.2">
      <c r="C7" s="113" t="s">
        <v>1120</v>
      </c>
    </row>
    <row r="8" spans="1:3" x14ac:dyDescent="0.2">
      <c r="C8" s="112" t="s">
        <v>1121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453</v>
      </c>
    </row>
    <row r="3" spans="1:3" x14ac:dyDescent="0.2">
      <c r="B3" s="112" t="s">
        <v>154</v>
      </c>
      <c r="C3" s="112" t="s">
        <v>1125</v>
      </c>
    </row>
    <row r="4" spans="1:3" x14ac:dyDescent="0.2">
      <c r="B4" s="112" t="s">
        <v>169</v>
      </c>
    </row>
    <row r="5" spans="1:3" x14ac:dyDescent="0.2">
      <c r="C5" s="113" t="s">
        <v>1126</v>
      </c>
    </row>
    <row r="6" spans="1:3" x14ac:dyDescent="0.2">
      <c r="C6" s="112" t="s">
        <v>1127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843</v>
      </c>
    </row>
    <row r="3" spans="1:3" x14ac:dyDescent="0.2">
      <c r="B3" s="112" t="s">
        <v>223</v>
      </c>
      <c r="C3" s="112" t="s">
        <v>1132</v>
      </c>
    </row>
    <row r="4" spans="1:3" x14ac:dyDescent="0.2">
      <c r="B4" s="112" t="s">
        <v>0</v>
      </c>
      <c r="C4" s="112" t="s">
        <v>844</v>
      </c>
    </row>
    <row r="5" spans="1:3" x14ac:dyDescent="0.2">
      <c r="B5" s="112" t="s">
        <v>156</v>
      </c>
      <c r="C5" s="112" t="s">
        <v>1134</v>
      </c>
    </row>
    <row r="6" spans="1:3" x14ac:dyDescent="0.2">
      <c r="B6" s="112" t="s">
        <v>169</v>
      </c>
    </row>
    <row r="7" spans="1:3" x14ac:dyDescent="0.2">
      <c r="C7" s="113" t="s">
        <v>1133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569</v>
      </c>
    </row>
    <row r="3" spans="1:3" x14ac:dyDescent="0.2">
      <c r="B3" s="112" t="s">
        <v>154</v>
      </c>
      <c r="C3" s="112" t="s">
        <v>1139</v>
      </c>
    </row>
    <row r="4" spans="1:3" x14ac:dyDescent="0.2">
      <c r="B4" s="112" t="s">
        <v>0</v>
      </c>
      <c r="C4" s="112" t="s">
        <v>1140</v>
      </c>
    </row>
    <row r="5" spans="1:3" x14ac:dyDescent="0.2">
      <c r="B5" s="112" t="s">
        <v>174</v>
      </c>
      <c r="C5" s="112" t="s">
        <v>1141</v>
      </c>
    </row>
    <row r="6" spans="1:3" x14ac:dyDescent="0.2">
      <c r="B6" s="112" t="s">
        <v>169</v>
      </c>
    </row>
    <row r="7" spans="1:3" x14ac:dyDescent="0.2">
      <c r="C7" s="113" t="s">
        <v>1199</v>
      </c>
    </row>
    <row r="8" spans="1:3" x14ac:dyDescent="0.2">
      <c r="C8" s="112" t="s">
        <v>1200</v>
      </c>
    </row>
    <row r="9" spans="1:3" x14ac:dyDescent="0.2">
      <c r="C9" s="69" t="s">
        <v>1201</v>
      </c>
    </row>
    <row r="10" spans="1:3" x14ac:dyDescent="0.2">
      <c r="C10" s="112" t="s">
        <v>1247</v>
      </c>
    </row>
    <row r="12" spans="1:3" x14ac:dyDescent="0.2">
      <c r="C12" s="113" t="s">
        <v>1284</v>
      </c>
    </row>
    <row r="13" spans="1:3" x14ac:dyDescent="0.2">
      <c r="C13" s="112" t="s">
        <v>1285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820</v>
      </c>
    </row>
    <row r="3" spans="1:3" x14ac:dyDescent="0.2">
      <c r="B3" s="112" t="s">
        <v>154</v>
      </c>
      <c r="C3" s="112" t="s">
        <v>1147</v>
      </c>
    </row>
    <row r="4" spans="1:3" x14ac:dyDescent="0.2">
      <c r="B4" s="112" t="s">
        <v>223</v>
      </c>
      <c r="C4" s="112" t="s">
        <v>1144</v>
      </c>
    </row>
    <row r="5" spans="1:3" x14ac:dyDescent="0.2">
      <c r="B5" s="112" t="s">
        <v>0</v>
      </c>
      <c r="C5" s="112" t="s">
        <v>857</v>
      </c>
    </row>
    <row r="6" spans="1:3" x14ac:dyDescent="0.2">
      <c r="B6" s="112" t="s">
        <v>169</v>
      </c>
    </row>
    <row r="7" spans="1:3" x14ac:dyDescent="0.2">
      <c r="C7" s="113" t="s">
        <v>1145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</v>
      </c>
    </row>
    <row r="3" spans="1:3" x14ac:dyDescent="0.2">
      <c r="B3" s="112" t="s">
        <v>154</v>
      </c>
      <c r="C3" s="112" t="s">
        <v>1152</v>
      </c>
    </row>
    <row r="4" spans="1:3" x14ac:dyDescent="0.2">
      <c r="B4" s="112" t="s">
        <v>0</v>
      </c>
      <c r="C4" s="112" t="s">
        <v>1153</v>
      </c>
    </row>
    <row r="5" spans="1:3" x14ac:dyDescent="0.2">
      <c r="B5" s="112" t="s">
        <v>156</v>
      </c>
      <c r="C5" s="112" t="s">
        <v>1154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1238</v>
      </c>
    </row>
    <row r="3" spans="1:3" x14ac:dyDescent="0.2">
      <c r="B3" s="112" t="s">
        <v>176</v>
      </c>
      <c r="C3" s="112" t="s">
        <v>1157</v>
      </c>
    </row>
    <row r="4" spans="1:3" x14ac:dyDescent="0.2">
      <c r="B4" s="112" t="s">
        <v>156</v>
      </c>
      <c r="C4" s="112" t="s">
        <v>1158</v>
      </c>
    </row>
    <row r="5" spans="1:3" x14ac:dyDescent="0.2">
      <c r="B5" s="112" t="s">
        <v>0</v>
      </c>
      <c r="C5" s="112" t="s">
        <v>1159</v>
      </c>
    </row>
    <row r="6" spans="1:3" x14ac:dyDescent="0.2">
      <c r="B6" s="112" t="s">
        <v>213</v>
      </c>
      <c r="C6" s="112" t="s">
        <v>1260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1188</v>
      </c>
    </row>
    <row r="3" spans="1:3" x14ac:dyDescent="0.2">
      <c r="B3" s="112" t="s">
        <v>0</v>
      </c>
      <c r="C3" s="112" t="s">
        <v>1189</v>
      </c>
    </row>
    <row r="4" spans="1:3" x14ac:dyDescent="0.2">
      <c r="B4" s="112" t="s">
        <v>174</v>
      </c>
      <c r="C4" s="112" t="s">
        <v>1190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  <col min="3" max="3" width="14.71093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25</v>
      </c>
    </row>
    <row r="3" spans="1:3" x14ac:dyDescent="0.2">
      <c r="B3" s="112" t="s">
        <v>154</v>
      </c>
      <c r="C3" s="112" t="s">
        <v>1192</v>
      </c>
    </row>
    <row r="4" spans="1:3" x14ac:dyDescent="0.2">
      <c r="B4" s="112" t="s">
        <v>0</v>
      </c>
      <c r="C4" s="112" t="s">
        <v>1193</v>
      </c>
    </row>
    <row r="5" spans="1:3" x14ac:dyDescent="0.2">
      <c r="B5" s="112" t="s">
        <v>176</v>
      </c>
      <c r="C5" s="112" t="s">
        <v>1194</v>
      </c>
    </row>
    <row r="6" spans="1:3" x14ac:dyDescent="0.2">
      <c r="B6" s="112" t="s">
        <v>157</v>
      </c>
      <c r="C6" s="112" t="s">
        <v>1227</v>
      </c>
    </row>
    <row r="7" spans="1:3" x14ac:dyDescent="0.2">
      <c r="B7" s="112" t="s">
        <v>174</v>
      </c>
      <c r="C7" s="112" t="s">
        <v>1240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14"/>
  <sheetViews>
    <sheetView zoomScale="280" zoomScaleNormal="280" workbookViewId="0">
      <selection activeCell="D6" sqref="D6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20" t="s">
        <v>135</v>
      </c>
    </row>
    <row r="2" spans="1:3" x14ac:dyDescent="0.2">
      <c r="B2" t="s">
        <v>1399</v>
      </c>
      <c r="C2" t="s">
        <v>1380</v>
      </c>
    </row>
    <row r="3" spans="1:3" x14ac:dyDescent="0.2">
      <c r="B3" t="s">
        <v>580</v>
      </c>
      <c r="C3" s="112" t="s">
        <v>1451</v>
      </c>
    </row>
    <row r="4" spans="1:3" x14ac:dyDescent="0.2">
      <c r="B4" t="s">
        <v>3</v>
      </c>
      <c r="C4" s="189" t="s">
        <v>1475</v>
      </c>
    </row>
    <row r="5" spans="1:3" x14ac:dyDescent="0.2">
      <c r="C5" s="112" t="s">
        <v>1473</v>
      </c>
    </row>
    <row r="7" spans="1:3" x14ac:dyDescent="0.2">
      <c r="B7" t="s">
        <v>1399</v>
      </c>
      <c r="C7" s="112" t="s">
        <v>1379</v>
      </c>
    </row>
    <row r="8" spans="1:3" x14ac:dyDescent="0.2">
      <c r="B8" t="s">
        <v>580</v>
      </c>
      <c r="C8" s="112" t="s">
        <v>1449</v>
      </c>
    </row>
    <row r="10" spans="1:3" x14ac:dyDescent="0.2">
      <c r="B10" t="s">
        <v>1399</v>
      </c>
      <c r="C10" s="112" t="s">
        <v>1381</v>
      </c>
    </row>
    <row r="11" spans="1:3" x14ac:dyDescent="0.2">
      <c r="B11" t="s">
        <v>580</v>
      </c>
      <c r="C11" s="112" t="s">
        <v>1474</v>
      </c>
    </row>
    <row r="13" spans="1:3" x14ac:dyDescent="0.2">
      <c r="B13" s="112" t="s">
        <v>1399</v>
      </c>
      <c r="C13" s="112" t="s">
        <v>1382</v>
      </c>
    </row>
    <row r="14" spans="1:3" x14ac:dyDescent="0.2">
      <c r="B14" t="s">
        <v>580</v>
      </c>
      <c r="C14" s="112" t="s">
        <v>1450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1245</v>
      </c>
    </row>
    <row r="3" spans="1:3" x14ac:dyDescent="0.2">
      <c r="B3" s="112" t="s">
        <v>154</v>
      </c>
      <c r="C3" s="112" t="s">
        <v>1244</v>
      </c>
    </row>
    <row r="4" spans="1:3" x14ac:dyDescent="0.2">
      <c r="B4" s="112" t="s">
        <v>174</v>
      </c>
      <c r="C4" s="112" t="s">
        <v>1268</v>
      </c>
    </row>
    <row r="5" spans="1:3" x14ac:dyDescent="0.2">
      <c r="C5" s="112" t="s">
        <v>1297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1267</v>
      </c>
    </row>
    <row r="3" spans="1:3" x14ac:dyDescent="0.2">
      <c r="B3" s="112" t="s">
        <v>223</v>
      </c>
      <c r="C3" s="112" t="s">
        <v>593</v>
      </c>
    </row>
    <row r="4" spans="1:3" x14ac:dyDescent="0.2">
      <c r="B4" s="112" t="s">
        <v>156</v>
      </c>
      <c r="C4" s="112" t="s">
        <v>1263</v>
      </c>
    </row>
    <row r="5" spans="1:3" x14ac:dyDescent="0.2">
      <c r="B5" s="112" t="s">
        <v>0</v>
      </c>
      <c r="C5" s="112" t="s">
        <v>66</v>
      </c>
    </row>
    <row r="6" spans="1:3" x14ac:dyDescent="0.2">
      <c r="B6" s="112" t="s">
        <v>1265</v>
      </c>
      <c r="C6" s="112" t="s">
        <v>1266</v>
      </c>
    </row>
    <row r="7" spans="1:3" x14ac:dyDescent="0.2">
      <c r="B7" s="112" t="s">
        <v>1282</v>
      </c>
      <c r="C7" s="112" t="s">
        <v>1283</v>
      </c>
    </row>
    <row r="8" spans="1:3" x14ac:dyDescent="0.2">
      <c r="B8" s="112" t="s">
        <v>169</v>
      </c>
    </row>
    <row r="9" spans="1:3" x14ac:dyDescent="0.2">
      <c r="C9" s="113" t="s">
        <v>1280</v>
      </c>
    </row>
    <row r="10" spans="1:3" x14ac:dyDescent="0.2">
      <c r="C10" s="112" t="s">
        <v>1281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1272</v>
      </c>
    </row>
    <row r="3" spans="1:3" x14ac:dyDescent="0.2">
      <c r="B3" s="112" t="s">
        <v>154</v>
      </c>
      <c r="C3" s="112" t="s">
        <v>1271</v>
      </c>
    </row>
    <row r="4" spans="1:3" x14ac:dyDescent="0.2">
      <c r="B4" s="112" t="s">
        <v>156</v>
      </c>
      <c r="C4" s="112" t="s">
        <v>1273</v>
      </c>
    </row>
    <row r="5" spans="1:3" x14ac:dyDescent="0.2">
      <c r="B5" s="112" t="s">
        <v>0</v>
      </c>
      <c r="C5" s="112" t="s">
        <v>1274</v>
      </c>
    </row>
    <row r="6" spans="1:3" x14ac:dyDescent="0.2">
      <c r="B6" s="112" t="s">
        <v>174</v>
      </c>
      <c r="C6" s="112" t="s">
        <v>1275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</row>
    <row r="3" spans="1:3" x14ac:dyDescent="0.2">
      <c r="B3" s="112" t="s">
        <v>154</v>
      </c>
      <c r="C3" s="112" t="s">
        <v>1276</v>
      </c>
    </row>
    <row r="4" spans="1:3" x14ac:dyDescent="0.2">
      <c r="B4" s="112" t="s">
        <v>0</v>
      </c>
      <c r="C4" s="112" t="s">
        <v>1278</v>
      </c>
    </row>
    <row r="5" spans="1:3" x14ac:dyDescent="0.2">
      <c r="B5" s="112" t="s">
        <v>223</v>
      </c>
      <c r="C5" s="112" t="s">
        <v>1277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1304</v>
      </c>
    </row>
    <row r="3" spans="1:3" x14ac:dyDescent="0.2">
      <c r="B3" s="112" t="s">
        <v>154</v>
      </c>
      <c r="C3" s="112" t="s">
        <v>1298</v>
      </c>
    </row>
    <row r="4" spans="1:3" x14ac:dyDescent="0.2">
      <c r="B4" s="112" t="s">
        <v>0</v>
      </c>
      <c r="C4" s="112" t="s">
        <v>206</v>
      </c>
    </row>
    <row r="5" spans="1:3" x14ac:dyDescent="0.2">
      <c r="B5" s="112" t="s">
        <v>156</v>
      </c>
      <c r="C5" s="112" t="s">
        <v>1300</v>
      </c>
    </row>
    <row r="6" spans="1:3" x14ac:dyDescent="0.2">
      <c r="B6" s="112" t="s">
        <v>223</v>
      </c>
      <c r="C6" s="112" t="s">
        <v>1301</v>
      </c>
    </row>
    <row r="7" spans="1:3" x14ac:dyDescent="0.2">
      <c r="B7" s="112" t="s">
        <v>2</v>
      </c>
      <c r="C7" s="112" t="s">
        <v>1323</v>
      </c>
    </row>
    <row r="8" spans="1:3" x14ac:dyDescent="0.2">
      <c r="B8" s="112" t="s">
        <v>169</v>
      </c>
    </row>
    <row r="9" spans="1:3" x14ac:dyDescent="0.2">
      <c r="C9" s="113" t="s">
        <v>1299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1" width="6.7109375" style="1" bestFit="1" customWidth="1"/>
    <col min="12" max="14" width="6.42578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17" t="s">
        <v>153</v>
      </c>
      <c r="C2" s="117" t="s">
        <v>14</v>
      </c>
    </row>
    <row r="3" spans="1:3" x14ac:dyDescent="0.2">
      <c r="A3" s="17"/>
      <c r="B3" s="117" t="s">
        <v>169</v>
      </c>
    </row>
    <row r="4" spans="1:3" x14ac:dyDescent="0.2">
      <c r="A4" s="17"/>
      <c r="B4" s="117"/>
      <c r="C4" s="19" t="s">
        <v>1292</v>
      </c>
    </row>
    <row r="5" spans="1:3" x14ac:dyDescent="0.2">
      <c r="A5" s="17"/>
      <c r="B5" s="117"/>
      <c r="C5" s="117" t="s">
        <v>1293</v>
      </c>
    </row>
    <row r="7" spans="1:3" x14ac:dyDescent="0.2">
      <c r="C7" s="19" t="s">
        <v>215</v>
      </c>
    </row>
    <row r="8" spans="1:3" x14ac:dyDescent="0.2">
      <c r="C8" s="1" t="s">
        <v>231</v>
      </c>
    </row>
    <row r="9" spans="1:3" x14ac:dyDescent="0.2">
      <c r="C9" s="1" t="s">
        <v>232</v>
      </c>
    </row>
    <row r="10" spans="1:3" x14ac:dyDescent="0.2">
      <c r="C10" s="1" t="s">
        <v>233</v>
      </c>
    </row>
    <row r="12" spans="1:3" x14ac:dyDescent="0.2">
      <c r="C12" s="19" t="s">
        <v>207</v>
      </c>
    </row>
    <row r="16" spans="1:3" x14ac:dyDescent="0.2">
      <c r="C16" s="19" t="s">
        <v>216</v>
      </c>
    </row>
    <row r="24" spans="2:26" s="24" customFormat="1" x14ac:dyDescent="0.2">
      <c r="B24" s="21" t="s">
        <v>44</v>
      </c>
      <c r="C24" s="120" t="s">
        <v>45</v>
      </c>
      <c r="D24" s="120" t="s">
        <v>46</v>
      </c>
      <c r="E24" s="120" t="s">
        <v>47</v>
      </c>
      <c r="F24" s="120" t="s">
        <v>48</v>
      </c>
      <c r="G24" s="120" t="s">
        <v>49</v>
      </c>
      <c r="H24" s="120" t="s">
        <v>50</v>
      </c>
      <c r="I24" s="120" t="s">
        <v>51</v>
      </c>
      <c r="J24" s="120" t="s">
        <v>52</v>
      </c>
      <c r="K24" s="120" t="s">
        <v>53</v>
      </c>
      <c r="L24" s="120"/>
      <c r="M24" s="120"/>
      <c r="N24" s="120"/>
      <c r="O24" s="120"/>
      <c r="P24" s="121">
        <v>2003</v>
      </c>
      <c r="Q24" s="121">
        <v>2004</v>
      </c>
      <c r="R24" s="121">
        <v>2005</v>
      </c>
      <c r="S24" s="121">
        <v>2006</v>
      </c>
      <c r="T24" s="121"/>
      <c r="U24" s="121"/>
      <c r="V24" s="121"/>
      <c r="W24" s="121"/>
      <c r="X24" s="121"/>
      <c r="Y24" s="122"/>
      <c r="Z24" s="122"/>
    </row>
    <row r="25" spans="2:26" s="27" customFormat="1" x14ac:dyDescent="0.2">
      <c r="B25" s="25" t="s">
        <v>57</v>
      </c>
      <c r="C25" s="123">
        <v>185</v>
      </c>
      <c r="D25" s="123">
        <v>233</v>
      </c>
      <c r="E25" s="123">
        <v>216</v>
      </c>
      <c r="F25" s="123">
        <v>218</v>
      </c>
      <c r="G25" s="123">
        <v>215</v>
      </c>
      <c r="H25" s="123">
        <v>263</v>
      </c>
      <c r="I25" s="123">
        <v>265</v>
      </c>
      <c r="J25" s="123">
        <v>234</v>
      </c>
      <c r="K25" s="123">
        <v>281</v>
      </c>
      <c r="L25" s="123"/>
      <c r="M25" s="123"/>
      <c r="N25" s="123"/>
      <c r="O25" s="123"/>
      <c r="P25" s="123">
        <v>755</v>
      </c>
      <c r="Q25" s="123">
        <v>852</v>
      </c>
      <c r="R25" s="123">
        <v>977</v>
      </c>
      <c r="S25" s="123">
        <v>1170</v>
      </c>
      <c r="T25" s="123"/>
      <c r="U25" s="123"/>
      <c r="V25" s="123"/>
      <c r="W25" s="123"/>
      <c r="X25" s="123"/>
      <c r="Y25" s="124"/>
      <c r="Z25" s="124"/>
    </row>
    <row r="26" spans="2:26" s="27" customFormat="1" x14ac:dyDescent="0.2">
      <c r="B26" s="25" t="s">
        <v>58</v>
      </c>
      <c r="C26" s="123">
        <v>21</v>
      </c>
      <c r="D26" s="123">
        <v>24</v>
      </c>
      <c r="E26" s="123">
        <v>27</v>
      </c>
      <c r="F26" s="123">
        <v>29</v>
      </c>
      <c r="G26" s="123">
        <v>32</v>
      </c>
      <c r="H26" s="123">
        <v>39</v>
      </c>
      <c r="I26" s="123">
        <v>40</v>
      </c>
      <c r="J26" s="123">
        <v>46</v>
      </c>
      <c r="K26" s="123">
        <v>51</v>
      </c>
      <c r="L26" s="123"/>
      <c r="M26" s="123"/>
      <c r="N26" s="123"/>
      <c r="O26" s="123"/>
      <c r="P26" s="123">
        <v>68</v>
      </c>
      <c r="Q26" s="123">
        <v>101</v>
      </c>
      <c r="R26" s="123">
        <v>157</v>
      </c>
      <c r="S26" s="123">
        <v>230</v>
      </c>
      <c r="T26" s="123"/>
      <c r="U26" s="123"/>
      <c r="V26" s="123"/>
      <c r="W26" s="123"/>
      <c r="X26" s="123"/>
      <c r="Y26" s="124"/>
      <c r="Z26" s="124"/>
    </row>
    <row r="27" spans="2:26" s="27" customFormat="1" x14ac:dyDescent="0.2">
      <c r="B27" s="25" t="s">
        <v>59</v>
      </c>
      <c r="C27" s="123">
        <v>31</v>
      </c>
      <c r="D27" s="123">
        <v>49</v>
      </c>
      <c r="E27" s="123">
        <v>41</v>
      </c>
      <c r="F27" s="123">
        <v>40</v>
      </c>
      <c r="G27" s="123">
        <v>40</v>
      </c>
      <c r="H27" s="123">
        <v>50</v>
      </c>
      <c r="I27" s="123">
        <v>50</v>
      </c>
      <c r="J27" s="123">
        <v>55</v>
      </c>
      <c r="K27" s="123">
        <v>52</v>
      </c>
      <c r="L27" s="123"/>
      <c r="M27" s="123"/>
      <c r="N27" s="123"/>
      <c r="O27" s="123"/>
      <c r="P27" s="123">
        <v>106</v>
      </c>
      <c r="Q27" s="123">
        <v>161</v>
      </c>
      <c r="R27" s="123">
        <v>195</v>
      </c>
      <c r="S27" s="123">
        <v>240</v>
      </c>
      <c r="T27" s="123"/>
      <c r="U27" s="123"/>
      <c r="V27" s="123"/>
      <c r="W27" s="123"/>
      <c r="X27" s="123"/>
      <c r="Y27" s="124"/>
      <c r="Z27" s="124"/>
    </row>
    <row r="28" spans="2:26" x14ac:dyDescent="0.2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08E-4C4F-4687-AEDC-539C37C28001}">
  <dimension ref="A1:C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1399</v>
      </c>
      <c r="C2" s="112" t="s">
        <v>1476</v>
      </c>
    </row>
    <row r="3" spans="1:3" x14ac:dyDescent="0.2">
      <c r="B3" s="112" t="s">
        <v>580</v>
      </c>
      <c r="C3" s="112" t="s">
        <v>1477</v>
      </c>
    </row>
    <row r="4" spans="1:3" x14ac:dyDescent="0.2">
      <c r="B4" s="112" t="s">
        <v>157</v>
      </c>
      <c r="C4" s="112" t="s">
        <v>1478</v>
      </c>
    </row>
    <row r="5" spans="1:3" x14ac:dyDescent="0.2">
      <c r="B5" s="112" t="s">
        <v>0</v>
      </c>
      <c r="C5" s="112" t="s">
        <v>1479</v>
      </c>
    </row>
  </sheetData>
  <hyperlinks>
    <hyperlink ref="A1" location="Main!A1" display="Main" xr:uid="{DC1043FC-41E0-438A-93C1-427843BC1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3.140625" style="1" customWidth="1"/>
    <col min="3" max="10" width="6.7109375" style="1" bestFit="1" customWidth="1"/>
    <col min="11" max="14" width="6.42578125" style="1" bestFit="1" customWidth="1"/>
    <col min="15" max="18" width="6.42578125" style="1" customWidth="1"/>
    <col min="19" max="19" width="2" style="1" customWidth="1"/>
    <col min="20" max="29" width="6.140625" style="1" customWidth="1"/>
    <col min="30" max="30" width="7.140625" style="1" customWidth="1"/>
    <col min="31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1195</v>
      </c>
    </row>
    <row r="3" spans="1:3" x14ac:dyDescent="0.2">
      <c r="B3" s="1" t="s">
        <v>154</v>
      </c>
      <c r="C3" s="1" t="s">
        <v>506</v>
      </c>
    </row>
    <row r="4" spans="1:3" x14ac:dyDescent="0.2">
      <c r="B4" s="1" t="s">
        <v>156</v>
      </c>
      <c r="C4" s="1" t="s">
        <v>329</v>
      </c>
    </row>
    <row r="5" spans="1:3" x14ac:dyDescent="0.2">
      <c r="B5" s="1" t="s">
        <v>0</v>
      </c>
      <c r="C5" s="1" t="s">
        <v>210</v>
      </c>
    </row>
    <row r="6" spans="1:3" x14ac:dyDescent="0.2">
      <c r="B6" s="1" t="s">
        <v>507</v>
      </c>
      <c r="C6" s="1" t="s">
        <v>801</v>
      </c>
    </row>
    <row r="7" spans="1:3" x14ac:dyDescent="0.2">
      <c r="B7" s="1" t="s">
        <v>798</v>
      </c>
      <c r="C7" s="1" t="s">
        <v>799</v>
      </c>
    </row>
    <row r="8" spans="1:3" x14ac:dyDescent="0.2">
      <c r="B8" s="1" t="s">
        <v>2</v>
      </c>
      <c r="C8" s="1" t="s">
        <v>556</v>
      </c>
    </row>
    <row r="9" spans="1:3" x14ac:dyDescent="0.2">
      <c r="B9" s="1" t="s">
        <v>176</v>
      </c>
      <c r="C9" s="1" t="s">
        <v>508</v>
      </c>
    </row>
    <row r="10" spans="1:3" x14ac:dyDescent="0.2">
      <c r="C10" s="118" t="s">
        <v>1219</v>
      </c>
    </row>
    <row r="11" spans="1:3" x14ac:dyDescent="0.2">
      <c r="B11" s="31" t="s">
        <v>223</v>
      </c>
      <c r="C11" s="31" t="s">
        <v>800</v>
      </c>
    </row>
    <row r="12" spans="1:3" x14ac:dyDescent="0.2">
      <c r="B12" s="1" t="s">
        <v>3</v>
      </c>
      <c r="C12" s="31" t="s">
        <v>572</v>
      </c>
    </row>
    <row r="13" spans="1:3" x14ac:dyDescent="0.2">
      <c r="C13" s="1" t="s">
        <v>496</v>
      </c>
    </row>
    <row r="14" spans="1:3" x14ac:dyDescent="0.2">
      <c r="C14" s="31" t="s">
        <v>597</v>
      </c>
    </row>
    <row r="15" spans="1:3" x14ac:dyDescent="0.2">
      <c r="C15" s="31" t="s">
        <v>598</v>
      </c>
    </row>
    <row r="16" spans="1:3" x14ac:dyDescent="0.2">
      <c r="C16" s="31" t="s">
        <v>599</v>
      </c>
    </row>
    <row r="17" spans="2:31" x14ac:dyDescent="0.2">
      <c r="C17" s="31" t="s">
        <v>778</v>
      </c>
    </row>
    <row r="18" spans="2:31" x14ac:dyDescent="0.2">
      <c r="C18" s="31" t="s">
        <v>779</v>
      </c>
    </row>
    <row r="19" spans="2:31" x14ac:dyDescent="0.2">
      <c r="C19" s="31" t="s">
        <v>793</v>
      </c>
    </row>
    <row r="20" spans="2:31" x14ac:dyDescent="0.2">
      <c r="C20" s="117" t="s">
        <v>1196</v>
      </c>
    </row>
    <row r="21" spans="2:31" x14ac:dyDescent="0.2">
      <c r="C21" s="117" t="s">
        <v>1289</v>
      </c>
    </row>
    <row r="22" spans="2:31" x14ac:dyDescent="0.2">
      <c r="B22" s="1" t="s">
        <v>373</v>
      </c>
      <c r="C22" s="31" t="s">
        <v>585</v>
      </c>
    </row>
    <row r="23" spans="2:31" x14ac:dyDescent="0.2">
      <c r="B23" s="1" t="s">
        <v>213</v>
      </c>
      <c r="C23" s="1" t="s">
        <v>236</v>
      </c>
    </row>
    <row r="24" spans="2:31" x14ac:dyDescent="0.2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x14ac:dyDescent="0.2">
      <c r="B25" s="1" t="s">
        <v>169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x14ac:dyDescent="0.2">
      <c r="C26" s="19" t="s">
        <v>235</v>
      </c>
    </row>
    <row r="27" spans="2:31" x14ac:dyDescent="0.2">
      <c r="C27" s="1" t="s">
        <v>211</v>
      </c>
    </row>
    <row r="28" spans="2:31" x14ac:dyDescent="0.2">
      <c r="C28" s="1" t="s">
        <v>101</v>
      </c>
    </row>
    <row r="29" spans="2:31" x14ac:dyDescent="0.2">
      <c r="D29" s="1" t="s">
        <v>209</v>
      </c>
    </row>
    <row r="30" spans="2:31" x14ac:dyDescent="0.2">
      <c r="C30" s="1" t="s">
        <v>212</v>
      </c>
    </row>
    <row r="31" spans="2:31" x14ac:dyDescent="0.2">
      <c r="C31" s="1" t="s">
        <v>234</v>
      </c>
    </row>
    <row r="35" spans="3:3" x14ac:dyDescent="0.2">
      <c r="C35" s="1" t="s">
        <v>111</v>
      </c>
    </row>
    <row r="36" spans="3:3" x14ac:dyDescent="0.2">
      <c r="C36" s="1" t="s">
        <v>112</v>
      </c>
    </row>
    <row r="37" spans="3:3" x14ac:dyDescent="0.2">
      <c r="C37" s="1" t="s">
        <v>107</v>
      </c>
    </row>
    <row r="38" spans="3:3" x14ac:dyDescent="0.2">
      <c r="C38" s="1" t="s">
        <v>109</v>
      </c>
    </row>
    <row r="39" spans="3:3" x14ac:dyDescent="0.2">
      <c r="C39" s="1" t="s">
        <v>110</v>
      </c>
    </row>
    <row r="42" spans="3:3" x14ac:dyDescent="0.2">
      <c r="C42" s="1" t="s">
        <v>119</v>
      </c>
    </row>
    <row r="44" spans="3:3" x14ac:dyDescent="0.2">
      <c r="C44" s="1" t="s">
        <v>133</v>
      </c>
    </row>
    <row r="46" spans="3:3" x14ac:dyDescent="0.2">
      <c r="C46" s="1" t="s">
        <v>208</v>
      </c>
    </row>
    <row r="53" spans="3:3" x14ac:dyDescent="0.2">
      <c r="C53" s="1" t="s">
        <v>557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1.140625" customWidth="1"/>
  </cols>
  <sheetData>
    <row r="1" spans="1:3" x14ac:dyDescent="0.2">
      <c r="A1" s="20" t="s">
        <v>135</v>
      </c>
    </row>
    <row r="2" spans="1:3" x14ac:dyDescent="0.2">
      <c r="B2" s="112" t="s">
        <v>1399</v>
      </c>
      <c r="C2" s="112" t="s">
        <v>1386</v>
      </c>
    </row>
    <row r="3" spans="1:3" x14ac:dyDescent="0.2">
      <c r="B3" s="112" t="s">
        <v>580</v>
      </c>
      <c r="C3" s="112" t="s">
        <v>1444</v>
      </c>
    </row>
    <row r="4" spans="1:3" x14ac:dyDescent="0.2">
      <c r="B4" s="112" t="s">
        <v>0</v>
      </c>
      <c r="C4" s="112" t="s">
        <v>1445</v>
      </c>
    </row>
    <row r="5" spans="1:3" x14ac:dyDescent="0.2">
      <c r="B5" s="112" t="s">
        <v>1401</v>
      </c>
      <c r="C5" s="112" t="s">
        <v>1443</v>
      </c>
    </row>
    <row r="6" spans="1:3" x14ac:dyDescent="0.2">
      <c r="B6" s="112" t="s">
        <v>3</v>
      </c>
      <c r="C6" s="112" t="s">
        <v>1448</v>
      </c>
    </row>
    <row r="7" spans="1:3" x14ac:dyDescent="0.2">
      <c r="B7" s="112" t="s">
        <v>1446</v>
      </c>
      <c r="C7" s="179" t="s">
        <v>1447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17" t="s">
        <v>1180</v>
      </c>
    </row>
    <row r="3" spans="1:3" x14ac:dyDescent="0.2">
      <c r="A3" s="17"/>
      <c r="B3" s="117" t="s">
        <v>154</v>
      </c>
      <c r="C3" s="117" t="s">
        <v>1160</v>
      </c>
    </row>
    <row r="4" spans="1:3" x14ac:dyDescent="0.2">
      <c r="A4" s="17"/>
      <c r="B4" s="117" t="s">
        <v>156</v>
      </c>
      <c r="C4" s="117" t="s">
        <v>1161</v>
      </c>
    </row>
    <row r="5" spans="1:3" x14ac:dyDescent="0.2">
      <c r="A5" s="17"/>
      <c r="B5" s="117"/>
      <c r="C5" s="117" t="s">
        <v>1213</v>
      </c>
    </row>
    <row r="6" spans="1:3" x14ac:dyDescent="0.2">
      <c r="A6" s="17"/>
      <c r="B6" s="117" t="s">
        <v>157</v>
      </c>
      <c r="C6" s="117" t="s">
        <v>1162</v>
      </c>
    </row>
    <row r="7" spans="1:3" x14ac:dyDescent="0.2">
      <c r="B7" s="1" t="s">
        <v>223</v>
      </c>
      <c r="C7" s="117" t="s">
        <v>108</v>
      </c>
    </row>
    <row r="8" spans="1:3" x14ac:dyDescent="0.2">
      <c r="B8" s="117" t="s">
        <v>1211</v>
      </c>
      <c r="C8" s="117" t="s">
        <v>1212</v>
      </c>
    </row>
    <row r="9" spans="1:3" x14ac:dyDescent="0.2">
      <c r="B9" s="117" t="s">
        <v>169</v>
      </c>
    </row>
    <row r="10" spans="1:3" x14ac:dyDescent="0.2">
      <c r="C10" s="19" t="s">
        <v>1207</v>
      </c>
    </row>
    <row r="11" spans="1:3" x14ac:dyDescent="0.2">
      <c r="C11" s="117" t="s">
        <v>1208</v>
      </c>
    </row>
    <row r="13" spans="1:3" x14ac:dyDescent="0.2">
      <c r="C13" s="19" t="s">
        <v>1209</v>
      </c>
    </row>
    <row r="15" spans="1:3" x14ac:dyDescent="0.2">
      <c r="C15" s="19" t="s">
        <v>1210</v>
      </c>
    </row>
    <row r="17" spans="3:3" x14ac:dyDescent="0.2">
      <c r="C17" s="19" t="s">
        <v>1248</v>
      </c>
    </row>
    <row r="18" spans="3:3" x14ac:dyDescent="0.2">
      <c r="C18" s="117" t="s">
        <v>1249</v>
      </c>
    </row>
    <row r="20" spans="3:3" x14ac:dyDescent="0.2">
      <c r="C20" s="19" t="s">
        <v>842</v>
      </c>
    </row>
    <row r="21" spans="3:3" x14ac:dyDescent="0.2">
      <c r="C21" s="117" t="s">
        <v>1131</v>
      </c>
    </row>
    <row r="23" spans="3:3" x14ac:dyDescent="0.2">
      <c r="C23" s="19" t="s">
        <v>445</v>
      </c>
    </row>
    <row r="24" spans="3:3" x14ac:dyDescent="0.2">
      <c r="C24" s="1" t="s">
        <v>442</v>
      </c>
    </row>
    <row r="26" spans="3:3" x14ac:dyDescent="0.2">
      <c r="C26" s="19" t="s">
        <v>446</v>
      </c>
    </row>
    <row r="27" spans="3:3" x14ac:dyDescent="0.2">
      <c r="C27" s="1" t="s">
        <v>442</v>
      </c>
    </row>
    <row r="28" spans="3:3" x14ac:dyDescent="0.2">
      <c r="C28" s="117" t="s">
        <v>1308</v>
      </c>
    </row>
    <row r="30" spans="3:3" x14ac:dyDescent="0.2">
      <c r="C30" s="19" t="s">
        <v>531</v>
      </c>
    </row>
    <row r="31" spans="3:3" x14ac:dyDescent="0.2">
      <c r="C31" s="1" t="s">
        <v>532</v>
      </c>
    </row>
    <row r="33" spans="3:3" x14ac:dyDescent="0.2">
      <c r="C33" s="19" t="s">
        <v>539</v>
      </c>
    </row>
    <row r="35" spans="3:3" x14ac:dyDescent="0.2">
      <c r="C35" s="19" t="s">
        <v>443</v>
      </c>
    </row>
    <row r="37" spans="3:3" x14ac:dyDescent="0.2">
      <c r="C37" s="19" t="s">
        <v>444</v>
      </c>
    </row>
    <row r="39" spans="3:3" x14ac:dyDescent="0.2">
      <c r="C39" s="1" t="s">
        <v>134</v>
      </c>
    </row>
    <row r="40" spans="3:3" x14ac:dyDescent="0.2">
      <c r="C40" s="1" t="s">
        <v>121</v>
      </c>
    </row>
    <row r="41" spans="3:3" x14ac:dyDescent="0.2">
      <c r="C41" s="1" t="s">
        <v>441</v>
      </c>
    </row>
    <row r="42" spans="3:3" x14ac:dyDescent="0.2">
      <c r="C42" s="1" t="s">
        <v>448</v>
      </c>
    </row>
    <row r="43" spans="3:3" x14ac:dyDescent="0.2">
      <c r="C43" s="1" t="s">
        <v>796</v>
      </c>
    </row>
    <row r="44" spans="3:3" x14ac:dyDescent="0.2">
      <c r="C44" s="117" t="s">
        <v>1316</v>
      </c>
    </row>
    <row r="45" spans="3:3" x14ac:dyDescent="0.2">
      <c r="C45" s="31" t="s">
        <v>841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Master</vt:lpstr>
      <vt:lpstr>Main</vt:lpstr>
      <vt:lpstr>Model</vt:lpstr>
      <vt:lpstr>Shingrix</vt:lpstr>
      <vt:lpstr>dolutegravir</vt:lpstr>
      <vt:lpstr>Trelegy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2024-08-29T01:48:11Z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