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A194D87-A7CD-4129-98F7-4B197FA3EEFF}" xr6:coauthVersionLast="47" xr6:coauthVersionMax="47" xr10:uidLastSave="{00000000-0000-0000-0000-000000000000}"/>
  <bookViews>
    <workbookView xWindow="-26835" yWindow="2940" windowWidth="21795" windowHeight="16575" xr2:uid="{8C7D3156-1DAC-C540-96E2-F406281F63E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AH30" i="2"/>
  <c r="AH20" i="2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AG20" i="2"/>
  <c r="AA6" i="2"/>
  <c r="AA3" i="2"/>
  <c r="R17" i="2"/>
  <c r="Q17" i="2"/>
  <c r="P17" i="2"/>
  <c r="P18" i="2" s="1"/>
  <c r="O17" i="2"/>
  <c r="N17" i="2"/>
  <c r="N18" i="2" s="1"/>
  <c r="R19" i="2"/>
  <c r="O22" i="2"/>
  <c r="P22" i="2" s="1"/>
  <c r="N22" i="2"/>
  <c r="R20" i="2"/>
  <c r="R18" i="2"/>
  <c r="Q18" i="2"/>
  <c r="Q19" i="2" s="1"/>
  <c r="O18" i="2"/>
  <c r="O11" i="2"/>
  <c r="N11" i="2"/>
  <c r="N10" i="2"/>
  <c r="Q14" i="2"/>
  <c r="P14" i="2"/>
  <c r="O14" i="2"/>
  <c r="N14" i="2"/>
  <c r="R14" i="2" s="1"/>
  <c r="Q13" i="2"/>
  <c r="P13" i="2"/>
  <c r="O13" i="2"/>
  <c r="O15" i="2" s="1"/>
  <c r="N13" i="2"/>
  <c r="R13" i="2" s="1"/>
  <c r="R12" i="2"/>
  <c r="Q12" i="2"/>
  <c r="P12" i="2"/>
  <c r="O12" i="2"/>
  <c r="N12" i="2"/>
  <c r="R11" i="2"/>
  <c r="Q11" i="2"/>
  <c r="P11" i="2"/>
  <c r="R26" i="2"/>
  <c r="Q26" i="2"/>
  <c r="P26" i="2"/>
  <c r="O26" i="2"/>
  <c r="N26" i="2"/>
  <c r="R9" i="2"/>
  <c r="Q9" i="2"/>
  <c r="P9" i="2"/>
  <c r="O9" i="2"/>
  <c r="N9" i="2"/>
  <c r="I6" i="2"/>
  <c r="L26" i="2"/>
  <c r="K26" i="2"/>
  <c r="J26" i="2"/>
  <c r="I26" i="2"/>
  <c r="H26" i="2"/>
  <c r="G26" i="2"/>
  <c r="F26" i="2"/>
  <c r="M26" i="2"/>
  <c r="M6" i="2"/>
  <c r="N8" i="2"/>
  <c r="O24" i="2"/>
  <c r="N24" i="2"/>
  <c r="O8" i="2"/>
  <c r="P8" i="2" s="1"/>
  <c r="Q15" i="2"/>
  <c r="P15" i="2"/>
  <c r="M24" i="2"/>
  <c r="M15" i="2"/>
  <c r="M10" i="2"/>
  <c r="I15" i="2"/>
  <c r="I10" i="2"/>
  <c r="Z6" i="2"/>
  <c r="F6" i="2"/>
  <c r="G6" i="2"/>
  <c r="H6" i="2"/>
  <c r="J6" i="2"/>
  <c r="K6" i="2"/>
  <c r="L6" i="2"/>
  <c r="N3" i="2"/>
  <c r="Z3" i="2" s="1"/>
  <c r="Z19" i="2"/>
  <c r="Z17" i="2"/>
  <c r="Z14" i="2"/>
  <c r="AA14" i="2" s="1"/>
  <c r="AB14" i="2" s="1"/>
  <c r="AC14" i="2" s="1"/>
  <c r="AD14" i="2" s="1"/>
  <c r="AE14" i="2" s="1"/>
  <c r="AF14" i="2" s="1"/>
  <c r="Z13" i="2"/>
  <c r="AA13" i="2" s="1"/>
  <c r="Z12" i="2"/>
  <c r="AA12" i="2" s="1"/>
  <c r="AB12" i="2" s="1"/>
  <c r="AC12" i="2" s="1"/>
  <c r="AD12" i="2" s="1"/>
  <c r="AE12" i="2" s="1"/>
  <c r="AF12" i="2" s="1"/>
  <c r="Z11" i="2"/>
  <c r="AA11" i="2" s="1"/>
  <c r="AB11" i="2" s="1"/>
  <c r="Z22" i="2"/>
  <c r="AA22" i="2" s="1"/>
  <c r="AB22" i="2" s="1"/>
  <c r="AC22" i="2" s="1"/>
  <c r="AD22" i="2" s="1"/>
  <c r="AE22" i="2" s="1"/>
  <c r="AF22" i="2" s="1"/>
  <c r="Z8" i="2"/>
  <c r="Z24" i="2" s="1"/>
  <c r="Y24" i="2"/>
  <c r="X24" i="2"/>
  <c r="W24" i="2"/>
  <c r="V24" i="2"/>
  <c r="W15" i="2"/>
  <c r="W10" i="2"/>
  <c r="W26" i="2" s="1"/>
  <c r="X15" i="2"/>
  <c r="X10" i="2"/>
  <c r="X26" i="2" s="1"/>
  <c r="Y15" i="2"/>
  <c r="Y10" i="2"/>
  <c r="F15" i="2"/>
  <c r="F10" i="2"/>
  <c r="J24" i="2"/>
  <c r="J15" i="2"/>
  <c r="J10" i="2"/>
  <c r="K24" i="2"/>
  <c r="K15" i="2"/>
  <c r="G15" i="2"/>
  <c r="G10" i="2"/>
  <c r="G16" i="2" s="1"/>
  <c r="G18" i="2" s="1"/>
  <c r="G20" i="2" s="1"/>
  <c r="G21" i="2" s="1"/>
  <c r="K10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L30" i="2"/>
  <c r="L24" i="2"/>
  <c r="H15" i="2"/>
  <c r="L15" i="2"/>
  <c r="H10" i="2"/>
  <c r="L10" i="2"/>
  <c r="I4" i="1"/>
  <c r="I7" i="1" s="1"/>
  <c r="AB3" i="2" l="1"/>
  <c r="AC3" i="2" s="1"/>
  <c r="AD3" i="2" s="1"/>
  <c r="AE3" i="2" s="1"/>
  <c r="AF3" i="2" s="1"/>
  <c r="Q20" i="2"/>
  <c r="P19" i="2"/>
  <c r="P20" i="2" s="1"/>
  <c r="P21" i="2" s="1"/>
  <c r="O19" i="2"/>
  <c r="O20" i="2" s="1"/>
  <c r="O21" i="2" s="1"/>
  <c r="N19" i="2"/>
  <c r="N20" i="2"/>
  <c r="N21" i="2" s="1"/>
  <c r="Q22" i="2"/>
  <c r="R15" i="2"/>
  <c r="N15" i="2"/>
  <c r="N16" i="2" s="1"/>
  <c r="Q8" i="2"/>
  <c r="P24" i="2"/>
  <c r="P10" i="2"/>
  <c r="O10" i="2"/>
  <c r="O16" i="2" s="1"/>
  <c r="P16" i="2"/>
  <c r="I16" i="2"/>
  <c r="I18" i="2" s="1"/>
  <c r="I20" i="2" s="1"/>
  <c r="I21" i="2" s="1"/>
  <c r="M16" i="2"/>
  <c r="M18" i="2" s="1"/>
  <c r="M20" i="2" s="1"/>
  <c r="M21" i="2" s="1"/>
  <c r="AA8" i="2"/>
  <c r="AA15" i="2"/>
  <c r="AB13" i="2"/>
  <c r="AC13" i="2" s="1"/>
  <c r="AD13" i="2" s="1"/>
  <c r="AE13" i="2" s="1"/>
  <c r="AF13" i="2" s="1"/>
  <c r="AC11" i="2"/>
  <c r="AB6" i="2"/>
  <c r="AC6" i="2" s="1"/>
  <c r="AD6" i="2" s="1"/>
  <c r="AE6" i="2" s="1"/>
  <c r="AF6" i="2" s="1"/>
  <c r="AF8" i="2" s="1"/>
  <c r="Y16" i="2"/>
  <c r="Y18" i="2" s="1"/>
  <c r="Y20" i="2" s="1"/>
  <c r="Y21" i="2" s="1"/>
  <c r="Y26" i="2"/>
  <c r="Z10" i="2"/>
  <c r="Z26" i="2" s="1"/>
  <c r="J16" i="2"/>
  <c r="J18" i="2" s="1"/>
  <c r="J20" i="2" s="1"/>
  <c r="J21" i="2" s="1"/>
  <c r="Z15" i="2"/>
  <c r="K16" i="2"/>
  <c r="K18" i="2" s="1"/>
  <c r="K20" i="2" s="1"/>
  <c r="K21" i="2" s="1"/>
  <c r="W16" i="2"/>
  <c r="W18" i="2" s="1"/>
  <c r="W20" i="2" s="1"/>
  <c r="W21" i="2" s="1"/>
  <c r="X16" i="2"/>
  <c r="X18" i="2" s="1"/>
  <c r="X20" i="2" s="1"/>
  <c r="X21" i="2" s="1"/>
  <c r="F16" i="2"/>
  <c r="F18" i="2" s="1"/>
  <c r="F20" i="2" s="1"/>
  <c r="F21" i="2" s="1"/>
  <c r="H16" i="2"/>
  <c r="H18" i="2" s="1"/>
  <c r="H20" i="2" s="1"/>
  <c r="H21" i="2" s="1"/>
  <c r="L16" i="2"/>
  <c r="L18" i="2" s="1"/>
  <c r="L20" i="2" s="1"/>
  <c r="L21" i="2" s="1"/>
  <c r="R22" i="2" l="1"/>
  <c r="R21" i="2" s="1"/>
  <c r="Q21" i="2"/>
  <c r="Z16" i="2"/>
  <c r="Z18" i="2" s="1"/>
  <c r="Z20" i="2" s="1"/>
  <c r="Z21" i="2" s="1"/>
  <c r="R8" i="2"/>
  <c r="R24" i="2" s="1"/>
  <c r="Q24" i="2"/>
  <c r="Q10" i="2"/>
  <c r="Q16" i="2" s="1"/>
  <c r="R10" i="2"/>
  <c r="R16" i="2" s="1"/>
  <c r="Z9" i="2"/>
  <c r="AB15" i="2"/>
  <c r="AF10" i="2"/>
  <c r="AF26" i="2" s="1"/>
  <c r="AF9" i="2"/>
  <c r="AE8" i="2"/>
  <c r="AF24" i="2" s="1"/>
  <c r="AC8" i="2"/>
  <c r="AA10" i="2"/>
  <c r="AA26" i="2" s="1"/>
  <c r="AA24" i="2"/>
  <c r="AD8" i="2"/>
  <c r="AB8" i="2"/>
  <c r="AC15" i="2"/>
  <c r="AD11" i="2"/>
  <c r="AA16" i="2" l="1"/>
  <c r="AA18" i="2" s="1"/>
  <c r="AA19" i="2" s="1"/>
  <c r="AA20" i="2" s="1"/>
  <c r="AA21" i="2" s="1"/>
  <c r="AB10" i="2"/>
  <c r="AB9" i="2" s="1"/>
  <c r="AB24" i="2"/>
  <c r="AD10" i="2"/>
  <c r="AD26" i="2" s="1"/>
  <c r="AD24" i="2"/>
  <c r="AA9" i="2"/>
  <c r="AC10" i="2"/>
  <c r="AC26" i="2" s="1"/>
  <c r="AC24" i="2"/>
  <c r="AC9" i="2"/>
  <c r="AE10" i="2"/>
  <c r="AE26" i="2" s="1"/>
  <c r="AE24" i="2"/>
  <c r="AE9" i="2"/>
  <c r="AD15" i="2"/>
  <c r="AE11" i="2"/>
  <c r="AD9" i="2" l="1"/>
  <c r="AD16" i="2"/>
  <c r="AD18" i="2" s="1"/>
  <c r="AD19" i="2" s="1"/>
  <c r="AD20" i="2" s="1"/>
  <c r="AD21" i="2" s="1"/>
  <c r="AC16" i="2"/>
  <c r="AC18" i="2" s="1"/>
  <c r="AB26" i="2"/>
  <c r="AB16" i="2"/>
  <c r="AB18" i="2" s="1"/>
  <c r="AE15" i="2"/>
  <c r="AE16" i="2" s="1"/>
  <c r="AE18" i="2" s="1"/>
  <c r="AF11" i="2"/>
  <c r="AF15" i="2" s="1"/>
  <c r="AF16" i="2" s="1"/>
  <c r="AF18" i="2" s="1"/>
  <c r="AB19" i="2" l="1"/>
  <c r="AB20" i="2"/>
  <c r="AB21" i="2" s="1"/>
  <c r="AF19" i="2"/>
  <c r="AF20" i="2" s="1"/>
  <c r="AF21" i="2" s="1"/>
  <c r="AE19" i="2"/>
  <c r="AE20" i="2" s="1"/>
  <c r="AE21" i="2" s="1"/>
  <c r="AC19" i="2"/>
  <c r="AC20" i="2" s="1"/>
  <c r="AC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tc={5A3E4DD6-C190-A348-A48C-40A2E0D88118}</author>
    <author>tc={E0BF3D14-A59E-48D7-8804-F493FD47CAB3}</author>
  </authors>
  <commentList>
    <comment ref="M8" authorId="0" shapeId="0" xr:uid="{5A3E4DD6-C190-A348-A48C-40A2E0D88118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370-375m</t>
      </text>
    </comment>
    <comment ref="Z8" authorId="1" shapeId="0" xr:uid="{E0BF3D14-A59E-48D7-8804-F493FD47CAB3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1.460-1.465B</t>
      </text>
    </comment>
  </commentList>
</comments>
</file>

<file path=xl/sharedStrings.xml><?xml version="1.0" encoding="utf-8"?>
<sst xmlns="http://schemas.openxmlformats.org/spreadsheetml/2006/main" count="54" uniqueCount="50">
  <si>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</si>
  <si>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</si>
  <si>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</si>
  <si>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</si>
  <si>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</si>
  <si>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</si>
  <si>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</si>
  <si>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</si>
  <si>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</si>
  <si>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</si>
  <si>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</si>
  <si>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</si>
  <si>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</si>
  <si>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</si>
  <si>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</si>
  <si>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</si>
  <si>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</si>
  <si>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</si>
  <si>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Marketing</t>
  </si>
  <si>
    <t>Operations &amp; Support</t>
  </si>
  <si>
    <t>TD</t>
  </si>
  <si>
    <t>G&amp;A</t>
  </si>
  <si>
    <t>Operating Expenses</t>
  </si>
  <si>
    <t>Operating Income</t>
  </si>
  <si>
    <t>Other Income</t>
  </si>
  <si>
    <t>Pretax Income</t>
  </si>
  <si>
    <t>Net Income</t>
  </si>
  <si>
    <t>Taxes</t>
  </si>
  <si>
    <t>EPS</t>
  </si>
  <si>
    <t>CFFO</t>
  </si>
  <si>
    <t>Revenue y/y</t>
  </si>
  <si>
    <t>CapEx</t>
  </si>
  <si>
    <t>FCF</t>
  </si>
  <si>
    <t>Subscribers</t>
  </si>
  <si>
    <t>Net Orders</t>
  </si>
  <si>
    <t>AOV</t>
  </si>
  <si>
    <t>Q122</t>
  </si>
  <si>
    <t>Q222</t>
  </si>
  <si>
    <t>Q322</t>
  </si>
  <si>
    <t>Q422</t>
  </si>
  <si>
    <t>Gross Margin</t>
  </si>
  <si>
    <t>EBITDA</t>
  </si>
  <si>
    <t>ARPU</t>
  </si>
  <si>
    <t>Q125</t>
  </si>
  <si>
    <t>Q225</t>
  </si>
  <si>
    <t>Q325</t>
  </si>
  <si>
    <t>Q425</t>
  </si>
  <si>
    <t>Discount</t>
  </si>
  <si>
    <t>Terminal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</si>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</sst>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5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0" xfId="0" applyNumberFormat="1" applyFont="1"/>
    <xf numFmtId="9" fontId="2" fillId="0" borderId="0" xfId="0" applyNumberFormat="1" applyFont="1"/>
    <xf numFmtId="0" fontId="1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CD16F1-3D42-4151-AA75-05431C12F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43658</xdr:colOff>
      <xdr:row>0</xdr:row>
      <xdr:rowOff>0</xdr:rowOff>
    </xdr:from>
    <xdr:to>
      <xdr:col>13</xdr:col>
      <xdr:colOff>43658</xdr:colOff>
      <xdr:row>35</xdr:row>
      <xdr:rowOff>126999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2C1D5B-6274-2E3D-185B-6D0A6FFAAA72}"/>
            </a:ext>
          </a:extLst>
        </xdr:cNvPr>
        <xdr:cNvCxnSpPr/>
      </xdr:nvCxnSpPr>
      <xdr:spPr>
        <a:xfrm>
          <a:off x="8431611" y="0"/>
          <a:ext cx="0" cy="57527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39688</xdr:colOff>
      <xdr:row>0</xdr:row>
      <xdr:rowOff>55563</xdr:rowOff>
    </xdr:from>
    <xdr:to>
      <xdr:col>25</xdr:col>
      <xdr:colOff>39688</xdr:colOff>
      <xdr:row>40</xdr:row>
      <xdr:rowOff>71438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629CD8-D3B3-2BB4-B79A-17CB4DDD3C58}"/>
            </a:ext>
          </a:extLst>
        </xdr:cNvPr>
        <xdr:cNvCxnSpPr/>
      </xdr:nvCxnSpPr>
      <xdr:spPr>
        <a:xfrm>
          <a:off x="13073063" y="55563"/>
          <a:ext cx="0" cy="6350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D0116FB-70B3-F949-9774-5970B644D79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8" dT="2024-09-06T17:00:30.77" personId="{FD0116FB-70B3-F949-9774-5970B644D79B}" id="{5A3E4DD6-C190-A348-A48C-40A2E0D88118}">
    <text>Q224: 370-375m</text>
  </threadedComment>
  <threadedComment ref="Z8" dT="2024-12-05T21:26:54.64" personId="{FD0116FB-70B3-F949-9774-5970B644D79B}" id="{E0BF3D14-A59E-48D7-8804-F493FD47CAB3}">
    <text>Q3 guidance: 1.460-1.465B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3823-48B2-A542-9020-C8A457289847}">
  <dimension ref="H2:J7"/>
  <sheetViews>
    <sheetView tabSelected="1" zoomScale="130" zoomScaleNormal="130" workbookViewId="0">
      <selection activeCell="I4" sqref="I4"/>
    </sheetView>
  </sheetViews>
  <sheetFormatPr defaultColWidth="10.875" defaultRowHeight="12.75" x14ac:dyDescent="0.2"/>
  <cols>
    <col min="1" max="8" width="10.875" style="1"/>
    <col min="9" max="9" width="8.125" style="1" customWidth="1"/>
    <col min="10" max="10" width="6.875" style="1" customWidth="1"/>
    <col min="11" max="16384" width="10.875" style="1"/>
  </cols>
  <sheetData>
    <row r="2" spans="8:10" x14ac:dyDescent="0.2">
      <c r="H2" s="1" t="s">
        <v>0</v>
      </c>
      <c r="I2" s="2">
        <v>31.78</v>
      </c>
    </row>
    <row r="3" spans="8:10" x14ac:dyDescent="0.2">
      <c r="H3" s="1" t="s">
        <v>1</v>
      </c>
      <c r="I3" s="3">
        <v>235.06953899999999</v>
      </c>
      <c r="J3" s="15" t="s">
        <v>14</v>
      </c>
    </row>
    <row r="4" spans="8:10" x14ac:dyDescent="0.2">
      <c r="H4" s="1" t="s">
        <v>2</v>
      </c>
      <c r="I4" s="3">
        <f>+I2*I3</f>
        <v>7470.5099494200003</v>
      </c>
    </row>
    <row r="5" spans="8:10" x14ac:dyDescent="0.2">
      <c r="H5" s="1" t="s">
        <v>3</v>
      </c>
      <c r="I5" s="3">
        <f>165.518+88.553</f>
        <v>254.071</v>
      </c>
      <c r="J5" s="15" t="s">
        <v>14</v>
      </c>
    </row>
    <row r="6" spans="8:10" x14ac:dyDescent="0.2">
      <c r="H6" s="1" t="s">
        <v>4</v>
      </c>
      <c r="I6" s="3">
        <v>0</v>
      </c>
      <c r="J6" s="15" t="s">
        <v>14</v>
      </c>
    </row>
    <row r="7" spans="8:10" x14ac:dyDescent="0.2">
      <c r="H7" s="1" t="s">
        <v>5</v>
      </c>
      <c r="I7" s="3">
        <f>+I4-I5+I6</f>
        <v>7216.4389494200004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BEF-A602-DE45-8F11-1D484D54BC6E}">
  <dimension ref="A1:DO33"/>
  <sheetViews>
    <sheetView zoomScale="160" zoomScaleNormal="160" workbookViewId="0">
      <pane xSplit="2" ySplit="2" topLeftCell="Z5" activePane="bottomRight" state="frozen"/>
      <selection pane="topRight" activeCell="C1" sqref="C1"/>
      <selection pane="bottomLeft" activeCell="A3" sqref="A3"/>
      <selection pane="bottomRight" activeCell="AB11" sqref="AB11"/>
    </sheetView>
  </sheetViews>
  <sheetFormatPr defaultColWidth="10.875" defaultRowHeight="12.75" x14ac:dyDescent="0.2"/>
  <cols>
    <col min="1" max="1" width="5.125" style="1" bestFit="1" customWidth="1"/>
    <col min="2" max="2" width="18.125" style="1" bestFit="1" customWidth="1"/>
    <col min="3" max="18" width="7.875" style="4" customWidth="1"/>
    <col min="19" max="20" width="8.625" style="1" customWidth="1"/>
    <col min="21" max="26" width="8" style="1" customWidth="1"/>
    <col min="27" max="32" width="7.5" style="1" customWidth="1"/>
    <col min="33" max="37" width="9.125" style="1" customWidth="1"/>
    <col min="38" max="16384" width="10.875" style="1"/>
  </cols>
  <sheetData>
    <row r="1" spans="1:38" x14ac:dyDescent="0.2">
      <c r="A1" s="9" t="s">
        <v>7</v>
      </c>
    </row>
    <row r="2" spans="1:38" x14ac:dyDescent="0.2">
      <c r="C2" s="4" t="s">
        <v>36</v>
      </c>
      <c r="D2" s="4" t="s">
        <v>37</v>
      </c>
      <c r="E2" s="4" t="s">
        <v>38</v>
      </c>
      <c r="F2" s="4" t="s">
        <v>39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14</v>
      </c>
      <c r="N2" s="4" t="s">
        <v>15</v>
      </c>
      <c r="O2" s="15" t="s">
        <v>43</v>
      </c>
      <c r="P2" s="15" t="s">
        <v>44</v>
      </c>
      <c r="Q2" s="15" t="s">
        <v>45</v>
      </c>
      <c r="R2" s="15" t="s">
        <v>46</v>
      </c>
      <c r="U2" s="1">
        <v>2019</v>
      </c>
      <c r="V2" s="1">
        <v>2020</v>
      </c>
      <c r="W2" s="1">
        <f>+V2+1</f>
        <v>2021</v>
      </c>
      <c r="X2" s="1">
        <f t="shared" ref="X2:AL2" si="0">+W2+1</f>
        <v>2022</v>
      </c>
      <c r="Y2" s="1">
        <f t="shared" si="0"/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  <c r="AE2" s="1">
        <f t="shared" si="0"/>
        <v>2029</v>
      </c>
      <c r="AF2" s="1">
        <f t="shared" si="0"/>
        <v>2030</v>
      </c>
      <c r="AG2" s="1">
        <f t="shared" si="0"/>
        <v>2031</v>
      </c>
      <c r="AH2" s="1">
        <f t="shared" si="0"/>
        <v>2032</v>
      </c>
      <c r="AI2" s="1">
        <f t="shared" si="0"/>
        <v>2033</v>
      </c>
      <c r="AJ2" s="1">
        <f t="shared" si="0"/>
        <v>2034</v>
      </c>
      <c r="AK2" s="1">
        <f t="shared" si="0"/>
        <v>2035</v>
      </c>
      <c r="AL2" s="1">
        <f t="shared" si="0"/>
        <v>2036</v>
      </c>
    </row>
    <row r="3" spans="1:38" x14ac:dyDescent="0.2">
      <c r="B3" s="1" t="s">
        <v>33</v>
      </c>
      <c r="D3" s="5"/>
      <c r="E3" s="5"/>
      <c r="F3" s="5">
        <v>1040</v>
      </c>
      <c r="G3" s="5">
        <v>1209</v>
      </c>
      <c r="H3" s="5">
        <v>1300</v>
      </c>
      <c r="I3" s="5">
        <v>1426</v>
      </c>
      <c r="J3" s="5">
        <v>1537</v>
      </c>
      <c r="K3" s="5">
        <v>1709</v>
      </c>
      <c r="L3" s="5">
        <v>1864</v>
      </c>
      <c r="M3" s="5">
        <v>2047</v>
      </c>
      <c r="N3" s="5">
        <f>+M3+100</f>
        <v>2147</v>
      </c>
      <c r="O3" s="5"/>
      <c r="P3" s="5"/>
      <c r="Q3" s="5"/>
      <c r="R3" s="5"/>
      <c r="Z3" s="3">
        <f>+N3</f>
        <v>2147</v>
      </c>
      <c r="AA3" s="3">
        <f>+Z3*1.3</f>
        <v>2791.1</v>
      </c>
      <c r="AB3" s="3">
        <f t="shared" ref="AA3:AF3" si="1">+AA3+500</f>
        <v>3291.1</v>
      </c>
      <c r="AC3" s="3">
        <f t="shared" si="1"/>
        <v>3791.1</v>
      </c>
      <c r="AD3" s="3">
        <f t="shared" si="1"/>
        <v>4291.1000000000004</v>
      </c>
      <c r="AE3" s="3">
        <f t="shared" si="1"/>
        <v>4791.1000000000004</v>
      </c>
      <c r="AF3" s="3">
        <f t="shared" si="1"/>
        <v>5291.1</v>
      </c>
      <c r="AG3" s="3"/>
      <c r="AH3" s="3"/>
      <c r="AI3" s="3"/>
      <c r="AJ3" s="3"/>
    </row>
    <row r="4" spans="1:38" x14ac:dyDescent="0.2">
      <c r="B4" s="1" t="s">
        <v>34</v>
      </c>
      <c r="D4" s="5"/>
      <c r="E4" s="5"/>
      <c r="F4" s="5">
        <v>1855</v>
      </c>
      <c r="G4" s="5">
        <v>2047</v>
      </c>
      <c r="H4" s="5">
        <v>2109</v>
      </c>
      <c r="I4" s="5">
        <v>2222</v>
      </c>
      <c r="J4" s="5">
        <v>2298</v>
      </c>
      <c r="K4" s="5">
        <v>2461</v>
      </c>
      <c r="L4" s="5">
        <v>2527</v>
      </c>
      <c r="M4" s="4">
        <v>2664</v>
      </c>
    </row>
    <row r="5" spans="1:38" x14ac:dyDescent="0.2">
      <c r="B5" s="1" t="s">
        <v>35</v>
      </c>
      <c r="F5" s="4">
        <v>87</v>
      </c>
      <c r="G5" s="5">
        <v>90</v>
      </c>
      <c r="H5" s="4">
        <v>95</v>
      </c>
      <c r="I5" s="4">
        <v>99</v>
      </c>
      <c r="J5" s="4">
        <v>103</v>
      </c>
      <c r="K5" s="4">
        <v>109</v>
      </c>
      <c r="L5" s="4">
        <v>121</v>
      </c>
      <c r="M5" s="4">
        <v>147</v>
      </c>
    </row>
    <row r="6" spans="1:38" x14ac:dyDescent="0.2">
      <c r="B6" s="1" t="s">
        <v>42</v>
      </c>
      <c r="F6" s="6">
        <f>F8/F3*1000</f>
        <v>160.77211538461538</v>
      </c>
      <c r="G6" s="6">
        <f>G8/G3*1000</f>
        <v>157.79156327543424</v>
      </c>
      <c r="H6" s="6">
        <f>H8/H3*1000</f>
        <v>159.93230769230772</v>
      </c>
      <c r="I6" s="6">
        <f>I8/I3*1000</f>
        <v>158.97545582047687</v>
      </c>
      <c r="J6" s="6">
        <f>J8/J3*1000</f>
        <v>160.45478204294079</v>
      </c>
      <c r="K6" s="6">
        <f>K8/K3*1000</f>
        <v>162.76828554710357</v>
      </c>
      <c r="L6" s="6">
        <f>L8/L3*1000</f>
        <v>169.33905579399141</v>
      </c>
      <c r="M6" s="6">
        <f>M8/M3*1000</f>
        <v>196.16805080605764</v>
      </c>
      <c r="Z6" s="1">
        <f>160*4</f>
        <v>640</v>
      </c>
      <c r="AA6" s="2">
        <f>+Z6*1.1</f>
        <v>704</v>
      </c>
      <c r="AB6" s="2">
        <f t="shared" ref="AA6:AF6" si="2">+AA6*1.03</f>
        <v>725.12</v>
      </c>
      <c r="AC6" s="2">
        <f t="shared" si="2"/>
        <v>746.87360000000001</v>
      </c>
      <c r="AD6" s="2">
        <f t="shared" si="2"/>
        <v>769.279808</v>
      </c>
      <c r="AE6" s="2">
        <f t="shared" si="2"/>
        <v>792.35820223999997</v>
      </c>
      <c r="AF6" s="2">
        <f t="shared" si="2"/>
        <v>816.12894830719995</v>
      </c>
      <c r="AG6" s="2"/>
    </row>
    <row r="7" spans="1:38" x14ac:dyDescent="0.2">
      <c r="G7" s="5"/>
    </row>
    <row r="8" spans="1:38" s="7" customFormat="1" x14ac:dyDescent="0.2">
      <c r="B8" s="7" t="s">
        <v>8</v>
      </c>
      <c r="C8" s="8"/>
      <c r="D8" s="8"/>
      <c r="E8" s="8"/>
      <c r="F8" s="8">
        <v>167.203</v>
      </c>
      <c r="G8" s="8">
        <v>190.77</v>
      </c>
      <c r="H8" s="8">
        <v>207.91200000000001</v>
      </c>
      <c r="I8" s="8">
        <v>226.69900000000001</v>
      </c>
      <c r="J8" s="8">
        <v>246.619</v>
      </c>
      <c r="K8" s="8">
        <v>278.17099999999999</v>
      </c>
      <c r="L8" s="8">
        <v>315.64800000000002</v>
      </c>
      <c r="M8" s="8">
        <v>401.55599999999998</v>
      </c>
      <c r="N8" s="8">
        <f>+M8+75</f>
        <v>476.55599999999998</v>
      </c>
      <c r="O8" s="8">
        <f>+N8+50</f>
        <v>526.55600000000004</v>
      </c>
      <c r="P8" s="8">
        <f t="shared" ref="P8:R8" si="3">+O8+50</f>
        <v>576.55600000000004</v>
      </c>
      <c r="Q8" s="8">
        <f t="shared" si="3"/>
        <v>626.55600000000004</v>
      </c>
      <c r="R8" s="8">
        <f t="shared" si="3"/>
        <v>676.55600000000004</v>
      </c>
      <c r="U8" s="7">
        <v>82.558000000000007</v>
      </c>
      <c r="V8" s="7">
        <v>148.75700000000001</v>
      </c>
      <c r="W8" s="7">
        <v>271.87799999999999</v>
      </c>
      <c r="X8" s="7">
        <v>526.91600000000005</v>
      </c>
      <c r="Y8" s="7">
        <v>872</v>
      </c>
      <c r="Z8" s="7">
        <f>SUM(K8:N8)</f>
        <v>1471.931</v>
      </c>
      <c r="AA8" s="7">
        <f>+AA3*AA6/1000</f>
        <v>1964.9343999999999</v>
      </c>
      <c r="AB8" s="7">
        <f t="shared" ref="AB8:AF8" si="4">+AB3*AB6/1000</f>
        <v>2386.4424319999998</v>
      </c>
      <c r="AC8" s="7">
        <f t="shared" si="4"/>
        <v>2831.4725049600002</v>
      </c>
      <c r="AD8" s="7">
        <f t="shared" si="4"/>
        <v>3301.0565841088001</v>
      </c>
      <c r="AE8" s="7">
        <f t="shared" si="4"/>
        <v>3796.2673827520643</v>
      </c>
      <c r="AF8" s="7">
        <f t="shared" si="4"/>
        <v>4318.2198783882259</v>
      </c>
    </row>
    <row r="9" spans="1:38" s="3" customFormat="1" x14ac:dyDescent="0.2">
      <c r="B9" s="3" t="s">
        <v>16</v>
      </c>
      <c r="C9" s="5"/>
      <c r="D9" s="5"/>
      <c r="E9" s="5"/>
      <c r="F9" s="5">
        <v>34.866</v>
      </c>
      <c r="G9" s="5">
        <v>37.344999999999999</v>
      </c>
      <c r="H9" s="5">
        <v>37.753999999999998</v>
      </c>
      <c r="I9" s="5">
        <v>39.390999999999998</v>
      </c>
      <c r="J9" s="5">
        <v>42.561</v>
      </c>
      <c r="K9" s="5">
        <v>49.076000000000001</v>
      </c>
      <c r="L9" s="5">
        <v>59.034999999999997</v>
      </c>
      <c r="M9" s="5">
        <v>83.67</v>
      </c>
      <c r="N9" s="5">
        <f>+N8*0.2</f>
        <v>95.311199999999999</v>
      </c>
      <c r="O9" s="5">
        <f>+O8*0.2</f>
        <v>105.31120000000001</v>
      </c>
      <c r="P9" s="5">
        <f>+P8*0.2</f>
        <v>115.31120000000001</v>
      </c>
      <c r="Q9" s="5">
        <f>+Q8*0.2</f>
        <v>125.31120000000001</v>
      </c>
      <c r="R9" s="5">
        <f>+R8*0.2</f>
        <v>135.31120000000001</v>
      </c>
      <c r="W9" s="3">
        <v>67.384</v>
      </c>
      <c r="X9" s="3">
        <v>118.194</v>
      </c>
      <c r="Y9" s="3">
        <v>157.05099999999999</v>
      </c>
      <c r="Z9" s="3">
        <f t="shared" ref="Z9:AF9" si="5">+Z8-Z10</f>
        <v>294.38619999999992</v>
      </c>
      <c r="AA9" s="3">
        <f t="shared" si="5"/>
        <v>432.28556800000001</v>
      </c>
      <c r="AB9" s="3">
        <f t="shared" si="5"/>
        <v>596.61060799999996</v>
      </c>
      <c r="AC9" s="3">
        <f t="shared" si="5"/>
        <v>792.81230138880005</v>
      </c>
      <c r="AD9" s="3">
        <f t="shared" si="5"/>
        <v>990.31697523264029</v>
      </c>
      <c r="AE9" s="3">
        <f t="shared" si="5"/>
        <v>1138.8802148256195</v>
      </c>
      <c r="AF9" s="3">
        <f t="shared" si="5"/>
        <v>1295.465963516468</v>
      </c>
    </row>
    <row r="10" spans="1:38" s="3" customFormat="1" x14ac:dyDescent="0.2">
      <c r="B10" s="3" t="s">
        <v>17</v>
      </c>
      <c r="C10" s="5"/>
      <c r="D10" s="5"/>
      <c r="E10" s="5"/>
      <c r="F10" s="5">
        <f>+F8-F9</f>
        <v>132.33699999999999</v>
      </c>
      <c r="G10" s="5">
        <f>+G8-G9</f>
        <v>153.42500000000001</v>
      </c>
      <c r="H10" s="5">
        <f>+H8-H9</f>
        <v>170.15800000000002</v>
      </c>
      <c r="I10" s="5">
        <f>+I8-I9</f>
        <v>187.30800000000002</v>
      </c>
      <c r="J10" s="5">
        <f>+J8-J9</f>
        <v>204.05799999999999</v>
      </c>
      <c r="K10" s="5">
        <f>+K8-K9</f>
        <v>229.095</v>
      </c>
      <c r="L10" s="5">
        <f>+L8-L9</f>
        <v>256.61300000000006</v>
      </c>
      <c r="M10" s="5">
        <f>+M8-M9</f>
        <v>317.88599999999997</v>
      </c>
      <c r="N10" s="5">
        <f>+N8-N9</f>
        <v>381.2448</v>
      </c>
      <c r="O10" s="5">
        <f t="shared" ref="N10:R10" si="6">+O8-O9</f>
        <v>421.24480000000005</v>
      </c>
      <c r="P10" s="5">
        <f t="shared" si="6"/>
        <v>461.24480000000005</v>
      </c>
      <c r="Q10" s="5">
        <f t="shared" si="6"/>
        <v>501.24480000000005</v>
      </c>
      <c r="R10" s="5">
        <f t="shared" si="6"/>
        <v>541.24480000000005</v>
      </c>
      <c r="W10" s="3">
        <f>+W8-W9</f>
        <v>204.49399999999997</v>
      </c>
      <c r="X10" s="3">
        <f>+X8-X9</f>
        <v>408.72200000000004</v>
      </c>
      <c r="Y10" s="3">
        <f>+Y8-Y9</f>
        <v>714.94900000000007</v>
      </c>
      <c r="Z10" s="3">
        <f>+Z8*0.8</f>
        <v>1177.5448000000001</v>
      </c>
      <c r="AA10" s="3">
        <f>+AA8*0.78</f>
        <v>1532.6488319999999</v>
      </c>
      <c r="AB10" s="3">
        <f>+AB8*0.75</f>
        <v>1789.8318239999999</v>
      </c>
      <c r="AC10" s="3">
        <f>+AC8*0.72</f>
        <v>2038.6602035712001</v>
      </c>
      <c r="AD10" s="3">
        <f>+AD8*0.7</f>
        <v>2310.7396088761598</v>
      </c>
      <c r="AE10" s="3">
        <f>+AE8*0.7</f>
        <v>2657.3871679264448</v>
      </c>
      <c r="AF10" s="3">
        <f>+AF8*0.7</f>
        <v>3022.7539148717578</v>
      </c>
    </row>
    <row r="11" spans="1:38" s="3" customFormat="1" x14ac:dyDescent="0.2">
      <c r="B11" s="3" t="s">
        <v>18</v>
      </c>
      <c r="C11" s="5"/>
      <c r="D11" s="5"/>
      <c r="E11" s="5"/>
      <c r="F11" s="5">
        <v>85.542000000000002</v>
      </c>
      <c r="G11" s="5">
        <v>97.245000000000005</v>
      </c>
      <c r="H11" s="5">
        <v>107.21899999999999</v>
      </c>
      <c r="I11" s="5">
        <v>116.07599999999999</v>
      </c>
      <c r="J11" s="5">
        <v>125.895</v>
      </c>
      <c r="K11" s="5">
        <v>130.553</v>
      </c>
      <c r="L11" s="5">
        <v>144.922</v>
      </c>
      <c r="M11" s="5">
        <v>182.28399999999999</v>
      </c>
      <c r="N11" s="5">
        <f>+J11*1.5</f>
        <v>188.8425</v>
      </c>
      <c r="O11" s="5">
        <f>+K11*1.5</f>
        <v>195.8295</v>
      </c>
      <c r="P11" s="5">
        <f t="shared" ref="O11:R11" si="7">+L11*1.3</f>
        <v>188.39860000000002</v>
      </c>
      <c r="Q11" s="5">
        <f t="shared" si="7"/>
        <v>236.9692</v>
      </c>
      <c r="R11" s="5">
        <f t="shared" si="7"/>
        <v>245.49525</v>
      </c>
      <c r="W11" s="3">
        <v>135.90199999999999</v>
      </c>
      <c r="X11" s="3">
        <v>272.58699999999999</v>
      </c>
      <c r="Y11" s="3">
        <v>446.435</v>
      </c>
      <c r="Z11" s="3">
        <f>+Y11*1.5</f>
        <v>669.65250000000003</v>
      </c>
      <c r="AA11" s="3">
        <f t="shared" ref="AA11:AF11" si="8">+Z11*1.1</f>
        <v>736.61775000000011</v>
      </c>
      <c r="AB11" s="3">
        <f t="shared" si="8"/>
        <v>810.27952500000015</v>
      </c>
      <c r="AC11" s="3">
        <f t="shared" si="8"/>
        <v>891.30747750000023</v>
      </c>
      <c r="AD11" s="3">
        <f t="shared" si="8"/>
        <v>980.4382252500003</v>
      </c>
      <c r="AE11" s="3">
        <f t="shared" si="8"/>
        <v>1078.4820477750004</v>
      </c>
      <c r="AF11" s="3">
        <f t="shared" si="8"/>
        <v>1186.3302525525005</v>
      </c>
    </row>
    <row r="12" spans="1:38" s="3" customFormat="1" x14ac:dyDescent="0.2">
      <c r="B12" s="3" t="s">
        <v>19</v>
      </c>
      <c r="C12" s="5"/>
      <c r="D12" s="5"/>
      <c r="E12" s="5"/>
      <c r="F12" s="5">
        <v>22.521000000000001</v>
      </c>
      <c r="G12" s="5">
        <v>26.181999999999999</v>
      </c>
      <c r="H12" s="5">
        <v>29.227</v>
      </c>
      <c r="I12" s="5">
        <v>31.609000000000002</v>
      </c>
      <c r="J12" s="5">
        <v>32.838999999999999</v>
      </c>
      <c r="K12" s="5">
        <v>38.747</v>
      </c>
      <c r="L12" s="5">
        <v>41.453000000000003</v>
      </c>
      <c r="M12" s="5">
        <v>47.518999999999998</v>
      </c>
      <c r="N12" s="5">
        <f>+J12*1.2</f>
        <v>39.406799999999997</v>
      </c>
      <c r="O12" s="5">
        <f t="shared" ref="O12:O14" si="9">+K12*1.2</f>
        <v>46.496400000000001</v>
      </c>
      <c r="P12" s="5">
        <f t="shared" ref="P12:P14" si="10">+L12*1.2</f>
        <v>49.743600000000001</v>
      </c>
      <c r="Q12" s="5">
        <f t="shared" ref="Q12:Q14" si="11">+M12*1.2</f>
        <v>57.022799999999997</v>
      </c>
      <c r="R12" s="5">
        <f t="shared" ref="R12:R14" si="12">+N12*1.2</f>
        <v>47.288159999999998</v>
      </c>
      <c r="W12" s="3">
        <v>47.593000000000004</v>
      </c>
      <c r="X12" s="3">
        <v>77.403000000000006</v>
      </c>
      <c r="Y12" s="3">
        <v>119.857</v>
      </c>
      <c r="Z12" s="3">
        <f>+Y12*1.4</f>
        <v>167.79979999999998</v>
      </c>
      <c r="AA12" s="3">
        <f t="shared" ref="AA12:AF12" si="13">+Z12*1.1</f>
        <v>184.57978</v>
      </c>
      <c r="AB12" s="3">
        <f t="shared" si="13"/>
        <v>203.03775800000003</v>
      </c>
      <c r="AC12" s="3">
        <f t="shared" si="13"/>
        <v>223.34153380000004</v>
      </c>
      <c r="AD12" s="3">
        <f t="shared" si="13"/>
        <v>245.67568718000007</v>
      </c>
      <c r="AE12" s="3">
        <f t="shared" si="13"/>
        <v>270.24325589800009</v>
      </c>
      <c r="AF12" s="3">
        <f t="shared" si="13"/>
        <v>297.2675814878001</v>
      </c>
    </row>
    <row r="13" spans="1:38" s="3" customFormat="1" x14ac:dyDescent="0.2">
      <c r="B13" s="3" t="s">
        <v>20</v>
      </c>
      <c r="C13" s="5"/>
      <c r="D13" s="5"/>
      <c r="E13" s="5"/>
      <c r="F13" s="5">
        <v>8.3109999999999999</v>
      </c>
      <c r="G13" s="5">
        <v>10.747999999999999</v>
      </c>
      <c r="H13" s="5">
        <v>11.804</v>
      </c>
      <c r="I13" s="5">
        <v>12.27</v>
      </c>
      <c r="J13" s="5">
        <v>13.404999999999999</v>
      </c>
      <c r="K13" s="5">
        <v>15.324</v>
      </c>
      <c r="L13" s="5">
        <v>18.654</v>
      </c>
      <c r="M13" s="5">
        <v>21.091999999999999</v>
      </c>
      <c r="N13" s="5">
        <f t="shared" ref="N13:N14" si="14">+J13*1.2</f>
        <v>16.085999999999999</v>
      </c>
      <c r="O13" s="5">
        <f t="shared" si="9"/>
        <v>18.3888</v>
      </c>
      <c r="P13" s="5">
        <f t="shared" si="10"/>
        <v>22.384799999999998</v>
      </c>
      <c r="Q13" s="5">
        <f t="shared" si="11"/>
        <v>25.310399999999998</v>
      </c>
      <c r="R13" s="5">
        <f t="shared" si="12"/>
        <v>19.303199999999997</v>
      </c>
      <c r="W13" s="3">
        <v>22.379000000000001</v>
      </c>
      <c r="X13" s="3">
        <v>29.236999999999998</v>
      </c>
      <c r="Y13" s="3">
        <v>48.226999999999997</v>
      </c>
      <c r="Z13" s="3">
        <f>+Y13*1.4</f>
        <v>67.517799999999994</v>
      </c>
      <c r="AA13" s="3">
        <f t="shared" ref="AA13:AF13" si="15">+Z13*1.1</f>
        <v>74.269580000000005</v>
      </c>
      <c r="AB13" s="3">
        <f t="shared" si="15"/>
        <v>81.696538000000018</v>
      </c>
      <c r="AC13" s="3">
        <f t="shared" si="15"/>
        <v>89.866191800000024</v>
      </c>
      <c r="AD13" s="3">
        <f t="shared" si="15"/>
        <v>98.852810980000029</v>
      </c>
      <c r="AE13" s="3">
        <f t="shared" si="15"/>
        <v>108.73809207800004</v>
      </c>
      <c r="AF13" s="3">
        <f t="shared" si="15"/>
        <v>119.61190128580004</v>
      </c>
    </row>
    <row r="14" spans="1:38" s="3" customFormat="1" x14ac:dyDescent="0.2">
      <c r="B14" s="3" t="s">
        <v>21</v>
      </c>
      <c r="C14" s="5"/>
      <c r="D14" s="5"/>
      <c r="E14" s="5"/>
      <c r="F14" s="5">
        <v>27.568000000000001</v>
      </c>
      <c r="G14" s="5">
        <v>30.513000000000002</v>
      </c>
      <c r="H14" s="5">
        <v>31.143999999999998</v>
      </c>
      <c r="I14" s="5">
        <v>35.906999999999996</v>
      </c>
      <c r="J14" s="5">
        <v>32.319000000000003</v>
      </c>
      <c r="K14" s="5">
        <v>34.567999999999998</v>
      </c>
      <c r="L14" s="5">
        <v>40.554000000000002</v>
      </c>
      <c r="M14" s="5">
        <v>44.616999999999997</v>
      </c>
      <c r="N14" s="5">
        <f t="shared" si="14"/>
        <v>38.782800000000002</v>
      </c>
      <c r="O14" s="5">
        <f t="shared" si="9"/>
        <v>41.481599999999993</v>
      </c>
      <c r="P14" s="5">
        <f t="shared" si="10"/>
        <v>48.6648</v>
      </c>
      <c r="Q14" s="5">
        <f t="shared" si="11"/>
        <v>53.540399999999998</v>
      </c>
      <c r="R14" s="5">
        <f t="shared" si="12"/>
        <v>46.539360000000002</v>
      </c>
      <c r="W14" s="3">
        <v>113.66200000000001</v>
      </c>
      <c r="X14" s="3">
        <v>98.191999999999993</v>
      </c>
      <c r="Y14" s="3">
        <v>129.88300000000001</v>
      </c>
      <c r="Z14" s="3">
        <f>+Y14*1.4</f>
        <v>181.83619999999999</v>
      </c>
      <c r="AA14" s="3">
        <f t="shared" ref="AA14:AF14" si="16">+Z14*1.1</f>
        <v>200.01982000000001</v>
      </c>
      <c r="AB14" s="3">
        <f t="shared" si="16"/>
        <v>220.02180200000004</v>
      </c>
      <c r="AC14" s="3">
        <f t="shared" si="16"/>
        <v>242.02398220000006</v>
      </c>
      <c r="AD14" s="3">
        <f t="shared" si="16"/>
        <v>266.22638042000011</v>
      </c>
      <c r="AE14" s="3">
        <f t="shared" si="16"/>
        <v>292.84901846200017</v>
      </c>
      <c r="AF14" s="3">
        <f t="shared" si="16"/>
        <v>322.13392030820023</v>
      </c>
    </row>
    <row r="15" spans="1:38" s="3" customFormat="1" x14ac:dyDescent="0.2">
      <c r="B15" s="3" t="s">
        <v>22</v>
      </c>
      <c r="C15" s="5"/>
      <c r="D15" s="5"/>
      <c r="E15" s="5"/>
      <c r="F15" s="5">
        <f>SUM(F11:F14)</f>
        <v>143.94200000000001</v>
      </c>
      <c r="G15" s="5">
        <f>SUM(G11:G14)</f>
        <v>164.68800000000002</v>
      </c>
      <c r="H15" s="5">
        <f>SUM(H11:H14)</f>
        <v>179.39400000000001</v>
      </c>
      <c r="I15" s="5">
        <f>SUM(I11:I14)</f>
        <v>195.86200000000002</v>
      </c>
      <c r="J15" s="5">
        <f t="shared" ref="J15" si="17">SUM(J11:J14)</f>
        <v>204.45799999999997</v>
      </c>
      <c r="K15" s="5">
        <f>SUM(K11:K14)</f>
        <v>219.19200000000001</v>
      </c>
      <c r="L15" s="5">
        <f>SUM(L11:L14)</f>
        <v>245.583</v>
      </c>
      <c r="M15" s="5">
        <f>SUM(M11:M14)</f>
        <v>295.512</v>
      </c>
      <c r="N15" s="5">
        <f t="shared" ref="N15:R15" si="18">SUM(N11:N14)</f>
        <v>283.11810000000003</v>
      </c>
      <c r="O15" s="5">
        <f t="shared" si="18"/>
        <v>302.19630000000001</v>
      </c>
      <c r="P15" s="5">
        <f t="shared" si="18"/>
        <v>309.1918</v>
      </c>
      <c r="Q15" s="5">
        <f t="shared" si="18"/>
        <v>372.84280000000001</v>
      </c>
      <c r="R15" s="5">
        <f t="shared" si="18"/>
        <v>358.62597</v>
      </c>
      <c r="W15" s="3">
        <f>SUM(W11:W14)</f>
        <v>319.536</v>
      </c>
      <c r="X15" s="3">
        <f>SUM(X11:X14)</f>
        <v>477.41900000000004</v>
      </c>
      <c r="Y15" s="3">
        <f>SUM(Y11:Y14)</f>
        <v>744.40200000000004</v>
      </c>
      <c r="Z15" s="3">
        <f t="shared" ref="Z15" si="19">SUM(Z11:Z14)</f>
        <v>1086.8063</v>
      </c>
      <c r="AA15" s="3">
        <f t="shared" ref="AA15" si="20">SUM(AA11:AA14)</f>
        <v>1195.4869300000003</v>
      </c>
      <c r="AB15" s="3">
        <f t="shared" ref="AB15" si="21">SUM(AB11:AB14)</f>
        <v>1315.0356230000002</v>
      </c>
      <c r="AC15" s="3">
        <f t="shared" ref="AC15" si="22">SUM(AC11:AC14)</f>
        <v>1446.5391853000003</v>
      </c>
      <c r="AD15" s="3">
        <f t="shared" ref="AD15" si="23">SUM(AD11:AD14)</f>
        <v>1591.1931038300004</v>
      </c>
      <c r="AE15" s="3">
        <f t="shared" ref="AE15" si="24">SUM(AE11:AE14)</f>
        <v>1750.3124142130009</v>
      </c>
      <c r="AF15" s="3">
        <f t="shared" ref="AF15" si="25">SUM(AF11:AF14)</f>
        <v>1925.3436556343008</v>
      </c>
    </row>
    <row r="16" spans="1:38" s="3" customFormat="1" x14ac:dyDescent="0.2">
      <c r="B16" s="3" t="s">
        <v>23</v>
      </c>
      <c r="C16" s="5"/>
      <c r="D16" s="5"/>
      <c r="E16" s="5"/>
      <c r="F16" s="5">
        <f>F10-F15</f>
        <v>-11.605000000000018</v>
      </c>
      <c r="G16" s="5">
        <f>G10-G15</f>
        <v>-11.263000000000005</v>
      </c>
      <c r="H16" s="5">
        <f>H10-H15</f>
        <v>-9.23599999999999</v>
      </c>
      <c r="I16" s="5">
        <f>I10-I15</f>
        <v>-8.554000000000002</v>
      </c>
      <c r="J16" s="5">
        <f t="shared" ref="J16" si="26">J10-J15</f>
        <v>-0.39999999999997726</v>
      </c>
      <c r="K16" s="5">
        <f>K10-K15</f>
        <v>9.9029999999999916</v>
      </c>
      <c r="L16" s="5">
        <f>L10-L15</f>
        <v>11.030000000000058</v>
      </c>
      <c r="M16" s="5">
        <f>M10-M15</f>
        <v>22.373999999999967</v>
      </c>
      <c r="N16" s="5">
        <f t="shared" ref="N16:R16" si="27">N10-N15</f>
        <v>98.126699999999971</v>
      </c>
      <c r="O16" s="5">
        <f t="shared" si="27"/>
        <v>119.04850000000005</v>
      </c>
      <c r="P16" s="5">
        <f t="shared" si="27"/>
        <v>152.05300000000005</v>
      </c>
      <c r="Q16" s="5">
        <f t="shared" si="27"/>
        <v>128.40200000000004</v>
      </c>
      <c r="R16" s="5">
        <f t="shared" si="27"/>
        <v>182.61883000000006</v>
      </c>
      <c r="W16" s="3">
        <f>W10-W15</f>
        <v>-115.04200000000003</v>
      </c>
      <c r="X16" s="3">
        <f>X10-X15</f>
        <v>-68.697000000000003</v>
      </c>
      <c r="Y16" s="3">
        <f>Y10-Y15</f>
        <v>-29.452999999999975</v>
      </c>
      <c r="Z16" s="3">
        <f t="shared" ref="Z16" si="28">Z10-Z15</f>
        <v>90.738500000000158</v>
      </c>
      <c r="AA16" s="3">
        <f t="shared" ref="AA16" si="29">AA10-AA15</f>
        <v>337.1619019999996</v>
      </c>
      <c r="AB16" s="3">
        <f t="shared" ref="AB16" si="30">AB10-AB15</f>
        <v>474.79620099999966</v>
      </c>
      <c r="AC16" s="3">
        <f t="shared" ref="AC16" si="31">AC10-AC15</f>
        <v>592.12101827119977</v>
      </c>
      <c r="AD16" s="3">
        <f t="shared" ref="AD16" si="32">AD10-AD15</f>
        <v>719.54650504615938</v>
      </c>
      <c r="AE16" s="3">
        <f t="shared" ref="AE16" si="33">AE10-AE15</f>
        <v>907.0747537134439</v>
      </c>
      <c r="AF16" s="3">
        <f t="shared" ref="AF16" si="34">AF10-AF15</f>
        <v>1097.410259237457</v>
      </c>
    </row>
    <row r="17" spans="2:119" x14ac:dyDescent="0.2">
      <c r="B17" s="1" t="s">
        <v>24</v>
      </c>
      <c r="D17" s="5"/>
      <c r="F17" s="5">
        <v>0.57699999999999996</v>
      </c>
      <c r="G17" s="5">
        <v>1.8776999999999999</v>
      </c>
      <c r="H17" s="5">
        <v>2.2389999999999999</v>
      </c>
      <c r="I17" s="5">
        <v>2.226</v>
      </c>
      <c r="J17" s="5">
        <v>2.5960000000000001</v>
      </c>
      <c r="K17" s="5">
        <v>2.5</v>
      </c>
      <c r="L17" s="5">
        <v>2.3940000000000001</v>
      </c>
      <c r="M17" s="5">
        <v>1.2190000000000001</v>
      </c>
      <c r="N17" s="5">
        <f>+M17</f>
        <v>1.2190000000000001</v>
      </c>
      <c r="O17" s="5">
        <f>+N17</f>
        <v>1.2190000000000001</v>
      </c>
      <c r="P17" s="5">
        <f>+O17</f>
        <v>1.2190000000000001</v>
      </c>
      <c r="Q17" s="5">
        <f>+P17</f>
        <v>1.2190000000000001</v>
      </c>
      <c r="R17" s="5">
        <f>+Q17</f>
        <v>1.2190000000000001</v>
      </c>
      <c r="W17" s="3">
        <v>4.2469999999999999</v>
      </c>
      <c r="X17" s="3">
        <v>2.988</v>
      </c>
      <c r="Y17" s="3">
        <v>7.8819999999999997</v>
      </c>
      <c r="Z17" s="3">
        <f>+Y17</f>
        <v>7.8819999999999997</v>
      </c>
    </row>
    <row r="18" spans="2:119" x14ac:dyDescent="0.2">
      <c r="B18" s="1" t="s">
        <v>25</v>
      </c>
      <c r="C18" s="5"/>
      <c r="D18" s="5"/>
      <c r="F18" s="5">
        <f>+F16+F17</f>
        <v>-11.028000000000018</v>
      </c>
      <c r="G18" s="5">
        <f>+G16+G17</f>
        <v>-9.3853000000000044</v>
      </c>
      <c r="H18" s="5">
        <f>+H16+H17</f>
        <v>-6.9969999999999901</v>
      </c>
      <c r="I18" s="5">
        <f>+I16+I17</f>
        <v>-6.3280000000000021</v>
      </c>
      <c r="J18" s="5">
        <f>+J16+J17</f>
        <v>2.1960000000000228</v>
      </c>
      <c r="K18" s="5">
        <f>+K16+K17</f>
        <v>12.402999999999992</v>
      </c>
      <c r="L18" s="5">
        <f>+L16+L17</f>
        <v>13.424000000000058</v>
      </c>
      <c r="M18" s="5">
        <f>+M16+M17</f>
        <v>23.592999999999968</v>
      </c>
      <c r="N18" s="5">
        <f>+N16+N17</f>
        <v>99.345699999999965</v>
      </c>
      <c r="O18" s="5">
        <f>+O16+O17</f>
        <v>120.26750000000004</v>
      </c>
      <c r="P18" s="5">
        <f>+P16+P17</f>
        <v>153.27200000000005</v>
      </c>
      <c r="Q18" s="5">
        <f>+Q16+Q17</f>
        <v>129.62100000000004</v>
      </c>
      <c r="R18" s="5">
        <f>+R16+R17</f>
        <v>183.83783000000005</v>
      </c>
      <c r="W18" s="3">
        <f>+W16+W17</f>
        <v>-110.79500000000003</v>
      </c>
      <c r="X18" s="3">
        <f>+X16+X17</f>
        <v>-65.709000000000003</v>
      </c>
      <c r="Y18" s="3">
        <f>+Y16+Y17</f>
        <v>-21.570999999999977</v>
      </c>
      <c r="Z18" s="3">
        <f>+Z16+Z17</f>
        <v>98.620500000000163</v>
      </c>
      <c r="AA18" s="3">
        <f t="shared" ref="AA18:AF18" si="35">+AA16+AA17</f>
        <v>337.1619019999996</v>
      </c>
      <c r="AB18" s="3">
        <f t="shared" si="35"/>
        <v>474.79620099999966</v>
      </c>
      <c r="AC18" s="3">
        <f t="shared" si="35"/>
        <v>592.12101827119977</v>
      </c>
      <c r="AD18" s="3">
        <f t="shared" si="35"/>
        <v>719.54650504615938</v>
      </c>
      <c r="AE18" s="3">
        <f t="shared" si="35"/>
        <v>907.0747537134439</v>
      </c>
      <c r="AF18" s="3">
        <f t="shared" si="35"/>
        <v>1097.410259237457</v>
      </c>
    </row>
    <row r="19" spans="2:119" x14ac:dyDescent="0.2">
      <c r="B19" s="1" t="s">
        <v>27</v>
      </c>
      <c r="C19" s="5"/>
      <c r="D19" s="5"/>
      <c r="E19" s="5"/>
      <c r="F19" s="5">
        <v>0.121</v>
      </c>
      <c r="G19" s="5">
        <v>0.38600000000000001</v>
      </c>
      <c r="H19" s="5">
        <v>1.2999999999999999E-2</v>
      </c>
      <c r="I19" s="5">
        <v>0.65100000000000002</v>
      </c>
      <c r="J19" s="5">
        <v>-0.95099999999999996</v>
      </c>
      <c r="K19" s="5">
        <v>1.2749999999999999</v>
      </c>
      <c r="L19" s="5">
        <v>-0.127</v>
      </c>
      <c r="M19" s="4">
        <v>0</v>
      </c>
      <c r="N19" s="5">
        <f>+N18*0.1</f>
        <v>9.9345699999999972</v>
      </c>
      <c r="O19" s="5">
        <f>+O18*0.1</f>
        <v>12.026750000000005</v>
      </c>
      <c r="P19" s="5">
        <f>+P18*0.1</f>
        <v>15.327200000000005</v>
      </c>
      <c r="Q19" s="5">
        <f>+Q18*0.1</f>
        <v>12.962100000000005</v>
      </c>
      <c r="R19" s="5">
        <f>+R18*0.1</f>
        <v>18.383783000000005</v>
      </c>
      <c r="W19" s="3">
        <v>-3.1360000000000001</v>
      </c>
      <c r="X19" s="3">
        <v>3.1E-2</v>
      </c>
      <c r="Y19" s="3">
        <v>1.9750000000000001</v>
      </c>
      <c r="Z19" s="3">
        <f>+Y19</f>
        <v>1.9750000000000001</v>
      </c>
      <c r="AA19" s="3">
        <f t="shared" ref="AA19:AF19" si="36">+AA18*0.2</f>
        <v>67.432380399999928</v>
      </c>
      <c r="AB19" s="3">
        <f t="shared" si="36"/>
        <v>94.95924019999994</v>
      </c>
      <c r="AC19" s="3">
        <f t="shared" si="36"/>
        <v>118.42420365423996</v>
      </c>
      <c r="AD19" s="3">
        <f t="shared" si="36"/>
        <v>143.90930100923188</v>
      </c>
      <c r="AE19" s="3">
        <f t="shared" si="36"/>
        <v>181.4149507426888</v>
      </c>
      <c r="AF19" s="3">
        <f t="shared" si="36"/>
        <v>219.48205184749142</v>
      </c>
    </row>
    <row r="20" spans="2:119" x14ac:dyDescent="0.2">
      <c r="B20" s="1" t="s">
        <v>26</v>
      </c>
      <c r="C20" s="5"/>
      <c r="D20" s="5"/>
      <c r="F20" s="5">
        <f>+F18+F19</f>
        <v>-10.907000000000018</v>
      </c>
      <c r="G20" s="5">
        <f>+G18+G19</f>
        <v>-8.9993000000000052</v>
      </c>
      <c r="H20" s="5">
        <f>+H18+H19</f>
        <v>-6.9839999999999902</v>
      </c>
      <c r="I20" s="5">
        <f>+I18+I19</f>
        <v>-5.6770000000000023</v>
      </c>
      <c r="J20" s="5">
        <f>+J18+J19</f>
        <v>1.2450000000000228</v>
      </c>
      <c r="K20" s="5">
        <f>+K18+K19</f>
        <v>13.677999999999992</v>
      </c>
      <c r="L20" s="5">
        <f>+L18+L19</f>
        <v>13.297000000000057</v>
      </c>
      <c r="M20" s="5">
        <f>+M18+M19</f>
        <v>23.592999999999968</v>
      </c>
      <c r="N20" s="5">
        <f>+N18+N19</f>
        <v>109.28026999999996</v>
      </c>
      <c r="O20" s="5">
        <f>+O18+O19</f>
        <v>132.29425000000003</v>
      </c>
      <c r="P20" s="5">
        <f>+P18+P19</f>
        <v>168.59920000000005</v>
      </c>
      <c r="Q20" s="5">
        <f>+Q18+Q19</f>
        <v>142.58310000000003</v>
      </c>
      <c r="R20" s="5">
        <f>+R18+R19</f>
        <v>202.22161300000005</v>
      </c>
      <c r="W20" s="3">
        <f>+W18-W19</f>
        <v>-107.65900000000003</v>
      </c>
      <c r="X20" s="3">
        <f>+X18-X19</f>
        <v>-65.740000000000009</v>
      </c>
      <c r="Y20" s="3">
        <f>+Y18-Y19</f>
        <v>-23.545999999999978</v>
      </c>
      <c r="Z20" s="3">
        <f>+Z18-Z19</f>
        <v>96.645500000000169</v>
      </c>
      <c r="AA20" s="3">
        <f t="shared" ref="AA20:AF20" si="37">+AA18-AA19</f>
        <v>269.72952159999966</v>
      </c>
      <c r="AB20" s="3">
        <f t="shared" si="37"/>
        <v>379.8369607999997</v>
      </c>
      <c r="AC20" s="3">
        <f t="shared" si="37"/>
        <v>473.69681461695984</v>
      </c>
      <c r="AD20" s="3">
        <f t="shared" si="37"/>
        <v>575.63720403692753</v>
      </c>
      <c r="AE20" s="3">
        <f t="shared" si="37"/>
        <v>725.65980297075509</v>
      </c>
      <c r="AF20" s="3">
        <f t="shared" si="37"/>
        <v>877.92820738996556</v>
      </c>
      <c r="AG20" s="3">
        <f>+AF20*(1+$AH$29)</f>
        <v>869.14892531606586</v>
      </c>
      <c r="AH20" s="3">
        <f t="shared" ref="AH20:CS20" si="38">+AG20*(1+$AH$29)</f>
        <v>860.45743606290523</v>
      </c>
      <c r="AI20" s="3">
        <f t="shared" si="38"/>
        <v>851.85286170227619</v>
      </c>
      <c r="AJ20" s="3">
        <f t="shared" si="38"/>
        <v>843.33433308525343</v>
      </c>
      <c r="AK20" s="3">
        <f t="shared" si="38"/>
        <v>834.90098975440094</v>
      </c>
      <c r="AL20" s="3">
        <f t="shared" si="38"/>
        <v>826.55197985685697</v>
      </c>
      <c r="AM20" s="3">
        <f t="shared" si="38"/>
        <v>818.28646005828841</v>
      </c>
      <c r="AN20" s="3">
        <f t="shared" si="38"/>
        <v>810.10359545770552</v>
      </c>
      <c r="AO20" s="3">
        <f t="shared" si="38"/>
        <v>802.00255950312851</v>
      </c>
      <c r="AP20" s="3">
        <f t="shared" si="38"/>
        <v>793.98253390809725</v>
      </c>
      <c r="AQ20" s="3">
        <f t="shared" si="38"/>
        <v>786.04270856901633</v>
      </c>
      <c r="AR20" s="3">
        <f t="shared" si="38"/>
        <v>778.18228148332616</v>
      </c>
      <c r="AS20" s="3">
        <f t="shared" si="38"/>
        <v>770.40045866849289</v>
      </c>
      <c r="AT20" s="3">
        <f t="shared" si="38"/>
        <v>762.69645408180793</v>
      </c>
      <c r="AU20" s="3">
        <f t="shared" si="38"/>
        <v>755.06948954098982</v>
      </c>
      <c r="AV20" s="3">
        <f t="shared" si="38"/>
        <v>747.51879464557987</v>
      </c>
      <c r="AW20" s="3">
        <f t="shared" si="38"/>
        <v>740.0436066991241</v>
      </c>
      <c r="AX20" s="3">
        <f t="shared" si="38"/>
        <v>732.64317063213286</v>
      </c>
      <c r="AY20" s="3">
        <f t="shared" si="38"/>
        <v>725.31673892581148</v>
      </c>
      <c r="AZ20" s="3">
        <f t="shared" si="38"/>
        <v>718.06357153655335</v>
      </c>
      <c r="BA20" s="3">
        <f t="shared" si="38"/>
        <v>710.88293582118786</v>
      </c>
      <c r="BB20" s="3">
        <f t="shared" si="38"/>
        <v>703.77410646297596</v>
      </c>
      <c r="BC20" s="3">
        <f t="shared" si="38"/>
        <v>696.73636539834615</v>
      </c>
      <c r="BD20" s="3">
        <f t="shared" si="38"/>
        <v>689.76900174436264</v>
      </c>
      <c r="BE20" s="3">
        <f t="shared" si="38"/>
        <v>682.87131172691898</v>
      </c>
      <c r="BF20" s="3">
        <f t="shared" si="38"/>
        <v>676.04259860964976</v>
      </c>
      <c r="BG20" s="3">
        <f t="shared" si="38"/>
        <v>669.28217262355327</v>
      </c>
      <c r="BH20" s="3">
        <f t="shared" si="38"/>
        <v>662.58935089731767</v>
      </c>
      <c r="BI20" s="3">
        <f t="shared" si="38"/>
        <v>655.96345738834452</v>
      </c>
      <c r="BJ20" s="3">
        <f t="shared" si="38"/>
        <v>649.40382281446102</v>
      </c>
      <c r="BK20" s="3">
        <f t="shared" si="38"/>
        <v>642.90978458631639</v>
      </c>
      <c r="BL20" s="3">
        <f t="shared" si="38"/>
        <v>636.48068674045317</v>
      </c>
      <c r="BM20" s="3">
        <f t="shared" si="38"/>
        <v>630.11587987304858</v>
      </c>
      <c r="BN20" s="3">
        <f t="shared" si="38"/>
        <v>623.81472107431807</v>
      </c>
      <c r="BO20" s="3">
        <f t="shared" si="38"/>
        <v>617.57657386357494</v>
      </c>
      <c r="BP20" s="3">
        <f t="shared" si="38"/>
        <v>611.4008081249392</v>
      </c>
      <c r="BQ20" s="3">
        <f t="shared" si="38"/>
        <v>605.28680004368982</v>
      </c>
      <c r="BR20" s="3">
        <f t="shared" si="38"/>
        <v>599.23393204325293</v>
      </c>
      <c r="BS20" s="3">
        <f t="shared" si="38"/>
        <v>593.24159272282043</v>
      </c>
      <c r="BT20" s="3">
        <f t="shared" si="38"/>
        <v>587.30917679559218</v>
      </c>
      <c r="BU20" s="3">
        <f t="shared" si="38"/>
        <v>581.4360850276363</v>
      </c>
      <c r="BV20" s="3">
        <f t="shared" si="38"/>
        <v>575.62172417735997</v>
      </c>
      <c r="BW20" s="3">
        <f t="shared" si="38"/>
        <v>569.86550693558638</v>
      </c>
      <c r="BX20" s="3">
        <f t="shared" si="38"/>
        <v>564.16685186623056</v>
      </c>
      <c r="BY20" s="3">
        <f t="shared" si="38"/>
        <v>558.52518334756826</v>
      </c>
      <c r="BZ20" s="3">
        <f t="shared" si="38"/>
        <v>552.93993151409256</v>
      </c>
      <c r="CA20" s="3">
        <f t="shared" si="38"/>
        <v>547.41053219895161</v>
      </c>
      <c r="CB20" s="3">
        <f t="shared" si="38"/>
        <v>541.93642687696206</v>
      </c>
      <c r="CC20" s="3">
        <f t="shared" si="38"/>
        <v>536.51706260819242</v>
      </c>
      <c r="CD20" s="3">
        <f t="shared" si="38"/>
        <v>531.15189198211044</v>
      </c>
      <c r="CE20" s="3">
        <f t="shared" si="38"/>
        <v>525.84037306228936</v>
      </c>
      <c r="CF20" s="3">
        <f t="shared" si="38"/>
        <v>520.58196933166641</v>
      </c>
      <c r="CG20" s="3">
        <f t="shared" si="38"/>
        <v>515.37614963834972</v>
      </c>
      <c r="CH20" s="3">
        <f t="shared" si="38"/>
        <v>510.22238814196623</v>
      </c>
      <c r="CI20" s="3">
        <f t="shared" si="38"/>
        <v>505.12016426054657</v>
      </c>
      <c r="CJ20" s="3">
        <f t="shared" si="38"/>
        <v>500.06896261794111</v>
      </c>
      <c r="CK20" s="3">
        <f t="shared" si="38"/>
        <v>495.06827299176172</v>
      </c>
      <c r="CL20" s="3">
        <f t="shared" si="38"/>
        <v>490.1175902618441</v>
      </c>
      <c r="CM20" s="3">
        <f t="shared" si="38"/>
        <v>485.21641435922567</v>
      </c>
      <c r="CN20" s="3">
        <f t="shared" si="38"/>
        <v>480.36425021563343</v>
      </c>
      <c r="CO20" s="3">
        <f t="shared" si="38"/>
        <v>475.56060771347711</v>
      </c>
      <c r="CP20" s="3">
        <f t="shared" si="38"/>
        <v>470.80500163634235</v>
      </c>
      <c r="CQ20" s="3">
        <f t="shared" si="38"/>
        <v>466.09695161997894</v>
      </c>
      <c r="CR20" s="3">
        <f t="shared" si="38"/>
        <v>461.43598210377917</v>
      </c>
      <c r="CS20" s="3">
        <f t="shared" si="38"/>
        <v>456.82162228274137</v>
      </c>
      <c r="CT20" s="3">
        <f t="shared" ref="CT20:DO20" si="39">+CS20*(1+$AH$29)</f>
        <v>452.25340605991397</v>
      </c>
      <c r="CU20" s="3">
        <f t="shared" si="39"/>
        <v>447.73087199931484</v>
      </c>
      <c r="CV20" s="3">
        <f t="shared" si="39"/>
        <v>443.25356327932167</v>
      </c>
      <c r="CW20" s="3">
        <f t="shared" si="39"/>
        <v>438.82102764652842</v>
      </c>
      <c r="CX20" s="3">
        <f t="shared" si="39"/>
        <v>434.43281737006311</v>
      </c>
      <c r="CY20" s="3">
        <f t="shared" si="39"/>
        <v>430.08848919636245</v>
      </c>
      <c r="CZ20" s="3">
        <f t="shared" si="39"/>
        <v>425.78760430439883</v>
      </c>
      <c r="DA20" s="3">
        <f t="shared" si="39"/>
        <v>421.52972826135482</v>
      </c>
      <c r="DB20" s="3">
        <f t="shared" si="39"/>
        <v>417.31443097874126</v>
      </c>
      <c r="DC20" s="3">
        <f t="shared" si="39"/>
        <v>413.14128666895385</v>
      </c>
      <c r="DD20" s="3">
        <f t="shared" si="39"/>
        <v>409.00987380226434</v>
      </c>
      <c r="DE20" s="3">
        <f t="shared" si="39"/>
        <v>404.91977506424166</v>
      </c>
      <c r="DF20" s="3">
        <f t="shared" si="39"/>
        <v>400.87057731359926</v>
      </c>
      <c r="DG20" s="3">
        <f t="shared" si="39"/>
        <v>396.86187154046326</v>
      </c>
      <c r="DH20" s="3">
        <f t="shared" si="39"/>
        <v>392.8932528250586</v>
      </c>
      <c r="DI20" s="3">
        <f t="shared" si="39"/>
        <v>388.96432029680801</v>
      </c>
      <c r="DJ20" s="3">
        <f t="shared" si="39"/>
        <v>385.07467709383991</v>
      </c>
      <c r="DK20" s="3">
        <f t="shared" si="39"/>
        <v>381.22393032290148</v>
      </c>
      <c r="DL20" s="3">
        <f t="shared" si="39"/>
        <v>377.41169101967245</v>
      </c>
      <c r="DM20" s="3">
        <f t="shared" si="39"/>
        <v>373.63757410947574</v>
      </c>
      <c r="DN20" s="3">
        <f t="shared" si="39"/>
        <v>369.90119836838096</v>
      </c>
      <c r="DO20" s="3">
        <f t="shared" si="39"/>
        <v>366.20218638469714</v>
      </c>
    </row>
    <row r="21" spans="2:119" x14ac:dyDescent="0.2">
      <c r="B21" s="1" t="s">
        <v>28</v>
      </c>
      <c r="C21" s="6"/>
      <c r="D21" s="6"/>
      <c r="F21" s="6">
        <f>+F20/F22</f>
        <v>-5.2910570613702017E-2</v>
      </c>
      <c r="G21" s="6">
        <f>+G20/G22</f>
        <v>-4.3445433297580778E-2</v>
      </c>
      <c r="H21" s="6">
        <f>+H20/H22</f>
        <v>-3.3508805957312933E-2</v>
      </c>
      <c r="I21" s="6">
        <f>+I20/I22</f>
        <v>-2.7016006938902208E-2</v>
      </c>
      <c r="J21" s="6">
        <f>+J20/J22</f>
        <v>5.6118782791625688E-3</v>
      </c>
      <c r="K21" s="6">
        <f>+K20/K22</f>
        <v>5.9634315384827136E-2</v>
      </c>
      <c r="L21" s="6">
        <f>+L20/L22</f>
        <v>5.6633108664250427E-2</v>
      </c>
      <c r="M21" s="6">
        <f>+M20/M22</f>
        <v>0.10036604530032268</v>
      </c>
      <c r="N21" s="6">
        <f>+N20/N22</f>
        <v>0.4648848611559151</v>
      </c>
      <c r="O21" s="6">
        <f t="shared" ref="O21:R21" si="40">+O20/O22</f>
        <v>0.5627877204455658</v>
      </c>
      <c r="P21" s="6">
        <f t="shared" si="40"/>
        <v>0.71723116792261232</v>
      </c>
      <c r="Q21" s="6">
        <f t="shared" si="40"/>
        <v>0.60655710904337989</v>
      </c>
      <c r="R21" s="6">
        <f t="shared" si="40"/>
        <v>0.86026294117163371</v>
      </c>
      <c r="W21" s="2">
        <f>+W20/W22</f>
        <v>-0.57638994586493864</v>
      </c>
      <c r="X21" s="2">
        <f>+X20/X22</f>
        <v>-0.32144165457471036</v>
      </c>
      <c r="Y21" s="2">
        <f>+Y20/Y22</f>
        <v>-0.11247477796334296</v>
      </c>
      <c r="Z21" s="2">
        <f>+Z20/Z22</f>
        <v>0.46165723068276104</v>
      </c>
      <c r="AA21" s="2">
        <f>+AA20/AA22</f>
        <v>1.288446787230048</v>
      </c>
      <c r="AB21" s="2">
        <f t="shared" ref="AB21:AF21" si="41">+AB20/AB22</f>
        <v>1.8144091492504464</v>
      </c>
      <c r="AC21" s="2">
        <f t="shared" si="41"/>
        <v>2.2627598762416308</v>
      </c>
      <c r="AD21" s="2">
        <f t="shared" si="41"/>
        <v>2.749709789836619</v>
      </c>
      <c r="AE21" s="2">
        <f t="shared" si="41"/>
        <v>3.4663393024742613</v>
      </c>
      <c r="AF21" s="2">
        <f t="shared" si="41"/>
        <v>4.1936966021380355</v>
      </c>
    </row>
    <row r="22" spans="2:119" x14ac:dyDescent="0.2">
      <c r="B22" s="1" t="s">
        <v>1</v>
      </c>
      <c r="C22" s="5"/>
      <c r="D22" s="5"/>
      <c r="E22" s="5"/>
      <c r="F22" s="5">
        <v>206.14028300000001</v>
      </c>
      <c r="G22" s="5">
        <v>207.140298</v>
      </c>
      <c r="H22" s="5">
        <v>208.42282499999999</v>
      </c>
      <c r="I22" s="5">
        <v>210.134681</v>
      </c>
      <c r="J22" s="5">
        <v>221.85085599999999</v>
      </c>
      <c r="K22" s="5">
        <v>229.36458500000001</v>
      </c>
      <c r="L22" s="5">
        <v>234.79198500000001</v>
      </c>
      <c r="M22" s="5">
        <v>235.06953899999999</v>
      </c>
      <c r="N22" s="5">
        <f>+M22</f>
        <v>235.06953899999999</v>
      </c>
      <c r="O22" s="5">
        <f t="shared" ref="O22:R22" si="42">+N22</f>
        <v>235.06953899999999</v>
      </c>
      <c r="P22" s="5">
        <f t="shared" si="42"/>
        <v>235.06953899999999</v>
      </c>
      <c r="Q22" s="5">
        <f t="shared" si="42"/>
        <v>235.06953899999999</v>
      </c>
      <c r="R22" s="5">
        <f t="shared" si="42"/>
        <v>235.06953899999999</v>
      </c>
      <c r="W22" s="3">
        <v>186.78153699999999</v>
      </c>
      <c r="X22" s="3">
        <v>204.51612</v>
      </c>
      <c r="Y22" s="3">
        <v>209.34471199999999</v>
      </c>
      <c r="Z22" s="3">
        <f>+Y22</f>
        <v>209.34471199999999</v>
      </c>
      <c r="AA22" s="3">
        <f>+Z22</f>
        <v>209.34471199999999</v>
      </c>
      <c r="AB22" s="3">
        <f t="shared" ref="AB22:AF22" si="43">+AA22</f>
        <v>209.34471199999999</v>
      </c>
      <c r="AC22" s="3">
        <f t="shared" si="43"/>
        <v>209.34471199999999</v>
      </c>
      <c r="AD22" s="3">
        <f t="shared" si="43"/>
        <v>209.34471199999999</v>
      </c>
      <c r="AE22" s="3">
        <f t="shared" si="43"/>
        <v>209.34471199999999</v>
      </c>
      <c r="AF22" s="3">
        <f t="shared" si="43"/>
        <v>209.34471199999999</v>
      </c>
    </row>
    <row r="24" spans="2:119" s="10" customFormat="1" x14ac:dyDescent="0.2">
      <c r="B24" s="10" t="s">
        <v>30</v>
      </c>
      <c r="C24" s="11"/>
      <c r="D24" s="11"/>
      <c r="E24" s="11"/>
      <c r="F24" s="11"/>
      <c r="G24" s="11"/>
      <c r="H24" s="11"/>
      <c r="I24" s="11"/>
      <c r="J24" s="12">
        <f>+J8/F8-1</f>
        <v>0.47496755440990879</v>
      </c>
      <c r="K24" s="12">
        <f>+K8/G8-1</f>
        <v>0.45814855585259728</v>
      </c>
      <c r="L24" s="12">
        <f>+L8/H8-1</f>
        <v>0.51818076878679453</v>
      </c>
      <c r="M24" s="12">
        <f>+M8/I8-1</f>
        <v>0.77131791494448576</v>
      </c>
      <c r="N24" s="12">
        <f>+N8/J8-1</f>
        <v>0.93235719875597578</v>
      </c>
      <c r="O24" s="12">
        <f>+O8/K8-1</f>
        <v>0.89292197964561382</v>
      </c>
      <c r="P24" s="12">
        <f>+P8/L8-1</f>
        <v>0.82657897404703973</v>
      </c>
      <c r="Q24" s="12">
        <f>+Q8/M8-1</f>
        <v>0.56032035382362633</v>
      </c>
      <c r="R24" s="12">
        <f>+R8/N8-1</f>
        <v>0.41967785527828849</v>
      </c>
      <c r="V24" s="13">
        <f t="shared" ref="V24:AF24" si="44">+V8/U8-1</f>
        <v>0.80184839749024928</v>
      </c>
      <c r="W24" s="13">
        <f t="shared" si="44"/>
        <v>0.8276652527276025</v>
      </c>
      <c r="X24" s="13">
        <f t="shared" si="44"/>
        <v>0.9380604535857997</v>
      </c>
      <c r="Y24" s="13">
        <f t="shared" si="44"/>
        <v>0.65491273751413881</v>
      </c>
      <c r="Z24" s="13">
        <f t="shared" si="44"/>
        <v>0.68799426605504599</v>
      </c>
      <c r="AA24" s="13">
        <f t="shared" si="44"/>
        <v>0.33493648819136213</v>
      </c>
      <c r="AB24" s="13">
        <f t="shared" si="44"/>
        <v>0.21451506574468837</v>
      </c>
      <c r="AC24" s="13">
        <f t="shared" si="44"/>
        <v>0.18648263498526352</v>
      </c>
      <c r="AD24" s="13">
        <f t="shared" si="44"/>
        <v>0.16584447785603129</v>
      </c>
      <c r="AE24" s="13">
        <f t="shared" si="44"/>
        <v>0.15001584675258095</v>
      </c>
      <c r="AF24" s="13">
        <f t="shared" si="44"/>
        <v>0.13749097284548428</v>
      </c>
    </row>
    <row r="26" spans="2:119" x14ac:dyDescent="0.2">
      <c r="B26" s="1" t="s">
        <v>40</v>
      </c>
      <c r="F26" s="16">
        <f t="shared" ref="F26:M26" si="45">+F10/F8</f>
        <v>0.79147503334270308</v>
      </c>
      <c r="G26" s="16">
        <f t="shared" si="45"/>
        <v>0.80424070870681974</v>
      </c>
      <c r="H26" s="16">
        <f t="shared" si="45"/>
        <v>0.81841355958290052</v>
      </c>
      <c r="I26" s="16">
        <f t="shared" si="45"/>
        <v>0.82624096268620506</v>
      </c>
      <c r="J26" s="16">
        <f t="shared" si="45"/>
        <v>0.82742205588377216</v>
      </c>
      <c r="K26" s="16">
        <f t="shared" si="45"/>
        <v>0.82357614560827697</v>
      </c>
      <c r="L26" s="16">
        <f t="shared" si="45"/>
        <v>0.8129720448094081</v>
      </c>
      <c r="M26" s="16">
        <f>+M10/M8</f>
        <v>0.7916355377581209</v>
      </c>
      <c r="N26" s="16">
        <f t="shared" ref="N26:R26" si="46">+N10/N8</f>
        <v>0.8</v>
      </c>
      <c r="O26" s="16">
        <f t="shared" si="46"/>
        <v>0.8</v>
      </c>
      <c r="P26" s="16">
        <f t="shared" si="46"/>
        <v>0.8</v>
      </c>
      <c r="Q26" s="16">
        <f t="shared" si="46"/>
        <v>0.8</v>
      </c>
      <c r="R26" s="16">
        <f t="shared" si="46"/>
        <v>0.8</v>
      </c>
      <c r="W26" s="14">
        <f>+W10/W8</f>
        <v>0.7521535394551967</v>
      </c>
      <c r="X26" s="14">
        <f>+X10/X8</f>
        <v>0.77568720630992416</v>
      </c>
      <c r="Y26" s="14">
        <f>+Y10/Y8</f>
        <v>0.81989564220183497</v>
      </c>
      <c r="Z26" s="14">
        <f>+Z10/Z8</f>
        <v>0.8</v>
      </c>
      <c r="AA26" s="14">
        <f>+AA10/AA8</f>
        <v>0.78</v>
      </c>
      <c r="AB26" s="14">
        <f t="shared" ref="AB26:AF26" si="47">+AB10/AB8</f>
        <v>0.75</v>
      </c>
      <c r="AC26" s="14">
        <f t="shared" si="47"/>
        <v>0.72</v>
      </c>
      <c r="AD26" s="14">
        <f t="shared" si="47"/>
        <v>0.7</v>
      </c>
      <c r="AE26" s="14">
        <f t="shared" si="47"/>
        <v>0.7</v>
      </c>
      <c r="AF26" s="14">
        <f t="shared" si="47"/>
        <v>0.7</v>
      </c>
    </row>
    <row r="28" spans="2:119" x14ac:dyDescent="0.2">
      <c r="B28" s="1" t="s">
        <v>29</v>
      </c>
      <c r="D28" s="5"/>
      <c r="E28" s="5"/>
      <c r="F28" s="5"/>
      <c r="H28" s="5">
        <v>26.309000000000001</v>
      </c>
      <c r="I28" s="5"/>
      <c r="J28" s="5"/>
      <c r="K28" s="5"/>
      <c r="L28" s="5">
        <v>79.432000000000002</v>
      </c>
      <c r="AG28" s="17" t="s">
        <v>47</v>
      </c>
      <c r="AH28" s="14">
        <v>0.09</v>
      </c>
    </row>
    <row r="29" spans="2:119" x14ac:dyDescent="0.2">
      <c r="B29" s="1" t="s">
        <v>31</v>
      </c>
      <c r="L29" s="5">
        <v>13.792999999999999</v>
      </c>
      <c r="AG29" s="17" t="s">
        <v>48</v>
      </c>
      <c r="AH29" s="14">
        <v>-0.01</v>
      </c>
    </row>
    <row r="30" spans="2:119" x14ac:dyDescent="0.2">
      <c r="B30" s="1" t="s">
        <v>32</v>
      </c>
      <c r="L30" s="5">
        <f>+L28-L29</f>
        <v>65.63900000000001</v>
      </c>
      <c r="AG30" s="17" t="s">
        <v>49</v>
      </c>
      <c r="AH30" s="3">
        <f>NPV(AH28,AA20:DO20)</f>
        <v>7517.0976121721033</v>
      </c>
    </row>
    <row r="31" spans="2:119" x14ac:dyDescent="0.2">
      <c r="L31" s="4">
        <v>47.6</v>
      </c>
    </row>
    <row r="33" spans="2:12" x14ac:dyDescent="0.2">
      <c r="B33" s="1" t="s">
        <v>41</v>
      </c>
      <c r="E33" s="4">
        <v>-6.1</v>
      </c>
      <c r="F33" s="4">
        <v>3.9</v>
      </c>
      <c r="G33" s="4">
        <v>6.1</v>
      </c>
      <c r="H33" s="4">
        <v>10.6</v>
      </c>
      <c r="I33" s="4">
        <v>12.3</v>
      </c>
      <c r="J33" s="4">
        <v>20.6</v>
      </c>
      <c r="K33" s="4">
        <v>32.299999999999997</v>
      </c>
      <c r="L33" s="4">
        <v>39.299999999999997</v>
      </c>
    </row>
  </sheetData>
  <hyperlinks>
    <hyperlink ref="A1" location="Main!A1" display="Main" xr:uid="{9B4CD693-CDBF-3A42-842C-D8D3A1E133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2024-09-06T16:45:14Z</dcterms:created>
  <dcterms:modified xsi:type="dcterms:W3CDTF">2024-12-05T21:33:34Z</dcterms:modified>
</cp:coreProperties>
</file>