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A40ADA1-CC33-4B9E-988B-D9445E53963C}" xr6:coauthVersionLast="47" xr6:coauthVersionMax="47" xr10:uidLastSave="{00000000-0000-0000-0000-000000000000}"/>
  <bookViews>
    <workbookView xWindow="-24390" yWindow="3735" windowWidth="24480" windowHeight="17115" activeTab="2" xr2:uid="{1054D507-1308-4FD4-B51E-7B0D91C597A0}"/>
  </bookViews>
  <sheets>
    <sheet name="Main" sheetId="1" r:id="rId1"/>
    <sheet name="Model" sheetId="3" r:id="rId2"/>
    <sheet name="Amtagv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3" l="1"/>
  <c r="U8" i="3"/>
  <c r="T8" i="3"/>
  <c r="S8" i="3"/>
  <c r="R8" i="3"/>
  <c r="R7" i="3"/>
  <c r="Q10" i="3"/>
  <c r="R10" i="3"/>
  <c r="R9" i="3"/>
  <c r="V22" i="3"/>
  <c r="U22" i="3"/>
  <c r="T22" i="3"/>
  <c r="S22" i="3"/>
  <c r="R22" i="3"/>
  <c r="V15" i="3"/>
  <c r="U15" i="3"/>
  <c r="T15" i="3"/>
  <c r="S15" i="3"/>
  <c r="R15" i="3"/>
  <c r="V14" i="3"/>
  <c r="U14" i="3"/>
  <c r="T14" i="3"/>
  <c r="S14" i="3"/>
  <c r="R14" i="3"/>
  <c r="Q8" i="3"/>
  <c r="Q9" i="3"/>
  <c r="J21" i="3"/>
  <c r="I21" i="3"/>
  <c r="J22" i="3"/>
  <c r="I22" i="3"/>
  <c r="J20" i="3"/>
  <c r="I20" i="3"/>
  <c r="J18" i="3"/>
  <c r="I18" i="3"/>
  <c r="J16" i="3"/>
  <c r="I16" i="3"/>
  <c r="J15" i="3"/>
  <c r="I15" i="3"/>
  <c r="J12" i="3"/>
  <c r="I12" i="3"/>
  <c r="J11" i="3"/>
  <c r="I11" i="3"/>
  <c r="J10" i="3"/>
  <c r="J9" i="3"/>
  <c r="J8" i="3"/>
  <c r="J7" i="3"/>
  <c r="I7" i="3"/>
  <c r="H7" i="3"/>
  <c r="I10" i="3"/>
  <c r="V5" i="3"/>
  <c r="V9" i="3" s="1"/>
  <c r="V7" i="3" s="1"/>
  <c r="U5" i="3"/>
  <c r="U9" i="3" s="1"/>
  <c r="U7" i="3" s="1"/>
  <c r="T5" i="3"/>
  <c r="T9" i="3" s="1"/>
  <c r="T7" i="3" s="1"/>
  <c r="S5" i="3"/>
  <c r="S9" i="3" s="1"/>
  <c r="S7" i="3" s="1"/>
  <c r="Q5" i="3"/>
  <c r="P5" i="3"/>
  <c r="O5" i="3"/>
  <c r="N5" i="3"/>
  <c r="M5" i="3"/>
  <c r="L5" i="3"/>
  <c r="R5" i="3"/>
  <c r="P2" i="3"/>
  <c r="O2" i="3" s="1"/>
  <c r="N2" i="3" s="1"/>
  <c r="M2" i="3" s="1"/>
  <c r="L2" i="3" s="1"/>
  <c r="S2" i="3"/>
  <c r="T2" i="3" s="1"/>
  <c r="U2" i="3" s="1"/>
  <c r="V2" i="3" s="1"/>
  <c r="W2" i="3" s="1"/>
  <c r="X2" i="3" s="1"/>
  <c r="Y2" i="3" s="1"/>
  <c r="Z2" i="3" s="1"/>
  <c r="AA2" i="3" s="1"/>
  <c r="AB2" i="3" s="1"/>
  <c r="AC2" i="3" s="1"/>
  <c r="S10" i="3" l="1"/>
  <c r="T10" i="3"/>
  <c r="R11" i="3"/>
  <c r="R12" i="3" s="1"/>
  <c r="R16" i="3" s="1"/>
  <c r="R18" i="3" s="1"/>
  <c r="G15" i="3"/>
  <c r="G10" i="3"/>
  <c r="G12" i="3" s="1"/>
  <c r="H15" i="3"/>
  <c r="H10" i="3"/>
  <c r="H12" i="3" s="1"/>
  <c r="I5" i="1"/>
  <c r="I4" i="1"/>
  <c r="I7" i="1" s="1"/>
  <c r="R19" i="3" l="1"/>
  <c r="R20" i="3" s="1"/>
  <c r="S11" i="3"/>
  <c r="S12" i="3" s="1"/>
  <c r="S16" i="3" s="1"/>
  <c r="S18" i="3" s="1"/>
  <c r="T11" i="3"/>
  <c r="T12" i="3" s="1"/>
  <c r="T16" i="3" s="1"/>
  <c r="T18" i="3" s="1"/>
  <c r="V10" i="3"/>
  <c r="U10" i="3"/>
  <c r="H16" i="3"/>
  <c r="H18" i="3" s="1"/>
  <c r="H20" i="3" s="1"/>
  <c r="H21" i="3" s="1"/>
  <c r="G16" i="3"/>
  <c r="G18" i="3" s="1"/>
  <c r="G20" i="3" s="1"/>
  <c r="G21" i="3" s="1"/>
  <c r="S19" i="3" l="1"/>
  <c r="S20" i="3" s="1"/>
  <c r="S21" i="3" s="1"/>
  <c r="R21" i="3"/>
  <c r="U11" i="3"/>
  <c r="U12" i="3" s="1"/>
  <c r="U16" i="3" s="1"/>
  <c r="U18" i="3" s="1"/>
  <c r="T19" i="3"/>
  <c r="T20" i="3" s="1"/>
  <c r="V11" i="3"/>
  <c r="V12" i="3" s="1"/>
  <c r="V16" i="3" s="1"/>
  <c r="V18" i="3" s="1"/>
  <c r="T21" i="3" l="1"/>
  <c r="V19" i="3"/>
  <c r="V20" i="3" s="1"/>
  <c r="U19" i="3"/>
  <c r="U20" i="3" s="1"/>
  <c r="U21" i="3" l="1"/>
  <c r="W20" i="3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CU20" i="3" s="1"/>
  <c r="CV20" i="3" s="1"/>
  <c r="CW20" i="3" s="1"/>
  <c r="CX20" i="3" s="1"/>
  <c r="CY20" i="3" s="1"/>
  <c r="CZ20" i="3" s="1"/>
  <c r="V21" i="3"/>
  <c r="AA2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tc={998ABA84-464F-443C-9A08-EB68E16B19E1}</author>
  </authors>
  <commentList>
    <comment ref="H7" authorId="0" shapeId="0" xr:uid="{998ABA84-464F-443C-9A08-EB68E16B19E1}">
      <text>
        <t>[Threaded comment]
Your version of Excel allows you to read this threaded comment; however, any edits to it will get removed if the file is opened in a newer version of Excel. Learn more: https://go.microsoft.com/fwlink/?linkid=870924
Comment:
    25 in Q2</t>
      </text>
    </comment>
  </commentList>
</comments>
</file>

<file path=xl/sharedStrings.xml><?xml version="1.0" encoding="utf-8"?>
<sst xmlns="http://schemas.openxmlformats.org/spreadsheetml/2006/main" count="110" uniqueCount="98">
  <si>
    <t>Price</t>
  </si>
  <si>
    <t>Shares</t>
  </si>
  <si>
    <t>MC</t>
  </si>
  <si>
    <t>Cash</t>
  </si>
  <si>
    <t>Debt</t>
  </si>
  <si>
    <t>EV</t>
  </si>
  <si>
    <t>PPE</t>
  </si>
  <si>
    <t>Q224</t>
  </si>
  <si>
    <t>Brand</t>
  </si>
  <si>
    <t>Amtagvi</t>
  </si>
  <si>
    <t>Amtagvi (lifileucel)</t>
  </si>
  <si>
    <t>Indication</t>
  </si>
  <si>
    <t>Approval</t>
  </si>
  <si>
    <t>MOA</t>
  </si>
  <si>
    <t>Autologous</t>
  </si>
  <si>
    <t>2L+ Metastatic Melanoma</t>
  </si>
  <si>
    <t>Main</t>
  </si>
  <si>
    <t>Regimen</t>
  </si>
  <si>
    <t>CD4+ CD8+ T cells based on resected tumor</t>
  </si>
  <si>
    <t>Clinical Trials</t>
  </si>
  <si>
    <t>n=82 per protocol</t>
  </si>
  <si>
    <t>Manufacturing</t>
  </si>
  <si>
    <t>32% RR, 4% CR</t>
  </si>
  <si>
    <t>56% of responders &gt;6 months</t>
  </si>
  <si>
    <t>44% of responders &gt;12 months</t>
  </si>
  <si>
    <t>CEO: Fred Vogt</t>
  </si>
  <si>
    <t>Proleukin</t>
  </si>
  <si>
    <t>Phase III TILVANCE-301</t>
  </si>
  <si>
    <t>Revenue</t>
  </si>
  <si>
    <t>Q123</t>
  </si>
  <si>
    <t>Q223</t>
  </si>
  <si>
    <t>Q323</t>
  </si>
  <si>
    <t>Q423</t>
  </si>
  <si>
    <t>Q124</t>
  </si>
  <si>
    <t>Q324</t>
  </si>
  <si>
    <t>Q424</t>
  </si>
  <si>
    <t>Gross Margin</t>
  </si>
  <si>
    <t>COGS</t>
  </si>
  <si>
    <t>R&amp;D</t>
  </si>
  <si>
    <t>SG&amp;A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</si>
  <si>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</si>
  <si>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</si>
  <si>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</si>
  <si>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</si>
  <si>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</si>
  <si>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</si>
  <si>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</si>
  <si>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22-day manufacturing process, 34 days for delivery</t>
  </si>
  <si>
    <t>Primary Endpoint: ORR</t>
  </si>
  <si>
    <t>n=66 mean 3.3 prior therapies</t>
  </si>
  <si>
    <t xml:space="preserve">  36% ORR (2 CR, 22 PR)</t>
  </si>
  <si>
    <t xml:space="preserve">  80% DCR</t>
  </si>
  <si>
    <t xml:space="preserve">    mDOR &gt;18.7months</t>
  </si>
  <si>
    <t>Metastatic Melanoma</t>
  </si>
  <si>
    <t xml:space="preserve">  PD-1 refractory cohort 41% ORR, 81% DCR (40-65% of patients have primary resistance of PD-1)</t>
  </si>
  <si>
    <t>tumor resection followed by ex vivo expansion</t>
  </si>
  <si>
    <t>Generic</t>
  </si>
  <si>
    <t>lifileucel</t>
  </si>
  <si>
    <t>Amtagvi, LN-144</t>
  </si>
  <si>
    <t>Phase II n=111 3L+ metastatic melanoma - NCT02360579</t>
  </si>
  <si>
    <t>Gen 1 vs. Gen 2</t>
  </si>
  <si>
    <t>Study start: 9/2015, n=178; 4 cohorts, Gen 1, Gen 2, retreatment, Gen2 (open)</t>
  </si>
  <si>
    <t xml:space="preserve">  4/2017-1/2019 - cohort 2? At 26 sites</t>
  </si>
  <si>
    <t>Single infusion of 1-150 10^9 lifileucel after cyclophosphamide, fludarabine. 6 doses of high-dose IL-2 after.</t>
  </si>
  <si>
    <t>$515,000 price.</t>
  </si>
  <si>
    <t>Amtagvi Price</t>
  </si>
  <si>
    <t>Phase III "KEYNOTE-006" - pembrolizumab (Keytruda, MRK) vs ipilimumab (Yervoy, BMY)</t>
  </si>
  <si>
    <t>median OS for ipilimumab 15.9 months</t>
  </si>
  <si>
    <t>median OS for pembro 32.7 months, mPFS 9.4 months</t>
  </si>
  <si>
    <t>Available for Treatment</t>
  </si>
  <si>
    <t>Market Share</t>
  </si>
  <si>
    <t>Patients</t>
  </si>
  <si>
    <t>Maturity</t>
  </si>
  <si>
    <t>ROIC</t>
  </si>
  <si>
    <t>Discount</t>
  </si>
  <si>
    <t>NPV</t>
  </si>
  <si>
    <t>Phase II "IOV-COM-202" - 1L with Checkpoint</t>
  </si>
  <si>
    <t>Complete enrollment with data in 2025, BLA in 2026</t>
  </si>
  <si>
    <t>Phase II "IOV-END-201" endometrial cancer</t>
  </si>
  <si>
    <t>IOV-4001</t>
  </si>
  <si>
    <t>PD-1 inactivated TIL</t>
  </si>
  <si>
    <t>Melanoma</t>
  </si>
  <si>
    <t>I</t>
  </si>
  <si>
    <t>Phase</t>
  </si>
  <si>
    <t>IOV-3001</t>
  </si>
  <si>
    <t>IL-2</t>
  </si>
  <si>
    <t>IOV-5001</t>
  </si>
  <si>
    <t>IL-12 cell therapy</t>
  </si>
  <si>
    <t>Regulatory</t>
  </si>
  <si>
    <t>6/28/24 BLA submitted</t>
  </si>
  <si>
    <t>2/16/24 FDA approval</t>
  </si>
  <si>
    <t>Cohort A 30% CR, 65% ORR</t>
  </si>
  <si>
    <t>partial clinical hold</t>
  </si>
  <si>
    <t>LN-145 used?</t>
  </si>
  <si>
    <t>Phase II "IOV-LUN-202" n=120 post-anti-PD-1 NSCLC</t>
  </si>
  <si>
    <t xml:space="preserve">ramucirumab </t>
  </si>
  <si>
    <t>nintedanib</t>
  </si>
  <si>
    <t>n=23 26% 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</si>
</sst>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1" applyBorder="1"/>
    <xf numFmtId="4" fontId="0" fillId="0" borderId="0" xfId="0" applyNumberFormat="1"/>
    <xf numFmtId="0" fontId="0" fillId="0" borderId="0" xfId="0" applyFont="1"/>
    <xf numFmtId="9" fontId="0" fillId="0" borderId="0" xfId="0" applyNumberFormat="1"/>
    <xf numFmtId="3" fontId="1" fillId="0" borderId="0" xfId="0" applyNumberFormat="1" applyFont="1"/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99375F4-9BBE-4C68-8DB1-75A9293DDF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23812</xdr:rowOff>
    </xdr:from>
    <xdr:to>
      <xdr:col>8</xdr:col>
      <xdr:colOff>47624</xdr:colOff>
      <xdr:row>35</xdr:row>
      <xdr:rowOff>11906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271BA2-28CE-86CB-6E72-AC6A317526DE}"/>
            </a:ext>
          </a:extLst>
        </xdr:cNvPr>
        <xdr:cNvCxnSpPr/>
      </xdr:nvCxnSpPr>
      <xdr:spPr>
        <a:xfrm>
          <a:off x="5405437" y="23812"/>
          <a:ext cx="0" cy="56137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</xdr:colOff>
      <xdr:row>0</xdr:row>
      <xdr:rowOff>0</xdr:rowOff>
    </xdr:from>
    <xdr:to>
      <xdr:col>17</xdr:col>
      <xdr:colOff>57150</xdr:colOff>
      <xdr:row>34</xdr:row>
      <xdr:rowOff>148828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BC35277-3BC7-41B8-897D-DE0040008A13}"/>
            </a:ext>
          </a:extLst>
        </xdr:cNvPr>
        <xdr:cNvCxnSpPr/>
      </xdr:nvCxnSpPr>
      <xdr:spPr>
        <a:xfrm>
          <a:off x="10879931" y="0"/>
          <a:ext cx="0" cy="56137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190499</xdr:colOff>
      <xdr:row>30</xdr:row>
      <xdr:rowOff>29321</xdr:rowOff>
    </xdr:from>
    <xdr:to>
      <xdr:col>13</xdr:col>
      <xdr:colOff>174687</xdr:colOff>
      <xdr:row>46</xdr:row>
      <xdr:rowOff>108239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6D80B1-11AF-2016-E865-C52B235FE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765" y="4369149"/>
          <a:ext cx="5008625" cy="2650668"/>
        </a:xfrm>
        <a:prstGeom prst="rect">
          <a:avLst/>
        </a:prstGeom>
      </xdr:spPr>
    </xdr:pic>
    <xdr:clientData/>
  </xdr:twoCellAnchor>
  <xdr:twoCellAnchor editAs="oneCell">
    <xdr:from>
      <xdr:col>2</xdr:col>
      <xdr:colOff>33363</xdr:colOff>
      <xdr:row>60</xdr:row>
      <xdr:rowOff>142876</xdr:rowOff>
    </xdr:from>
    <xdr:to>
      <xdr:col>12</xdr:col>
      <xdr:colOff>36196</xdr:colOff>
      <xdr:row>94</xdr:row>
      <xdr:rowOff>127532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18034E-391A-B85E-FA02-139A768B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754" y="8822532"/>
          <a:ext cx="6848926" cy="54496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751D084-A6E8-45AD-80D5-700049C57EC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4-08-21T17:47:34.72" personId="{7751D084-A6E8-45AD-80D5-700049C57ECD}" id="{998ABA84-464F-443C-9A08-EB68E16B19E1}">
    <text>25 in Q2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DB4A-E1A7-46DA-B6C4-44E49BB99810}">
  <dimension ref="B2:J11"/>
  <sheetViews>
    <sheetView zoomScale="190" zoomScaleNormal="190" workbookViewId="0"/>
  </sheetViews>
  <sheetFormatPr defaultRowHeight="12.75" x14ac:dyDescent="0.2"/>
  <cols>
    <col min="1" max="1" width="3.85546875" customWidth="1"/>
    <col min="2" max="2" width="17.85546875" customWidth="1"/>
    <col min="3" max="3" width="23.140625" customWidth="1"/>
    <col min="4" max="4" width="11" customWidth="1"/>
    <col min="5" max="5" width="11.28515625" customWidth="1"/>
  </cols>
  <sheetData>
    <row r="2" spans="2:10" x14ac:dyDescent="0.2">
      <c r="B2" s="13" t="s">
        <v>8</v>
      </c>
      <c r="C2" s="14" t="s">
        <v>11</v>
      </c>
      <c r="D2" s="15" t="s">
        <v>12</v>
      </c>
      <c r="E2" s="15" t="s">
        <v>13</v>
      </c>
      <c r="F2" s="16"/>
      <c r="H2" t="s">
        <v>0</v>
      </c>
      <c r="I2">
        <v>10.61</v>
      </c>
    </row>
    <row r="3" spans="2:10" x14ac:dyDescent="0.2">
      <c r="B3" s="22" t="s">
        <v>10</v>
      </c>
      <c r="C3" t="s">
        <v>15</v>
      </c>
      <c r="D3" s="17">
        <v>45338</v>
      </c>
      <c r="E3" s="18" t="s">
        <v>14</v>
      </c>
      <c r="F3" s="19"/>
      <c r="H3" t="s">
        <v>1</v>
      </c>
      <c r="I3" s="2">
        <v>303.51387199999999</v>
      </c>
      <c r="J3" s="1" t="s">
        <v>7</v>
      </c>
    </row>
    <row r="4" spans="2:10" x14ac:dyDescent="0.2">
      <c r="B4" s="10" t="s">
        <v>26</v>
      </c>
      <c r="D4" s="18"/>
      <c r="E4" s="18"/>
      <c r="F4" s="19"/>
      <c r="H4" t="s">
        <v>2</v>
      </c>
      <c r="I4" s="2">
        <f>+I2*I3</f>
        <v>3220.2821819199999</v>
      </c>
    </row>
    <row r="5" spans="2:10" x14ac:dyDescent="0.2">
      <c r="B5" s="13"/>
      <c r="C5" s="14"/>
      <c r="D5" s="15" t="s">
        <v>83</v>
      </c>
      <c r="E5" s="15"/>
      <c r="F5" s="16"/>
      <c r="H5" t="s">
        <v>3</v>
      </c>
      <c r="I5" s="2">
        <f>228.678+183.864+0.074+6.356</f>
        <v>418.97200000000004</v>
      </c>
      <c r="J5" s="1" t="s">
        <v>7</v>
      </c>
    </row>
    <row r="6" spans="2:10" x14ac:dyDescent="0.2">
      <c r="B6" s="10" t="s">
        <v>79</v>
      </c>
      <c r="C6" t="s">
        <v>81</v>
      </c>
      <c r="D6" s="18" t="s">
        <v>82</v>
      </c>
      <c r="E6" s="18" t="s">
        <v>80</v>
      </c>
      <c r="F6" s="19"/>
      <c r="H6" t="s">
        <v>4</v>
      </c>
      <c r="I6" s="2">
        <v>1</v>
      </c>
      <c r="J6" s="1" t="s">
        <v>7</v>
      </c>
    </row>
    <row r="7" spans="2:10" x14ac:dyDescent="0.2">
      <c r="B7" s="10" t="s">
        <v>86</v>
      </c>
      <c r="D7" s="18"/>
      <c r="E7" s="18" t="s">
        <v>87</v>
      </c>
      <c r="F7" s="19"/>
      <c r="H7" t="s">
        <v>5</v>
      </c>
      <c r="I7" s="2">
        <f>+I4-I5+I6</f>
        <v>2802.3101819199996</v>
      </c>
    </row>
    <row r="8" spans="2:10" x14ac:dyDescent="0.2">
      <c r="B8" s="11" t="s">
        <v>84</v>
      </c>
      <c r="C8" s="12"/>
      <c r="D8" s="20"/>
      <c r="E8" s="20" t="s">
        <v>85</v>
      </c>
      <c r="F8" s="21"/>
    </row>
    <row r="9" spans="2:10" x14ac:dyDescent="0.2">
      <c r="H9" t="s">
        <v>6</v>
      </c>
      <c r="I9" s="2">
        <v>110.96</v>
      </c>
      <c r="J9" s="1" t="s">
        <v>7</v>
      </c>
    </row>
    <row r="11" spans="2:10" x14ac:dyDescent="0.2">
      <c r="H11" t="s">
        <v>25</v>
      </c>
    </row>
  </sheetData>
  <hyperlinks>
    <hyperlink ref="B3" location="Amtagvi!A1" display="Amtagvi (lifileucel)" xr:uid="{8A86AA0A-DFA2-498B-8396-E75FE14394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D409-040D-4731-9469-9E62BEA01EC6}">
  <dimension ref="A1:CZ25"/>
  <sheetViews>
    <sheetView zoomScale="130" zoomScaleNormal="13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S15" sqref="S15"/>
    </sheetView>
  </sheetViews>
  <sheetFormatPr defaultRowHeight="12.75" x14ac:dyDescent="0.2"/>
  <cols>
    <col min="1" max="1" width="5" bestFit="1" customWidth="1"/>
    <col min="2" max="2" width="20.7109375" customWidth="1"/>
    <col min="3" max="10" width="9.140625" style="1"/>
    <col min="27" max="27" width="10" bestFit="1" customWidth="1"/>
  </cols>
  <sheetData>
    <row r="1" spans="1:29" x14ac:dyDescent="0.2">
      <c r="A1" s="9" t="s">
        <v>16</v>
      </c>
    </row>
    <row r="2" spans="1:29" x14ac:dyDescent="0.2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7</v>
      </c>
      <c r="I2" s="1" t="s">
        <v>34</v>
      </c>
      <c r="J2" s="1" t="s">
        <v>35</v>
      </c>
      <c r="L2">
        <f t="shared" ref="L2:P2" si="0">+M2-1</f>
        <v>2019</v>
      </c>
      <c r="M2">
        <f t="shared" si="0"/>
        <v>2020</v>
      </c>
      <c r="N2">
        <f t="shared" si="0"/>
        <v>2021</v>
      </c>
      <c r="O2">
        <f t="shared" si="0"/>
        <v>2022</v>
      </c>
      <c r="P2">
        <f>+Q2-1</f>
        <v>2023</v>
      </c>
      <c r="Q2">
        <v>2024</v>
      </c>
      <c r="R2">
        <v>2025</v>
      </c>
      <c r="S2">
        <f>+R2+1</f>
        <v>2026</v>
      </c>
      <c r="T2">
        <f t="shared" ref="T2:AC2" si="1">+S2+1</f>
        <v>2027</v>
      </c>
      <c r="U2">
        <f t="shared" si="1"/>
        <v>2028</v>
      </c>
      <c r="V2">
        <f t="shared" si="1"/>
        <v>2029</v>
      </c>
      <c r="W2">
        <f t="shared" si="1"/>
        <v>2030</v>
      </c>
      <c r="X2">
        <f t="shared" si="1"/>
        <v>2031</v>
      </c>
      <c r="Y2">
        <f t="shared" si="1"/>
        <v>2032</v>
      </c>
      <c r="Z2">
        <f t="shared" si="1"/>
        <v>2033</v>
      </c>
      <c r="AA2">
        <f t="shared" si="1"/>
        <v>2034</v>
      </c>
      <c r="AB2">
        <f t="shared" si="1"/>
        <v>2035</v>
      </c>
      <c r="AC2">
        <f t="shared" si="1"/>
        <v>2036</v>
      </c>
    </row>
    <row r="3" spans="1:29" x14ac:dyDescent="0.2">
      <c r="B3" t="s">
        <v>65</v>
      </c>
      <c r="G3" s="1">
        <v>0.51500000000000001</v>
      </c>
      <c r="H3" s="1">
        <v>0.51500000000000001</v>
      </c>
      <c r="I3" s="1">
        <v>0.51500000000000001</v>
      </c>
      <c r="J3" s="1">
        <v>0.51500000000000001</v>
      </c>
      <c r="R3">
        <v>0.51500000000000001</v>
      </c>
      <c r="S3">
        <v>0.51500000000000001</v>
      </c>
      <c r="T3">
        <v>0.51500000000000001</v>
      </c>
      <c r="U3">
        <v>0.51500000000000001</v>
      </c>
      <c r="V3">
        <v>0.51500000000000001</v>
      </c>
    </row>
    <row r="4" spans="1:29" x14ac:dyDescent="0.2">
      <c r="B4" t="s">
        <v>53</v>
      </c>
      <c r="L4" s="2">
        <v>3500</v>
      </c>
      <c r="M4" s="2">
        <v>3500</v>
      </c>
      <c r="N4" s="2">
        <v>3500</v>
      </c>
      <c r="O4" s="2">
        <v>3500</v>
      </c>
      <c r="P4" s="2">
        <v>3500</v>
      </c>
      <c r="Q4" s="2">
        <v>3500</v>
      </c>
      <c r="R4" s="2">
        <v>3500</v>
      </c>
      <c r="S4" s="2">
        <v>5000</v>
      </c>
      <c r="T4" s="2">
        <v>5000</v>
      </c>
      <c r="U4" s="2">
        <v>5000</v>
      </c>
      <c r="V4" s="2">
        <v>5000</v>
      </c>
    </row>
    <row r="5" spans="1:29" x14ac:dyDescent="0.2">
      <c r="B5" t="s">
        <v>69</v>
      </c>
      <c r="L5" s="2">
        <f t="shared" ref="L5:Q5" si="2">+L4*0.5</f>
        <v>1750</v>
      </c>
      <c r="M5" s="2">
        <f t="shared" si="2"/>
        <v>1750</v>
      </c>
      <c r="N5" s="2">
        <f t="shared" si="2"/>
        <v>1750</v>
      </c>
      <c r="O5" s="2">
        <f t="shared" si="2"/>
        <v>1750</v>
      </c>
      <c r="P5" s="2">
        <f t="shared" si="2"/>
        <v>1750</v>
      </c>
      <c r="Q5" s="2">
        <f t="shared" si="2"/>
        <v>1750</v>
      </c>
      <c r="R5" s="2">
        <f>+R4*0.5</f>
        <v>1750</v>
      </c>
      <c r="S5" s="2">
        <f>+S4*0.5</f>
        <v>2500</v>
      </c>
      <c r="T5" s="2">
        <f>+T4*0.5</f>
        <v>2500</v>
      </c>
      <c r="U5" s="2">
        <f>+U4*0.5</f>
        <v>2500</v>
      </c>
      <c r="V5" s="2">
        <f>+V4*0.5</f>
        <v>2500</v>
      </c>
    </row>
    <row r="6" spans="1:29" x14ac:dyDescent="0.2">
      <c r="B6" t="s">
        <v>70</v>
      </c>
      <c r="R6" s="25">
        <v>0.4</v>
      </c>
      <c r="S6" s="25">
        <v>0.5</v>
      </c>
      <c r="T6" s="25">
        <v>0.6</v>
      </c>
      <c r="U6" s="25">
        <v>0.65</v>
      </c>
      <c r="V6" s="25">
        <v>0.7</v>
      </c>
    </row>
    <row r="7" spans="1:29" x14ac:dyDescent="0.2">
      <c r="B7" t="s">
        <v>71</v>
      </c>
      <c r="H7" s="7">
        <f>+H9/H3</f>
        <v>24.854368932038835</v>
      </c>
      <c r="I7" s="7">
        <f>+I9/I3</f>
        <v>77.669902912621353</v>
      </c>
      <c r="J7" s="7">
        <f>+I7+50</f>
        <v>127.66990291262135</v>
      </c>
      <c r="R7" s="2">
        <f>+R9/R3</f>
        <v>700</v>
      </c>
      <c r="S7" s="2">
        <f>+S9/S3</f>
        <v>1250</v>
      </c>
      <c r="T7" s="2">
        <f>+T9/T3</f>
        <v>1500</v>
      </c>
      <c r="U7" s="2">
        <f>+U9/U3</f>
        <v>1625</v>
      </c>
      <c r="V7" s="2">
        <f>+V9/V3</f>
        <v>1749.9999999999998</v>
      </c>
    </row>
    <row r="8" spans="1:29" x14ac:dyDescent="0.2">
      <c r="B8" t="s">
        <v>26</v>
      </c>
      <c r="G8" s="7">
        <v>0.71499999999999997</v>
      </c>
      <c r="H8" s="7">
        <v>18.3</v>
      </c>
      <c r="I8" s="1">
        <v>18</v>
      </c>
      <c r="J8" s="1">
        <f>+I8</f>
        <v>18</v>
      </c>
      <c r="Q8" s="2">
        <f>SUM(G8:J8)</f>
        <v>55.015000000000001</v>
      </c>
      <c r="R8" s="2">
        <f>+Q8*2</f>
        <v>110.03</v>
      </c>
      <c r="S8" s="2">
        <f>+R8*1.05</f>
        <v>115.53150000000001</v>
      </c>
      <c r="T8" s="2">
        <f>+S8*1.05</f>
        <v>121.30807500000002</v>
      </c>
      <c r="U8" s="2">
        <f>+T8*1.05</f>
        <v>127.37347875000002</v>
      </c>
      <c r="V8" s="2">
        <f>+U8*1.05</f>
        <v>133.74215268750004</v>
      </c>
    </row>
    <row r="9" spans="1:29" s="24" customFormat="1" x14ac:dyDescent="0.2">
      <c r="B9" s="24" t="s">
        <v>9</v>
      </c>
      <c r="C9" s="27"/>
      <c r="D9" s="27"/>
      <c r="E9" s="27"/>
      <c r="F9" s="27"/>
      <c r="G9" s="27">
        <v>0</v>
      </c>
      <c r="H9" s="28">
        <v>12.8</v>
      </c>
      <c r="I9" s="27">
        <v>40</v>
      </c>
      <c r="J9" s="28">
        <f>+J7*J3</f>
        <v>65.75</v>
      </c>
      <c r="Q9" s="29">
        <f>SUM(G9:J9)</f>
        <v>118.55</v>
      </c>
      <c r="R9" s="29">
        <f>+R5*R3*R6</f>
        <v>360.5</v>
      </c>
      <c r="S9" s="29">
        <f>+S5*S3*S6</f>
        <v>643.75</v>
      </c>
      <c r="T9" s="29">
        <f>+T5*T3*T6</f>
        <v>772.5</v>
      </c>
      <c r="U9" s="29">
        <f>+U5*U3*U6</f>
        <v>836.875</v>
      </c>
      <c r="V9" s="29">
        <f>+V5*V3*V6</f>
        <v>901.24999999999989</v>
      </c>
    </row>
    <row r="10" spans="1:29" s="3" customFormat="1" x14ac:dyDescent="0.2">
      <c r="B10" s="3" t="s">
        <v>28</v>
      </c>
      <c r="C10" s="5"/>
      <c r="D10" s="5"/>
      <c r="E10" s="5"/>
      <c r="F10" s="5"/>
      <c r="G10" s="8">
        <f>+G9+G8</f>
        <v>0.71499999999999997</v>
      </c>
      <c r="H10" s="8">
        <f>+H9+H8</f>
        <v>31.1</v>
      </c>
      <c r="I10" s="8">
        <f>+I9+I8</f>
        <v>58</v>
      </c>
      <c r="J10" s="8">
        <f>+J9+J8</f>
        <v>83.75</v>
      </c>
      <c r="Q10" s="26">
        <f>+Q8+Q9</f>
        <v>173.565</v>
      </c>
      <c r="R10" s="26">
        <f>+R8+R9</f>
        <v>470.53</v>
      </c>
      <c r="S10" s="26">
        <f>+S8+S9</f>
        <v>759.28150000000005</v>
      </c>
      <c r="T10" s="26">
        <f>+T8+T9</f>
        <v>893.80807500000003</v>
      </c>
      <c r="U10" s="26">
        <f>+U8+U9</f>
        <v>964.24847875</v>
      </c>
      <c r="V10" s="26">
        <f>+V8+V9</f>
        <v>1034.9921526875</v>
      </c>
    </row>
    <row r="11" spans="1:29" x14ac:dyDescent="0.2">
      <c r="B11" t="s">
        <v>37</v>
      </c>
      <c r="G11" s="7">
        <v>7.2610000000000001</v>
      </c>
      <c r="H11" s="7">
        <v>31.367999999999999</v>
      </c>
      <c r="I11" s="7">
        <f>+I10*0.3</f>
        <v>17.399999999999999</v>
      </c>
      <c r="J11" s="7">
        <f>+J10*0.3</f>
        <v>25.125</v>
      </c>
      <c r="R11" s="2">
        <f>+R10*0.25</f>
        <v>117.63249999999999</v>
      </c>
      <c r="S11" s="2">
        <f>+S10*0.25</f>
        <v>189.82037500000001</v>
      </c>
      <c r="T11" s="2">
        <f>+T10*0.25</f>
        <v>223.45201875000001</v>
      </c>
      <c r="U11" s="2">
        <f>+U10*0.25</f>
        <v>241.0621196875</v>
      </c>
      <c r="V11" s="2">
        <f>+V10*0.25</f>
        <v>258.74803817187501</v>
      </c>
    </row>
    <row r="12" spans="1:29" x14ac:dyDescent="0.2">
      <c r="B12" t="s">
        <v>36</v>
      </c>
      <c r="G12" s="7">
        <f>+G10-G11</f>
        <v>-6.5460000000000003</v>
      </c>
      <c r="H12" s="7">
        <f>+H10-H11</f>
        <v>-0.26799999999999713</v>
      </c>
      <c r="I12" s="7">
        <f>+I10-I11</f>
        <v>40.6</v>
      </c>
      <c r="J12" s="7">
        <f>+J10-J11</f>
        <v>58.625</v>
      </c>
      <c r="R12" s="2">
        <f>+R10-R11</f>
        <v>352.89749999999998</v>
      </c>
      <c r="S12" s="2">
        <f>+S10-S11</f>
        <v>569.46112500000004</v>
      </c>
      <c r="T12" s="2">
        <f>+T10-T11</f>
        <v>670.35605625000005</v>
      </c>
      <c r="U12" s="2">
        <f>+U10-U11</f>
        <v>723.18635906250006</v>
      </c>
      <c r="V12" s="2">
        <f>+V10-V11</f>
        <v>776.24411451562503</v>
      </c>
    </row>
    <row r="13" spans="1:29" x14ac:dyDescent="0.2">
      <c r="B13" t="s">
        <v>38</v>
      </c>
      <c r="G13" s="7">
        <v>79.783000000000001</v>
      </c>
      <c r="H13" s="7">
        <v>62.084000000000003</v>
      </c>
    </row>
    <row r="14" spans="1:29" x14ac:dyDescent="0.2">
      <c r="B14" t="s">
        <v>39</v>
      </c>
      <c r="G14" s="7">
        <v>31.393000000000001</v>
      </c>
      <c r="H14" s="7">
        <v>31.367999999999999</v>
      </c>
      <c r="I14" s="7">
        <v>31.367999999999999</v>
      </c>
      <c r="J14" s="7">
        <v>31.367999999999999</v>
      </c>
      <c r="R14" s="2">
        <f>SUM(G14:J14)</f>
        <v>125.49699999999999</v>
      </c>
      <c r="S14" s="2">
        <f>+R14</f>
        <v>125.49699999999999</v>
      </c>
      <c r="T14" s="2">
        <f>+S14</f>
        <v>125.49699999999999</v>
      </c>
      <c r="U14" s="2">
        <f>+T14</f>
        <v>125.49699999999999</v>
      </c>
      <c r="V14" s="2">
        <f>+U14</f>
        <v>125.49699999999999</v>
      </c>
    </row>
    <row r="15" spans="1:29" x14ac:dyDescent="0.2">
      <c r="B15" t="s">
        <v>40</v>
      </c>
      <c r="G15" s="7">
        <f>+G13+G14</f>
        <v>111.176</v>
      </c>
      <c r="H15" s="7">
        <f>+H13+H14</f>
        <v>93.451999999999998</v>
      </c>
      <c r="I15" s="7">
        <f>+I13+I14</f>
        <v>31.367999999999999</v>
      </c>
      <c r="J15" s="7">
        <f>+J13+J14</f>
        <v>31.367999999999999</v>
      </c>
      <c r="R15" s="2">
        <f>+R14+R13</f>
        <v>125.49699999999999</v>
      </c>
      <c r="S15" s="2">
        <f>+S14+S13</f>
        <v>125.49699999999999</v>
      </c>
      <c r="T15" s="2">
        <f>+T14+T13</f>
        <v>125.49699999999999</v>
      </c>
      <c r="U15" s="2">
        <f>+U14+U13</f>
        <v>125.49699999999999</v>
      </c>
      <c r="V15" s="2">
        <f>+V14+V13</f>
        <v>125.49699999999999</v>
      </c>
    </row>
    <row r="16" spans="1:29" x14ac:dyDescent="0.2">
      <c r="B16" t="s">
        <v>41</v>
      </c>
      <c r="G16" s="7">
        <f>+G12-G15</f>
        <v>-117.72200000000001</v>
      </c>
      <c r="H16" s="7">
        <f>+H12-H15</f>
        <v>-93.72</v>
      </c>
      <c r="I16" s="7">
        <f>+I12-I15</f>
        <v>9.2320000000000029</v>
      </c>
      <c r="J16" s="7">
        <f>+J12-J15</f>
        <v>27.257000000000001</v>
      </c>
      <c r="R16" s="2">
        <f>+R12-R15</f>
        <v>227.40049999999999</v>
      </c>
      <c r="S16" s="2">
        <f>+S12-S15</f>
        <v>443.96412500000008</v>
      </c>
      <c r="T16" s="2">
        <f>+T12-T15</f>
        <v>544.85905625000009</v>
      </c>
      <c r="U16" s="2">
        <f>+U12-U15</f>
        <v>597.6893590625001</v>
      </c>
      <c r="V16" s="2">
        <f>+V12-V15</f>
        <v>650.74711451562507</v>
      </c>
    </row>
    <row r="17" spans="2:104" x14ac:dyDescent="0.2">
      <c r="B17" t="s">
        <v>42</v>
      </c>
      <c r="G17" s="7">
        <v>3.3380000000000001</v>
      </c>
      <c r="H17" s="7">
        <v>3.355</v>
      </c>
    </row>
    <row r="18" spans="2:104" x14ac:dyDescent="0.2">
      <c r="B18" t="s">
        <v>43</v>
      </c>
      <c r="G18" s="7">
        <f>+G16+G17</f>
        <v>-114.38400000000001</v>
      </c>
      <c r="H18" s="7">
        <f>+H16+H17</f>
        <v>-90.364999999999995</v>
      </c>
      <c r="I18" s="7">
        <f>+I16+I17</f>
        <v>9.2320000000000029</v>
      </c>
      <c r="J18" s="7">
        <f>+J16+J17</f>
        <v>27.257000000000001</v>
      </c>
      <c r="R18" s="2">
        <f>+R16+R17</f>
        <v>227.40049999999999</v>
      </c>
      <c r="S18" s="2">
        <f>+S16+S17</f>
        <v>443.96412500000008</v>
      </c>
      <c r="T18" s="2">
        <f>+T16+T17</f>
        <v>544.85905625000009</v>
      </c>
      <c r="U18" s="2">
        <f>+U16+U17</f>
        <v>597.6893590625001</v>
      </c>
      <c r="V18" s="2">
        <f>+V16+V17</f>
        <v>650.74711451562507</v>
      </c>
    </row>
    <row r="19" spans="2:104" x14ac:dyDescent="0.2">
      <c r="B19" t="s">
        <v>44</v>
      </c>
      <c r="G19" s="7">
        <v>-1.4079999999999999</v>
      </c>
      <c r="H19" s="7">
        <v>-1.458</v>
      </c>
      <c r="R19" s="2">
        <f>+R18*0.25</f>
        <v>56.850124999999998</v>
      </c>
      <c r="S19" s="2">
        <f>+S18*0.25</f>
        <v>110.99103125000002</v>
      </c>
      <c r="T19" s="2">
        <f>+T18*0.25</f>
        <v>136.21476406250002</v>
      </c>
      <c r="U19" s="2">
        <f>+U18*0.25</f>
        <v>149.42233976562503</v>
      </c>
      <c r="V19" s="2">
        <f>+V18*0.25</f>
        <v>162.68677862890627</v>
      </c>
    </row>
    <row r="20" spans="2:104" x14ac:dyDescent="0.2">
      <c r="B20" t="s">
        <v>45</v>
      </c>
      <c r="G20" s="7">
        <f>+G18-G19</f>
        <v>-112.97600000000001</v>
      </c>
      <c r="H20" s="7">
        <f>+H18-H19</f>
        <v>-88.906999999999996</v>
      </c>
      <c r="I20" s="7">
        <f>+I18-I19</f>
        <v>9.2320000000000029</v>
      </c>
      <c r="J20" s="7">
        <f>+J18-J19</f>
        <v>27.257000000000001</v>
      </c>
      <c r="R20" s="2">
        <f>+R18-R19</f>
        <v>170.550375</v>
      </c>
      <c r="S20" s="2">
        <f>+S18-S19</f>
        <v>332.97309375000009</v>
      </c>
      <c r="T20" s="2">
        <f>+T18-T19</f>
        <v>408.64429218750007</v>
      </c>
      <c r="U20" s="2">
        <f>+U18-U19</f>
        <v>448.26701929687511</v>
      </c>
      <c r="V20" s="2">
        <f>+V18-V19</f>
        <v>488.0603358867188</v>
      </c>
      <c r="W20" s="2">
        <f>+V20*(1+$AA$22)</f>
        <v>492.94093924558598</v>
      </c>
      <c r="X20" s="2">
        <f t="shared" ref="X20:CI20" si="3">+W20*(1+$AA$22)</f>
        <v>497.87034863804183</v>
      </c>
      <c r="Y20" s="2">
        <f t="shared" si="3"/>
        <v>502.84905212442226</v>
      </c>
      <c r="Z20" s="2">
        <f t="shared" si="3"/>
        <v>507.87754264566649</v>
      </c>
      <c r="AA20" s="2">
        <f t="shared" si="3"/>
        <v>512.95631807212317</v>
      </c>
      <c r="AB20" s="2">
        <f t="shared" si="3"/>
        <v>518.08588125284439</v>
      </c>
      <c r="AC20" s="2">
        <f t="shared" si="3"/>
        <v>523.2667400653728</v>
      </c>
      <c r="AD20" s="2">
        <f t="shared" si="3"/>
        <v>528.49940746602658</v>
      </c>
      <c r="AE20" s="2">
        <f t="shared" si="3"/>
        <v>533.78440154068687</v>
      </c>
      <c r="AF20" s="2">
        <f t="shared" si="3"/>
        <v>539.12224555609373</v>
      </c>
      <c r="AG20" s="2">
        <f t="shared" si="3"/>
        <v>544.51346801165471</v>
      </c>
      <c r="AH20" s="2">
        <f t="shared" si="3"/>
        <v>549.95860269177126</v>
      </c>
      <c r="AI20" s="2">
        <f t="shared" si="3"/>
        <v>555.45818871868903</v>
      </c>
      <c r="AJ20" s="2">
        <f t="shared" si="3"/>
        <v>561.01277060587597</v>
      </c>
      <c r="AK20" s="2">
        <f t="shared" si="3"/>
        <v>566.6228983119347</v>
      </c>
      <c r="AL20" s="2">
        <f t="shared" si="3"/>
        <v>572.28912729505407</v>
      </c>
      <c r="AM20" s="2">
        <f t="shared" si="3"/>
        <v>578.01201856800458</v>
      </c>
      <c r="AN20" s="2">
        <f t="shared" si="3"/>
        <v>583.79213875368464</v>
      </c>
      <c r="AO20" s="2">
        <f t="shared" si="3"/>
        <v>589.63006014122152</v>
      </c>
      <c r="AP20" s="2">
        <f t="shared" si="3"/>
        <v>595.52636074263376</v>
      </c>
      <c r="AQ20" s="2">
        <f t="shared" si="3"/>
        <v>601.48162435006009</v>
      </c>
      <c r="AR20" s="2">
        <f t="shared" si="3"/>
        <v>607.49644059356069</v>
      </c>
      <c r="AS20" s="2">
        <f t="shared" si="3"/>
        <v>613.57140499949628</v>
      </c>
      <c r="AT20" s="2">
        <f t="shared" si="3"/>
        <v>619.70711904949121</v>
      </c>
      <c r="AU20" s="2">
        <f t="shared" si="3"/>
        <v>625.90419023998618</v>
      </c>
      <c r="AV20" s="2">
        <f t="shared" si="3"/>
        <v>632.16323214238605</v>
      </c>
      <c r="AW20" s="2">
        <f t="shared" si="3"/>
        <v>638.48486446380991</v>
      </c>
      <c r="AX20" s="2">
        <f t="shared" si="3"/>
        <v>644.86971310844797</v>
      </c>
      <c r="AY20" s="2">
        <f t="shared" si="3"/>
        <v>651.31841023953245</v>
      </c>
      <c r="AZ20" s="2">
        <f t="shared" si="3"/>
        <v>657.83159434192783</v>
      </c>
      <c r="BA20" s="2">
        <f t="shared" si="3"/>
        <v>664.40991028534711</v>
      </c>
      <c r="BB20" s="2">
        <f t="shared" si="3"/>
        <v>671.0540093882006</v>
      </c>
      <c r="BC20" s="2">
        <f t="shared" si="3"/>
        <v>677.76454948208266</v>
      </c>
      <c r="BD20" s="2">
        <f t="shared" si="3"/>
        <v>684.54219497690349</v>
      </c>
      <c r="BE20" s="2">
        <f t="shared" si="3"/>
        <v>691.38761692667254</v>
      </c>
      <c r="BF20" s="2">
        <f t="shared" si="3"/>
        <v>698.30149309593924</v>
      </c>
      <c r="BG20" s="2">
        <f t="shared" si="3"/>
        <v>705.28450802689861</v>
      </c>
      <c r="BH20" s="2">
        <f t="shared" si="3"/>
        <v>712.33735310716759</v>
      </c>
      <c r="BI20" s="2">
        <f t="shared" si="3"/>
        <v>719.46072663823929</v>
      </c>
      <c r="BJ20" s="2">
        <f t="shared" si="3"/>
        <v>726.65533390462167</v>
      </c>
      <c r="BK20" s="2">
        <f t="shared" si="3"/>
        <v>733.92188724366792</v>
      </c>
      <c r="BL20" s="2">
        <f t="shared" si="3"/>
        <v>741.26110611610466</v>
      </c>
      <c r="BM20" s="2">
        <f t="shared" si="3"/>
        <v>748.67371717726576</v>
      </c>
      <c r="BN20" s="2">
        <f t="shared" si="3"/>
        <v>756.16045434903845</v>
      </c>
      <c r="BO20" s="2">
        <f t="shared" si="3"/>
        <v>763.72205889252882</v>
      </c>
      <c r="BP20" s="2">
        <f t="shared" si="3"/>
        <v>771.35927948145411</v>
      </c>
      <c r="BQ20" s="2">
        <f t="shared" si="3"/>
        <v>779.07287227626864</v>
      </c>
      <c r="BR20" s="2">
        <f t="shared" si="3"/>
        <v>786.86360099903129</v>
      </c>
      <c r="BS20" s="2">
        <f t="shared" si="3"/>
        <v>794.73223700902156</v>
      </c>
      <c r="BT20" s="2">
        <f t="shared" si="3"/>
        <v>802.67955937911177</v>
      </c>
      <c r="BU20" s="2">
        <f t="shared" si="3"/>
        <v>810.70635497290289</v>
      </c>
      <c r="BV20" s="2">
        <f t="shared" si="3"/>
        <v>818.81341852263188</v>
      </c>
      <c r="BW20" s="2">
        <f t="shared" si="3"/>
        <v>827.0015527078582</v>
      </c>
      <c r="BX20" s="2">
        <f t="shared" si="3"/>
        <v>835.27156823493681</v>
      </c>
      <c r="BY20" s="2">
        <f t="shared" si="3"/>
        <v>843.62428391728622</v>
      </c>
      <c r="BZ20" s="2">
        <f t="shared" si="3"/>
        <v>852.06052675645913</v>
      </c>
      <c r="CA20" s="2">
        <f t="shared" si="3"/>
        <v>860.58113202402376</v>
      </c>
      <c r="CB20" s="2">
        <f t="shared" si="3"/>
        <v>869.18694334426402</v>
      </c>
      <c r="CC20" s="2">
        <f t="shared" si="3"/>
        <v>877.87881277770668</v>
      </c>
      <c r="CD20" s="2">
        <f t="shared" si="3"/>
        <v>886.65760090548372</v>
      </c>
      <c r="CE20" s="2">
        <f t="shared" si="3"/>
        <v>895.52417691453854</v>
      </c>
      <c r="CF20" s="2">
        <f t="shared" si="3"/>
        <v>904.47941868368389</v>
      </c>
      <c r="CG20" s="2">
        <f t="shared" si="3"/>
        <v>913.52421287052073</v>
      </c>
      <c r="CH20" s="2">
        <f t="shared" si="3"/>
        <v>922.659454999226</v>
      </c>
      <c r="CI20" s="2">
        <f t="shared" si="3"/>
        <v>931.88604954921823</v>
      </c>
      <c r="CJ20" s="2">
        <f t="shared" ref="CJ20:CZ20" si="4">+CI20*(1+$AA$22)</f>
        <v>941.20491004471046</v>
      </c>
      <c r="CK20" s="2">
        <f t="shared" si="4"/>
        <v>950.61695914515758</v>
      </c>
      <c r="CL20" s="2">
        <f t="shared" si="4"/>
        <v>960.12312873660915</v>
      </c>
      <c r="CM20" s="2">
        <f t="shared" si="4"/>
        <v>969.72436002397524</v>
      </c>
      <c r="CN20" s="2">
        <f t="shared" si="4"/>
        <v>979.42160362421498</v>
      </c>
      <c r="CO20" s="2">
        <f t="shared" si="4"/>
        <v>989.2158196604571</v>
      </c>
      <c r="CP20" s="2">
        <f t="shared" si="4"/>
        <v>999.10797785706166</v>
      </c>
      <c r="CQ20" s="2">
        <f t="shared" si="4"/>
        <v>1009.0990576356323</v>
      </c>
      <c r="CR20" s="2">
        <f t="shared" si="4"/>
        <v>1019.1900482119887</v>
      </c>
      <c r="CS20" s="2">
        <f t="shared" si="4"/>
        <v>1029.3819486941086</v>
      </c>
      <c r="CT20" s="2">
        <f t="shared" si="4"/>
        <v>1039.6757681810498</v>
      </c>
      <c r="CU20" s="2">
        <f t="shared" si="4"/>
        <v>1050.0725258628602</v>
      </c>
      <c r="CV20" s="2">
        <f t="shared" si="4"/>
        <v>1060.5732511214887</v>
      </c>
      <c r="CW20" s="2">
        <f t="shared" si="4"/>
        <v>1071.1789836327036</v>
      </c>
      <c r="CX20" s="2">
        <f t="shared" si="4"/>
        <v>1081.8907734690306</v>
      </c>
      <c r="CY20" s="2">
        <f t="shared" si="4"/>
        <v>1092.7096812037209</v>
      </c>
      <c r="CZ20" s="2">
        <f t="shared" si="4"/>
        <v>1103.6367780157582</v>
      </c>
    </row>
    <row r="21" spans="2:104" x14ac:dyDescent="0.2">
      <c r="B21" t="s">
        <v>46</v>
      </c>
      <c r="G21" s="6">
        <f>+G20/G22</f>
        <v>-0.42437082112538504</v>
      </c>
      <c r="H21" s="6">
        <f>+H20/H22</f>
        <v>-0.31215482221917934</v>
      </c>
      <c r="I21" s="6">
        <f>+I20/I22</f>
        <v>3.2413795524845787E-2</v>
      </c>
      <c r="J21" s="6">
        <f>+J20/J22</f>
        <v>9.5700045994445565E-2</v>
      </c>
      <c r="R21" s="23">
        <f>+R20/R22</f>
        <v>0.59880686546098016</v>
      </c>
      <c r="S21" s="23">
        <f>+S20/S22</f>
        <v>1.1690773154341212</v>
      </c>
      <c r="T21" s="23">
        <f>+T20/T22</f>
        <v>1.4347608892288735</v>
      </c>
      <c r="U21" s="23">
        <f>+U20/U22</f>
        <v>1.5738773292917034</v>
      </c>
      <c r="V21" s="23">
        <f>+V20/V22</f>
        <v>1.7135927135203264</v>
      </c>
    </row>
    <row r="22" spans="2:104" x14ac:dyDescent="0.2">
      <c r="B22" t="s">
        <v>1</v>
      </c>
      <c r="G22" s="7">
        <v>266.22000000000003</v>
      </c>
      <c r="H22" s="7">
        <v>284.81700000000001</v>
      </c>
      <c r="I22" s="7">
        <f>+H22</f>
        <v>284.81700000000001</v>
      </c>
      <c r="J22" s="7">
        <f>+I22</f>
        <v>284.81700000000001</v>
      </c>
      <c r="R22" s="2">
        <f>J22</f>
        <v>284.81700000000001</v>
      </c>
      <c r="S22" s="2">
        <f>+R22</f>
        <v>284.81700000000001</v>
      </c>
      <c r="T22" s="2">
        <f>+S22</f>
        <v>284.81700000000001</v>
      </c>
      <c r="U22" s="2">
        <f>+T22</f>
        <v>284.81700000000001</v>
      </c>
      <c r="V22" s="2">
        <f>+U22</f>
        <v>284.81700000000001</v>
      </c>
      <c r="Z22" t="s">
        <v>72</v>
      </c>
      <c r="AA22" s="25">
        <v>0.01</v>
      </c>
    </row>
    <row r="23" spans="2:104" x14ac:dyDescent="0.2">
      <c r="Z23" t="s">
        <v>73</v>
      </c>
      <c r="AA23" s="25">
        <v>0.01</v>
      </c>
    </row>
    <row r="24" spans="2:104" x14ac:dyDescent="0.2">
      <c r="Z24" t="s">
        <v>74</v>
      </c>
      <c r="AA24" s="25">
        <v>0.09</v>
      </c>
    </row>
    <row r="25" spans="2:104" x14ac:dyDescent="0.2">
      <c r="Z25" t="s">
        <v>75</v>
      </c>
      <c r="AA25" s="2">
        <f>NPV(AA24,R20:CZ20)+Main!I5-Main!I6</f>
        <v>5802.0111794442128</v>
      </c>
    </row>
  </sheetData>
  <hyperlinks>
    <hyperlink ref="A1" location="Main!A1" display="Main" xr:uid="{98EB58D4-A9F0-4B22-B34A-DC03455969FD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A01D-9C2A-46BD-9B78-0DEFBECBAD8A}">
  <dimension ref="A1:H60"/>
  <sheetViews>
    <sheetView tabSelected="1" zoomScale="160" zoomScaleNormal="160" workbookViewId="0">
      <selection activeCell="I3" sqref="I3"/>
    </sheetView>
  </sheetViews>
  <sheetFormatPr defaultRowHeight="12.75" x14ac:dyDescent="0.2"/>
  <cols>
    <col min="1" max="1" width="5" bestFit="1" customWidth="1"/>
    <col min="2" max="2" width="13.28515625" customWidth="1"/>
    <col min="7" max="7" width="15.7109375" bestFit="1" customWidth="1"/>
    <col min="8" max="8" width="14.140625" bestFit="1" customWidth="1"/>
  </cols>
  <sheetData>
    <row r="1" spans="1:3" x14ac:dyDescent="0.2">
      <c r="A1" s="9" t="s">
        <v>16</v>
      </c>
    </row>
    <row r="2" spans="1:3" x14ac:dyDescent="0.2">
      <c r="B2" t="s">
        <v>8</v>
      </c>
      <c r="C2" t="s">
        <v>58</v>
      </c>
    </row>
    <row r="3" spans="1:3" x14ac:dyDescent="0.2">
      <c r="B3" t="s">
        <v>56</v>
      </c>
      <c r="C3" t="s">
        <v>57</v>
      </c>
    </row>
    <row r="4" spans="1:3" x14ac:dyDescent="0.2">
      <c r="B4" t="s">
        <v>11</v>
      </c>
      <c r="C4" t="s">
        <v>53</v>
      </c>
    </row>
    <row r="5" spans="1:3" x14ac:dyDescent="0.2">
      <c r="B5" t="s">
        <v>17</v>
      </c>
      <c r="C5" t="s">
        <v>63</v>
      </c>
    </row>
    <row r="6" spans="1:3" x14ac:dyDescent="0.2">
      <c r="B6" t="s">
        <v>13</v>
      </c>
      <c r="C6" t="s">
        <v>55</v>
      </c>
    </row>
    <row r="7" spans="1:3" x14ac:dyDescent="0.2">
      <c r="C7" t="s">
        <v>18</v>
      </c>
    </row>
    <row r="8" spans="1:3" x14ac:dyDescent="0.2">
      <c r="B8" t="s">
        <v>21</v>
      </c>
      <c r="C8" t="s">
        <v>47</v>
      </c>
    </row>
    <row r="9" spans="1:3" x14ac:dyDescent="0.2">
      <c r="C9" t="s">
        <v>60</v>
      </c>
    </row>
    <row r="10" spans="1:3" x14ac:dyDescent="0.2">
      <c r="B10" t="s">
        <v>88</v>
      </c>
      <c r="C10" t="s">
        <v>89</v>
      </c>
    </row>
    <row r="11" spans="1:3" x14ac:dyDescent="0.2">
      <c r="C11" t="s">
        <v>90</v>
      </c>
    </row>
    <row r="12" spans="1:3" x14ac:dyDescent="0.2">
      <c r="B12" t="s">
        <v>0</v>
      </c>
      <c r="C12" t="s">
        <v>64</v>
      </c>
    </row>
    <row r="13" spans="1:3" x14ac:dyDescent="0.2">
      <c r="B13" t="s">
        <v>19</v>
      </c>
    </row>
    <row r="14" spans="1:3" x14ac:dyDescent="0.2">
      <c r="C14" s="4" t="s">
        <v>59</v>
      </c>
    </row>
    <row r="15" spans="1:3" x14ac:dyDescent="0.2">
      <c r="C15" s="24" t="s">
        <v>61</v>
      </c>
    </row>
    <row r="16" spans="1:3" x14ac:dyDescent="0.2">
      <c r="C16" s="24" t="s">
        <v>62</v>
      </c>
    </row>
    <row r="17" spans="3:8" x14ac:dyDescent="0.2">
      <c r="C17" s="24" t="s">
        <v>48</v>
      </c>
    </row>
    <row r="18" spans="3:8" x14ac:dyDescent="0.2">
      <c r="C18" s="24" t="s">
        <v>49</v>
      </c>
    </row>
    <row r="19" spans="3:8" x14ac:dyDescent="0.2">
      <c r="C19" s="24" t="s">
        <v>50</v>
      </c>
    </row>
    <row r="20" spans="3:8" x14ac:dyDescent="0.2">
      <c r="C20" s="24" t="s">
        <v>52</v>
      </c>
    </row>
    <row r="21" spans="3:8" x14ac:dyDescent="0.2">
      <c r="C21" s="24" t="s">
        <v>54</v>
      </c>
    </row>
    <row r="22" spans="3:8" x14ac:dyDescent="0.2">
      <c r="C22" s="24" t="s">
        <v>51</v>
      </c>
    </row>
    <row r="23" spans="3:8" x14ac:dyDescent="0.2">
      <c r="C23" s="24"/>
    </row>
    <row r="24" spans="3:8" x14ac:dyDescent="0.2">
      <c r="C24" t="s">
        <v>20</v>
      </c>
    </row>
    <row r="25" spans="3:8" x14ac:dyDescent="0.2">
      <c r="C25" t="s">
        <v>22</v>
      </c>
    </row>
    <row r="26" spans="3:8" x14ac:dyDescent="0.2">
      <c r="C26" t="s">
        <v>23</v>
      </c>
      <c r="G26" s="2"/>
    </row>
    <row r="27" spans="3:8" x14ac:dyDescent="0.2">
      <c r="C27" t="s">
        <v>24</v>
      </c>
      <c r="G27" s="2"/>
      <c r="H27" s="2"/>
    </row>
    <row r="28" spans="3:8" x14ac:dyDescent="0.2">
      <c r="G28" s="2"/>
      <c r="H28" s="2"/>
    </row>
    <row r="29" spans="3:8" x14ac:dyDescent="0.2">
      <c r="C29" s="4" t="s">
        <v>76</v>
      </c>
      <c r="G29" s="2"/>
    </row>
    <row r="30" spans="3:8" x14ac:dyDescent="0.2">
      <c r="C30" t="s">
        <v>91</v>
      </c>
    </row>
    <row r="32" spans="3:8" x14ac:dyDescent="0.2">
      <c r="C32" s="4" t="s">
        <v>27</v>
      </c>
    </row>
    <row r="34" spans="3:3" x14ac:dyDescent="0.2">
      <c r="C34" s="4" t="s">
        <v>94</v>
      </c>
    </row>
    <row r="35" spans="3:3" x14ac:dyDescent="0.2">
      <c r="C35" s="24" t="s">
        <v>93</v>
      </c>
    </row>
    <row r="36" spans="3:3" x14ac:dyDescent="0.2">
      <c r="C36" t="s">
        <v>77</v>
      </c>
    </row>
    <row r="37" spans="3:3" x14ac:dyDescent="0.2">
      <c r="C37" s="24" t="s">
        <v>92</v>
      </c>
    </row>
    <row r="38" spans="3:3" x14ac:dyDescent="0.2">
      <c r="C38" s="24" t="s">
        <v>97</v>
      </c>
    </row>
    <row r="39" spans="3:3" x14ac:dyDescent="0.2">
      <c r="C39" s="24" t="s">
        <v>95</v>
      </c>
    </row>
    <row r="40" spans="3:3" x14ac:dyDescent="0.2">
      <c r="C40" s="24" t="s">
        <v>96</v>
      </c>
    </row>
    <row r="42" spans="3:3" x14ac:dyDescent="0.2">
      <c r="C42" s="4" t="s">
        <v>78</v>
      </c>
    </row>
    <row r="58" spans="3:3" x14ac:dyDescent="0.2">
      <c r="C58" s="4" t="s">
        <v>66</v>
      </c>
    </row>
    <row r="59" spans="3:3" x14ac:dyDescent="0.2">
      <c r="C59" s="24" t="s">
        <v>68</v>
      </c>
    </row>
    <row r="60" spans="3:3" x14ac:dyDescent="0.2">
      <c r="C60" t="s">
        <v>67</v>
      </c>
    </row>
  </sheetData>
  <hyperlinks>
    <hyperlink ref="A1" location="Main!A1" display="Main" xr:uid="{1BECEA9B-F447-4AAF-B161-10E0EC7F62F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Amtagvi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2024-08-15T16:05:11Z</dcterms:created>
  <dcterms:modified xsi:type="dcterms:W3CDTF">2024-08-21T18:12:35Z</dcterms:modified>
</cp:coreProperties>
</file>