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45545EE-EBF8-7449-B795-81C24FFA4179}" xr6:coauthVersionLast="47" xr6:coauthVersionMax="47" xr10:uidLastSave="{00000000-0000-0000-0000-000000000000}"/>
  <bookViews>
    <workbookView xWindow="-29820" yWindow="-21100" windowWidth="26880" windowHeight="20400" activeTab="1" xr2:uid="{79B0AABE-526A-4476-AFB2-442F9E053778}"/>
  </bookViews>
  <sheets>
    <sheet name="Main" sheetId="1" r:id="rId1"/>
    <sheet name="Model" sheetId="2" r:id="rId2"/>
    <sheet name="Epidiol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0" i="2" l="1"/>
  <c r="AP10" i="2"/>
  <c r="AO10" i="2"/>
  <c r="AN10" i="2"/>
  <c r="AM10" i="2"/>
  <c r="AL10" i="2"/>
  <c r="AK10" i="2"/>
  <c r="AJ10" i="2"/>
  <c r="AI10" i="2"/>
  <c r="AH10" i="2"/>
  <c r="AG10" i="2"/>
  <c r="AQ11" i="2"/>
  <c r="AP11" i="2"/>
  <c r="AO11" i="2"/>
  <c r="AN11" i="2"/>
  <c r="AM11" i="2"/>
  <c r="AL11" i="2"/>
  <c r="AK11" i="2"/>
  <c r="AJ11" i="2"/>
  <c r="Y29" i="2"/>
  <c r="AB20" i="2"/>
  <c r="AA20" i="2"/>
  <c r="Z20" i="2"/>
  <c r="AB14" i="2"/>
  <c r="AB15" i="2" s="1"/>
  <c r="AB17" i="2" s="1"/>
  <c r="AA14" i="2"/>
  <c r="AA15" i="2" s="1"/>
  <c r="AA17" i="2" s="1"/>
  <c r="Z14" i="2"/>
  <c r="Z15" i="2" s="1"/>
  <c r="Z17" i="2" s="1"/>
  <c r="Z21" i="2" s="1"/>
  <c r="Z23" i="2" s="1"/>
  <c r="Z25" i="2" s="1"/>
  <c r="Z26" i="2" s="1"/>
  <c r="AF7" i="2"/>
  <c r="AE3" i="2"/>
  <c r="U22" i="2"/>
  <c r="V22" i="2" s="1"/>
  <c r="AF22" i="2" s="1"/>
  <c r="V19" i="2"/>
  <c r="U19" i="2"/>
  <c r="V18" i="2"/>
  <c r="U18" i="2"/>
  <c r="U27" i="2"/>
  <c r="V27" i="2" s="1"/>
  <c r="V13" i="2"/>
  <c r="U13" i="2"/>
  <c r="V12" i="2"/>
  <c r="U12" i="2"/>
  <c r="AF12" i="2" s="1"/>
  <c r="V10" i="2"/>
  <c r="U10" i="2"/>
  <c r="V8" i="2"/>
  <c r="U8" i="2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U6" i="2"/>
  <c r="V5" i="2"/>
  <c r="U5" i="2"/>
  <c r="U3" i="2"/>
  <c r="V4" i="2"/>
  <c r="U4" i="2"/>
  <c r="Q14" i="2"/>
  <c r="U14" i="2" s="1"/>
  <c r="R14" i="2"/>
  <c r="V14" i="2" s="1"/>
  <c r="S20" i="2"/>
  <c r="S14" i="2"/>
  <c r="S15" i="2" s="1"/>
  <c r="P14" i="2"/>
  <c r="T33" i="2"/>
  <c r="S33" i="2"/>
  <c r="T14" i="2"/>
  <c r="T15" i="2" s="1"/>
  <c r="T17" i="2" s="1"/>
  <c r="T31" i="2" s="1"/>
  <c r="T20" i="2"/>
  <c r="K6" i="1"/>
  <c r="K5" i="1"/>
  <c r="AC27" i="2"/>
  <c r="AC24" i="2"/>
  <c r="AC22" i="2"/>
  <c r="AC19" i="2"/>
  <c r="AC18" i="2"/>
  <c r="AC16" i="2"/>
  <c r="AC13" i="2"/>
  <c r="AC12" i="2"/>
  <c r="AC10" i="2"/>
  <c r="AC8" i="2"/>
  <c r="AC7" i="2"/>
  <c r="AC6" i="2"/>
  <c r="AC5" i="2"/>
  <c r="AC4" i="2"/>
  <c r="AC3" i="2"/>
  <c r="AD27" i="2"/>
  <c r="AD24" i="2"/>
  <c r="AD22" i="2"/>
  <c r="AD19" i="2"/>
  <c r="AD18" i="2"/>
  <c r="AD20" i="2" s="1"/>
  <c r="AD16" i="2"/>
  <c r="AD13" i="2"/>
  <c r="AD12" i="2"/>
  <c r="AD10" i="2"/>
  <c r="AD8" i="2"/>
  <c r="AD6" i="2"/>
  <c r="AD5" i="2"/>
  <c r="AD4" i="2"/>
  <c r="AD3" i="2"/>
  <c r="N14" i="2"/>
  <c r="M33" i="2"/>
  <c r="L33" i="2"/>
  <c r="K33" i="2"/>
  <c r="J33" i="2"/>
  <c r="O33" i="2"/>
  <c r="N33" i="2"/>
  <c r="O14" i="2"/>
  <c r="N7" i="2"/>
  <c r="F20" i="2"/>
  <c r="F14" i="2"/>
  <c r="F15" i="2" s="1"/>
  <c r="F17" i="2" s="1"/>
  <c r="F31" i="2" s="1"/>
  <c r="J14" i="2"/>
  <c r="J15" i="2" s="1"/>
  <c r="J17" i="2" s="1"/>
  <c r="J31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G20" i="2"/>
  <c r="G14" i="2"/>
  <c r="G15" i="2" s="1"/>
  <c r="G17" i="2" s="1"/>
  <c r="K14" i="2"/>
  <c r="K15" i="2" s="1"/>
  <c r="K17" i="2" s="1"/>
  <c r="K31" i="2" s="1"/>
  <c r="H20" i="2"/>
  <c r="L14" i="2"/>
  <c r="L15" i="2" s="1"/>
  <c r="L17" i="2" s="1"/>
  <c r="L31" i="2" s="1"/>
  <c r="H14" i="2"/>
  <c r="H15" i="2" s="1"/>
  <c r="H17" i="2" s="1"/>
  <c r="H31" i="2" s="1"/>
  <c r="M20" i="2"/>
  <c r="L20" i="2"/>
  <c r="K20" i="2"/>
  <c r="J20" i="2"/>
  <c r="I20" i="2"/>
  <c r="I14" i="2"/>
  <c r="I15" i="2" s="1"/>
  <c r="I17" i="2" s="1"/>
  <c r="I31" i="2" s="1"/>
  <c r="M14" i="2"/>
  <c r="M15" i="2" s="1"/>
  <c r="M17" i="2" s="1"/>
  <c r="M31" i="2" s="1"/>
  <c r="K4" i="1"/>
  <c r="AC20" i="2" l="1"/>
  <c r="Z29" i="2"/>
  <c r="AA29" i="2"/>
  <c r="AB29" i="2"/>
  <c r="AF4" i="2"/>
  <c r="AB31" i="2"/>
  <c r="AB21" i="2"/>
  <c r="AB23" i="2" s="1"/>
  <c r="AB25" i="2" s="1"/>
  <c r="AB26" i="2" s="1"/>
  <c r="AA21" i="2"/>
  <c r="AA23" i="2" s="1"/>
  <c r="AA25" i="2" s="1"/>
  <c r="AA26" i="2" s="1"/>
  <c r="AA31" i="2"/>
  <c r="AF13" i="2"/>
  <c r="AF5" i="2"/>
  <c r="AF18" i="2"/>
  <c r="V20" i="2"/>
  <c r="AF19" i="2"/>
  <c r="AF10" i="2"/>
  <c r="AF14" i="2"/>
  <c r="U33" i="2"/>
  <c r="V6" i="2"/>
  <c r="AF6" i="2" s="1"/>
  <c r="V3" i="2"/>
  <c r="AF3" i="2" s="1"/>
  <c r="AF27" i="2"/>
  <c r="G21" i="2"/>
  <c r="G23" i="2" s="1"/>
  <c r="G25" i="2" s="1"/>
  <c r="G26" i="2" s="1"/>
  <c r="G31" i="2"/>
  <c r="S17" i="2"/>
  <c r="S21" i="2" s="1"/>
  <c r="S23" i="2" s="1"/>
  <c r="S25" i="2" s="1"/>
  <c r="S26" i="2" s="1"/>
  <c r="U20" i="2"/>
  <c r="U15" i="2"/>
  <c r="T21" i="2"/>
  <c r="T23" i="2" s="1"/>
  <c r="T25" i="2" s="1"/>
  <c r="T26" i="2" s="1"/>
  <c r="AD33" i="2"/>
  <c r="P33" i="2"/>
  <c r="Q33" i="2"/>
  <c r="AC14" i="2"/>
  <c r="AC15" i="2" s="1"/>
  <c r="AD7" i="2"/>
  <c r="AD14" i="2"/>
  <c r="AE4" i="2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K7" i="1"/>
  <c r="R33" i="2"/>
  <c r="AE5" i="2"/>
  <c r="AE10" i="2"/>
  <c r="AE27" i="2"/>
  <c r="AE22" i="2"/>
  <c r="AE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F21" i="2"/>
  <c r="F23" i="2" s="1"/>
  <c r="F25" i="2" s="1"/>
  <c r="F26" i="2" s="1"/>
  <c r="H21" i="2"/>
  <c r="H23" i="2" s="1"/>
  <c r="H25" i="2" s="1"/>
  <c r="H26" i="2" s="1"/>
  <c r="I21" i="2"/>
  <c r="I23" i="2" s="1"/>
  <c r="I25" i="2" s="1"/>
  <c r="I26" i="2" s="1"/>
  <c r="J21" i="2"/>
  <c r="J23" i="2" s="1"/>
  <c r="J25" i="2" s="1"/>
  <c r="J26" i="2" s="1"/>
  <c r="K21" i="2"/>
  <c r="K23" i="2" s="1"/>
  <c r="K25" i="2" s="1"/>
  <c r="K26" i="2" s="1"/>
  <c r="L21" i="2"/>
  <c r="L23" i="2" s="1"/>
  <c r="L25" i="2" s="1"/>
  <c r="L26" i="2" s="1"/>
  <c r="M21" i="2"/>
  <c r="M23" i="2" s="1"/>
  <c r="M25" i="2" s="1"/>
  <c r="M26" i="2" s="1"/>
  <c r="AC17" i="2" l="1"/>
  <c r="AC29" i="2"/>
  <c r="AG5" i="2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V15" i="2"/>
  <c r="AF15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V33" i="2"/>
  <c r="V17" i="2"/>
  <c r="V21" i="2" s="1"/>
  <c r="V23" i="2" s="1"/>
  <c r="V24" i="2" s="1"/>
  <c r="V25" i="2" s="1"/>
  <c r="V26" i="2" s="1"/>
  <c r="S31" i="2"/>
  <c r="U17" i="2"/>
  <c r="U31" i="2" s="1"/>
  <c r="AF33" i="2"/>
  <c r="AC31" i="2"/>
  <c r="AC21" i="2"/>
  <c r="AC23" i="2" s="1"/>
  <c r="AC25" i="2" s="1"/>
  <c r="AC26" i="2" s="1"/>
  <c r="AE6" i="2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D15" i="2"/>
  <c r="AE33" i="2"/>
  <c r="O15" i="2"/>
  <c r="O17" i="2" s="1"/>
  <c r="N15" i="2"/>
  <c r="P15" i="2"/>
  <c r="AG3" i="2"/>
  <c r="AG33" i="2" s="1"/>
  <c r="AE8" i="2"/>
  <c r="AD17" i="2" l="1"/>
  <c r="AD31" i="2" s="1"/>
  <c r="AD29" i="2"/>
  <c r="U16" i="2"/>
  <c r="U21" i="2"/>
  <c r="U23" i="2" s="1"/>
  <c r="U24" i="2" s="1"/>
  <c r="AF24" i="2" s="1"/>
  <c r="V16" i="2"/>
  <c r="AF16" i="2" s="1"/>
  <c r="AF17" i="2" s="1"/>
  <c r="V31" i="2"/>
  <c r="AD21" i="2"/>
  <c r="AD23" i="2" s="1"/>
  <c r="AD25" i="2" s="1"/>
  <c r="AD26" i="2" s="1"/>
  <c r="AE12" i="2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E13" i="2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H3" i="2"/>
  <c r="AH33" i="2" s="1"/>
  <c r="P20" i="2"/>
  <c r="P17" i="2"/>
  <c r="P31" i="2" s="1"/>
  <c r="N20" i="2"/>
  <c r="N17" i="2"/>
  <c r="N31" i="2" s="1"/>
  <c r="R15" i="2"/>
  <c r="O31" i="2"/>
  <c r="U25" i="2" l="1"/>
  <c r="U26" i="2" s="1"/>
  <c r="N21" i="2"/>
  <c r="N23" i="2" s="1"/>
  <c r="N25" i="2" s="1"/>
  <c r="R20" i="2"/>
  <c r="R17" i="2"/>
  <c r="R31" i="2" s="1"/>
  <c r="AI3" i="2"/>
  <c r="AI33" i="2" s="1"/>
  <c r="AE14" i="2"/>
  <c r="AG14" i="2" s="1"/>
  <c r="O20" i="2"/>
  <c r="O21" i="2" s="1"/>
  <c r="O23" i="2" s="1"/>
  <c r="P21" i="2"/>
  <c r="P23" i="2" s="1"/>
  <c r="P25" i="2" s="1"/>
  <c r="P26" i="2" s="1"/>
  <c r="Q15" i="2"/>
  <c r="AE15" i="2" l="1"/>
  <c r="AF31" i="2"/>
  <c r="N26" i="2"/>
  <c r="AH14" i="2"/>
  <c r="AG15" i="2"/>
  <c r="O25" i="2"/>
  <c r="AJ3" i="2"/>
  <c r="AJ33" i="2" s="1"/>
  <c r="R21" i="2"/>
  <c r="R23" i="2" s="1"/>
  <c r="R25" i="2" s="1"/>
  <c r="R26" i="2" s="1"/>
  <c r="AE29" i="2" l="1"/>
  <c r="AF29" i="2"/>
  <c r="AG29" i="2"/>
  <c r="AF20" i="2"/>
  <c r="AF21" i="2" s="1"/>
  <c r="O26" i="2"/>
  <c r="Q17" i="2"/>
  <c r="Q31" i="2" s="1"/>
  <c r="AE16" i="2"/>
  <c r="AE17" i="2" s="1"/>
  <c r="AE31" i="2" s="1"/>
  <c r="AK3" i="2"/>
  <c r="AK33" i="2" s="1"/>
  <c r="Q20" i="2"/>
  <c r="AE18" i="2"/>
  <c r="AE20" i="2" s="1"/>
  <c r="AG16" i="2"/>
  <c r="AG17" i="2" s="1"/>
  <c r="AG31" i="2" s="1"/>
  <c r="AG18" i="2"/>
  <c r="AG20" i="2" s="1"/>
  <c r="AI14" i="2"/>
  <c r="AH15" i="2"/>
  <c r="AH29" i="2" l="1"/>
  <c r="Q21" i="2"/>
  <c r="Q23" i="2" s="1"/>
  <c r="AE24" i="2" s="1"/>
  <c r="AG21" i="2"/>
  <c r="AJ14" i="2"/>
  <c r="AI15" i="2"/>
  <c r="AL3" i="2"/>
  <c r="AL33" i="2" s="1"/>
  <c r="AH18" i="2"/>
  <c r="AH20" i="2" s="1"/>
  <c r="AH16" i="2"/>
  <c r="AH17" i="2" s="1"/>
  <c r="AH31" i="2" s="1"/>
  <c r="AE21" i="2"/>
  <c r="AE23" i="2" s="1"/>
  <c r="AI29" i="2" l="1"/>
  <c r="Q25" i="2"/>
  <c r="Q26" i="2" s="1"/>
  <c r="AE25" i="2"/>
  <c r="AE26" i="2" s="1"/>
  <c r="AE36" i="2"/>
  <c r="AF23" i="2" s="1"/>
  <c r="AF25" i="2" s="1"/>
  <c r="AF26" i="2" s="1"/>
  <c r="AM3" i="2"/>
  <c r="AM33" i="2" s="1"/>
  <c r="AH21" i="2"/>
  <c r="AI16" i="2"/>
  <c r="AI17" i="2" s="1"/>
  <c r="AI31" i="2" s="1"/>
  <c r="AI18" i="2"/>
  <c r="AI20" i="2" s="1"/>
  <c r="AK14" i="2"/>
  <c r="AJ15" i="2"/>
  <c r="AJ29" i="2" l="1"/>
  <c r="AF36" i="2"/>
  <c r="AG22" i="2" s="1"/>
  <c r="AG23" i="2" s="1"/>
  <c r="AG24" i="2" s="1"/>
  <c r="AG25" i="2" s="1"/>
  <c r="AG26" i="2" s="1"/>
  <c r="AJ18" i="2"/>
  <c r="AJ20" i="2" s="1"/>
  <c r="AJ16" i="2"/>
  <c r="AJ17" i="2" s="1"/>
  <c r="AJ31" i="2" s="1"/>
  <c r="AL14" i="2"/>
  <c r="AK15" i="2"/>
  <c r="AI21" i="2"/>
  <c r="AN3" i="2"/>
  <c r="AN33" i="2" s="1"/>
  <c r="AK29" i="2" l="1"/>
  <c r="AG36" i="2"/>
  <c r="AO3" i="2"/>
  <c r="AO33" i="2" s="1"/>
  <c r="AK18" i="2"/>
  <c r="AK20" i="2" s="1"/>
  <c r="AK16" i="2"/>
  <c r="AK17" i="2" s="1"/>
  <c r="AK31" i="2" s="1"/>
  <c r="AM14" i="2"/>
  <c r="AL15" i="2"/>
  <c r="AJ21" i="2"/>
  <c r="AL29" i="2" l="1"/>
  <c r="AH22" i="2"/>
  <c r="AH23" i="2" s="1"/>
  <c r="AH24" i="2" s="1"/>
  <c r="AH25" i="2" s="1"/>
  <c r="AH26" i="2" s="1"/>
  <c r="AL18" i="2"/>
  <c r="AL20" i="2" s="1"/>
  <c r="AL16" i="2"/>
  <c r="AL17" i="2" s="1"/>
  <c r="AL31" i="2" s="1"/>
  <c r="AN14" i="2"/>
  <c r="AM15" i="2"/>
  <c r="AK21" i="2"/>
  <c r="AP3" i="2"/>
  <c r="AP33" i="2" s="1"/>
  <c r="AM29" i="2" l="1"/>
  <c r="AH36" i="2"/>
  <c r="AI22" i="2" s="1"/>
  <c r="AI23" i="2" s="1"/>
  <c r="AI24" i="2" s="1"/>
  <c r="AI25" i="2" s="1"/>
  <c r="AI26" i="2" s="1"/>
  <c r="AQ3" i="2"/>
  <c r="AQ33" i="2" s="1"/>
  <c r="AM18" i="2"/>
  <c r="AM20" i="2" s="1"/>
  <c r="AM16" i="2"/>
  <c r="AM17" i="2" s="1"/>
  <c r="AM31" i="2" s="1"/>
  <c r="AO14" i="2"/>
  <c r="AN15" i="2"/>
  <c r="AL21" i="2"/>
  <c r="AN29" i="2" l="1"/>
  <c r="AI36" i="2"/>
  <c r="AJ22" i="2" s="1"/>
  <c r="AJ23" i="2" s="1"/>
  <c r="AJ24" i="2" s="1"/>
  <c r="AJ25" i="2" s="1"/>
  <c r="AJ26" i="2" s="1"/>
  <c r="AN18" i="2"/>
  <c r="AN20" i="2" s="1"/>
  <c r="AN16" i="2"/>
  <c r="AN17" i="2" s="1"/>
  <c r="AN31" i="2" s="1"/>
  <c r="AP14" i="2"/>
  <c r="AO15" i="2"/>
  <c r="AM21" i="2"/>
  <c r="AO29" i="2" l="1"/>
  <c r="AJ36" i="2"/>
  <c r="AO18" i="2"/>
  <c r="AO20" i="2" s="1"/>
  <c r="AO16" i="2"/>
  <c r="AO17" i="2" s="1"/>
  <c r="AO31" i="2" s="1"/>
  <c r="AQ14" i="2"/>
  <c r="AQ15" i="2" s="1"/>
  <c r="AP15" i="2"/>
  <c r="AQ29" i="2" s="1"/>
  <c r="AN21" i="2"/>
  <c r="AP29" i="2" l="1"/>
  <c r="AK22" i="2"/>
  <c r="AK23" i="2" s="1"/>
  <c r="AK24" i="2" s="1"/>
  <c r="AK25" i="2" s="1"/>
  <c r="AP16" i="2"/>
  <c r="AP17" i="2" s="1"/>
  <c r="AP31" i="2" s="1"/>
  <c r="AP18" i="2"/>
  <c r="AP20" i="2" s="1"/>
  <c r="AQ18" i="2"/>
  <c r="AQ20" i="2" s="1"/>
  <c r="AQ16" i="2"/>
  <c r="AQ17" i="2" s="1"/>
  <c r="AQ31" i="2" s="1"/>
  <c r="AO21" i="2"/>
  <c r="AP21" i="2" l="1"/>
  <c r="AK26" i="2"/>
  <c r="AK36" i="2"/>
  <c r="AQ21" i="2"/>
  <c r="AL22" i="2" l="1"/>
  <c r="AL23" i="2" s="1"/>
  <c r="AL24" i="2" s="1"/>
  <c r="AL25" i="2" s="1"/>
  <c r="AL26" i="2" l="1"/>
  <c r="AL36" i="2"/>
  <c r="AM22" i="2" l="1"/>
  <c r="AM23" i="2" s="1"/>
  <c r="AM24" i="2" s="1"/>
  <c r="AM25" i="2" s="1"/>
  <c r="AM26" i="2" l="1"/>
  <c r="AM36" i="2"/>
  <c r="AN22" i="2" l="1"/>
  <c r="AN23" i="2" s="1"/>
  <c r="AN24" i="2" s="1"/>
  <c r="AN25" i="2" s="1"/>
  <c r="AN26" i="2" l="1"/>
  <c r="AN36" i="2"/>
  <c r="AO22" i="2" l="1"/>
  <c r="AO23" i="2" s="1"/>
  <c r="AO24" i="2" s="1"/>
  <c r="AO25" i="2" s="1"/>
  <c r="AO26" i="2" l="1"/>
  <c r="AO36" i="2"/>
  <c r="AP22" i="2" l="1"/>
  <c r="AP23" i="2" s="1"/>
  <c r="AP24" i="2" s="1"/>
  <c r="AP25" i="2" s="1"/>
  <c r="AP26" i="2" s="1"/>
  <c r="AP36" i="2" l="1"/>
  <c r="AQ22" i="2" l="1"/>
  <c r="AQ23" i="2" s="1"/>
  <c r="AQ24" i="2" s="1"/>
  <c r="AQ25" i="2" s="1"/>
  <c r="AQ26" i="2" l="1"/>
  <c r="AR25" i="2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AT34" i="2" s="1"/>
  <c r="AT35" i="2" s="1"/>
  <c r="AQ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tc={08384C6B-BC0B-D540-9CAB-67A68D6812B6}</author>
  </authors>
  <commentList>
    <comment ref="AF15" authorId="0" shapeId="0" xr:uid="{08384C6B-BC0B-D540-9CAB-67A68D6812B6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4000-4100</t>
      </text>
    </comment>
  </commentList>
</comments>
</file>

<file path=xl/sharedStrings.xml><?xml version="1.0" encoding="utf-8"?>
<sst xmlns="http://schemas.openxmlformats.org/spreadsheetml/2006/main" count="127" uniqueCount="119">
  <si>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</si>
  <si>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</si>
  <si>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</si>
  <si>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</si>
  <si>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</si>
  <si>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</si>
  <si>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</si>
  <si>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</si>
  <si>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</si>
  <si>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</si>
  <si>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</si>
  <si>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</si>
  <si>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</si>
  <si>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</si>
  <si>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</si>
  <si>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</si>
  <si>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</si>
  <si>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</si>
  <si>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</si>
  <si>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Xyrem</t>
  </si>
  <si>
    <t>Revenue</t>
  </si>
  <si>
    <t>Xywav</t>
  </si>
  <si>
    <t>Epidiolex</t>
  </si>
  <si>
    <t>Sativex</t>
  </si>
  <si>
    <t>Sunosi</t>
  </si>
  <si>
    <t>Zepzelca</t>
  </si>
  <si>
    <t>Rylaze</t>
  </si>
  <si>
    <t>Vyxeos</t>
  </si>
  <si>
    <t>Defitelio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</si>
  <si>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</si>
  <si>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</si>
  <si>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</si>
  <si>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</si>
  <si>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</si>
  <si>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</si>
  <si>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</si>
  <si>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</si>
  <si>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</si>
  <si>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</si>
  <si>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</si>
  <si>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</si>
  <si>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Name</t>
  </si>
  <si>
    <t>Indication</t>
  </si>
  <si>
    <t>IH</t>
  </si>
  <si>
    <t>SCLC</t>
  </si>
  <si>
    <t>JZP815</t>
  </si>
  <si>
    <t>pan-RAF</t>
  </si>
  <si>
    <t>Epidyolex</t>
  </si>
  <si>
    <t>zanidatamab</t>
  </si>
  <si>
    <t>suvecaltamide</t>
  </si>
  <si>
    <t>Parkinson's</t>
  </si>
  <si>
    <t>JZP441</t>
  </si>
  <si>
    <t>orexin-2 agonist</t>
  </si>
  <si>
    <t>MOA</t>
  </si>
  <si>
    <t>Zepzelca (lurbinectedin)</t>
  </si>
  <si>
    <t>Rylaze (asparaginase)</t>
  </si>
  <si>
    <t>ALL</t>
  </si>
  <si>
    <t>TSC/Dravet</t>
  </si>
  <si>
    <t>Economics</t>
  </si>
  <si>
    <t>ZYME</t>
  </si>
  <si>
    <t>HER2</t>
  </si>
  <si>
    <t>T-type Ca inhibitor</t>
  </si>
  <si>
    <t>JZP150</t>
  </si>
  <si>
    <t>PTSD</t>
  </si>
  <si>
    <t>FAAH</t>
  </si>
  <si>
    <t>Approved</t>
  </si>
  <si>
    <t>Phase</t>
  </si>
  <si>
    <t>I</t>
  </si>
  <si>
    <t>Q123</t>
  </si>
  <si>
    <t>Q223</t>
  </si>
  <si>
    <t>Q323</t>
  </si>
  <si>
    <t>Q423</t>
  </si>
  <si>
    <t>Gross Margin</t>
  </si>
  <si>
    <t>Xywav (Ca, Mg, K, Na oxybate)</t>
  </si>
  <si>
    <t>Xyrem (Na oxybate)</t>
  </si>
  <si>
    <t>Brand</t>
  </si>
  <si>
    <t>IP</t>
  </si>
  <si>
    <t>9949937 MOU for epilepsy</t>
  </si>
  <si>
    <t>9956183 MOU</t>
  </si>
  <si>
    <t>9956184 MOU</t>
  </si>
  <si>
    <t>9956185 MOU</t>
  </si>
  <si>
    <t>9956186 MOU</t>
  </si>
  <si>
    <t>10092525 MOU for epilepsy</t>
  </si>
  <si>
    <t>10111840 MOU for epilepsy</t>
  </si>
  <si>
    <t>10137095 MOU for epilepsy</t>
  </si>
  <si>
    <t>10195159 plant based</t>
  </si>
  <si>
    <t>Manufacturing</t>
  </si>
  <si>
    <t>Plant-derived</t>
  </si>
  <si>
    <t>10603288 MOU</t>
  </si>
  <si>
    <t>10709671 MOU</t>
  </si>
  <si>
    <t>10709673 MOU</t>
  </si>
  <si>
    <t>10709674 MOU</t>
  </si>
  <si>
    <t>10849860 MOU</t>
  </si>
  <si>
    <t>10918608 MOU</t>
  </si>
  <si>
    <t>10966939 MOU</t>
  </si>
  <si>
    <t>11065209 MOU</t>
  </si>
  <si>
    <t>11096905 MOU</t>
  </si>
  <si>
    <t>11154516 MOU</t>
  </si>
  <si>
    <t>11160795 MOU</t>
  </si>
  <si>
    <t>11207292 formulation</t>
  </si>
  <si>
    <t>11311498 MOU</t>
  </si>
  <si>
    <t>11357741 MOU</t>
  </si>
  <si>
    <t>11400055 MOU</t>
  </si>
  <si>
    <t>11406623 MOU</t>
  </si>
  <si>
    <t>11446258 MOU</t>
  </si>
  <si>
    <t>Discount</t>
  </si>
  <si>
    <t>NPV</t>
  </si>
  <si>
    <t>ROIC</t>
  </si>
  <si>
    <t>Maturity</t>
  </si>
  <si>
    <t>Oxybate</t>
  </si>
  <si>
    <t>Net Cash</t>
  </si>
  <si>
    <t>Q224</t>
  </si>
  <si>
    <t>Q124</t>
  </si>
  <si>
    <t>Q324</t>
  </si>
  <si>
    <t>Q424</t>
  </si>
  <si>
    <t>Erwinase</t>
  </si>
  <si>
    <t>Revenue y/y</t>
  </si>
  <si>
    <t>Narcolepsy</t>
  </si>
  <si>
    <t>zandidatamab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</si>
</sst>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872AF5D-F0BD-4294-B65A-15CA86B4AD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4065</xdr:colOff>
      <xdr:row>0</xdr:row>
      <xdr:rowOff>0</xdr:rowOff>
    </xdr:from>
    <xdr:to>
      <xdr:col>20</xdr:col>
      <xdr:colOff>4065</xdr:colOff>
      <xdr:row>45</xdr:row>
      <xdr:rowOff>29765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AD753D-0FB2-EF5C-D299-95ABADB404B3}"/>
            </a:ext>
          </a:extLst>
        </xdr:cNvPr>
        <xdr:cNvCxnSpPr/>
      </xdr:nvCxnSpPr>
      <xdr:spPr>
        <a:xfrm>
          <a:off x="12475862" y="0"/>
          <a:ext cx="0" cy="6780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52417</xdr:colOff>
      <xdr:row>0</xdr:row>
      <xdr:rowOff>7937</xdr:rowOff>
    </xdr:from>
    <xdr:to>
      <xdr:col>31</xdr:col>
      <xdr:colOff>52417</xdr:colOff>
      <xdr:row>35</xdr:row>
      <xdr:rowOff>139341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652E3C-E721-43B0-AED9-7F673169A911}"/>
            </a:ext>
          </a:extLst>
        </xdr:cNvPr>
        <xdr:cNvCxnSpPr/>
      </xdr:nvCxnSpPr>
      <xdr:spPr>
        <a:xfrm>
          <a:off x="19015105" y="7937"/>
          <a:ext cx="0" cy="5298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D2BE095-5078-834E-8E0F-68F9D6A31E87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15" dT="2024-09-06T17:58:56.69" personId="{4D2BE095-5078-834E-8E0F-68F9D6A31E87}" id="{08384C6B-BC0B-D540-9CAB-67A68D6812B6}">
    <text>Q2 guidance: 4000-4100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F0EA-6190-476D-832E-2260D789DF8A}">
  <dimension ref="B2:L14"/>
  <sheetViews>
    <sheetView zoomScale="160" zoomScaleNormal="160" workbookViewId="0">
      <selection activeCell="B9" sqref="B9"/>
    </sheetView>
  </sheetViews>
  <sheetFormatPr baseColWidth="10" defaultColWidth="8.83203125" defaultRowHeight="13" x14ac:dyDescent="0.15"/>
  <cols>
    <col min="1" max="1" width="3" customWidth="1"/>
    <col min="2" max="2" width="28.5" customWidth="1"/>
    <col min="3" max="3" width="11" customWidth="1"/>
    <col min="4" max="4" width="16.5" customWidth="1"/>
    <col min="5" max="5" width="10.83203125" customWidth="1"/>
    <col min="6" max="6" width="10.5" customWidth="1"/>
  </cols>
  <sheetData>
    <row r="2" spans="2:12" x14ac:dyDescent="0.15">
      <c r="B2" s="11" t="s">
        <v>41</v>
      </c>
      <c r="C2" s="21" t="s">
        <v>42</v>
      </c>
      <c r="D2" s="21" t="s">
        <v>53</v>
      </c>
      <c r="E2" s="21" t="s">
        <v>58</v>
      </c>
      <c r="F2" s="21" t="s">
        <v>65</v>
      </c>
      <c r="G2" s="12"/>
      <c r="H2" s="13"/>
      <c r="J2" t="s">
        <v>0</v>
      </c>
      <c r="K2" s="20">
        <v>115</v>
      </c>
    </row>
    <row r="3" spans="2:12" x14ac:dyDescent="0.15">
      <c r="B3" s="14" t="s">
        <v>73</v>
      </c>
      <c r="C3" s="23" t="s">
        <v>43</v>
      </c>
      <c r="D3" s="23"/>
      <c r="E3" s="23"/>
      <c r="F3" s="22">
        <v>44033</v>
      </c>
      <c r="H3" s="15"/>
      <c r="J3" t="s">
        <v>1</v>
      </c>
      <c r="K3" s="1">
        <v>61.753509999999999</v>
      </c>
      <c r="L3" s="2" t="s">
        <v>111</v>
      </c>
    </row>
    <row r="4" spans="2:12" x14ac:dyDescent="0.15">
      <c r="B4" s="14" t="s">
        <v>74</v>
      </c>
      <c r="C4" s="23" t="s">
        <v>43</v>
      </c>
      <c r="D4" s="23"/>
      <c r="E4" s="23"/>
      <c r="F4" s="22">
        <v>37454</v>
      </c>
      <c r="H4" s="15"/>
      <c r="J4" t="s">
        <v>2</v>
      </c>
      <c r="K4" s="1">
        <f>+K2*K3</f>
        <v>7101.6536500000002</v>
      </c>
    </row>
    <row r="5" spans="2:12" x14ac:dyDescent="0.15">
      <c r="B5" s="14" t="s">
        <v>55</v>
      </c>
      <c r="C5" s="23" t="s">
        <v>56</v>
      </c>
      <c r="D5" s="23"/>
      <c r="E5" s="23"/>
      <c r="F5" s="23"/>
      <c r="H5" s="15"/>
      <c r="J5" t="s">
        <v>3</v>
      </c>
      <c r="K5" s="1">
        <f>1355.802+625</f>
        <v>1980.8019999999999</v>
      </c>
      <c r="L5" s="2" t="s">
        <v>111</v>
      </c>
    </row>
    <row r="6" spans="2:12" x14ac:dyDescent="0.15">
      <c r="B6" s="14" t="s">
        <v>54</v>
      </c>
      <c r="C6" s="23" t="s">
        <v>44</v>
      </c>
      <c r="D6" s="23"/>
      <c r="E6" s="23"/>
      <c r="F6" s="23"/>
      <c r="H6" s="15"/>
      <c r="J6" t="s">
        <v>4</v>
      </c>
      <c r="K6" s="1">
        <f>5100.983+605.798</f>
        <v>5706.7809999999999</v>
      </c>
      <c r="L6" s="2" t="s">
        <v>111</v>
      </c>
    </row>
    <row r="7" spans="2:12" x14ac:dyDescent="0.15">
      <c r="B7" s="14" t="s">
        <v>47</v>
      </c>
      <c r="C7" s="23" t="s">
        <v>57</v>
      </c>
      <c r="D7" s="23"/>
      <c r="E7" s="23"/>
      <c r="F7" s="22">
        <v>43371</v>
      </c>
      <c r="H7" s="15"/>
      <c r="J7" t="s">
        <v>5</v>
      </c>
      <c r="K7" s="1">
        <f>+K4-K5+K6</f>
        <v>10827.63265</v>
      </c>
    </row>
    <row r="8" spans="2:12" x14ac:dyDescent="0.15">
      <c r="B8" s="11"/>
      <c r="C8" s="21"/>
      <c r="D8" s="21"/>
      <c r="E8" s="21"/>
      <c r="F8" s="21" t="s">
        <v>66</v>
      </c>
      <c r="G8" s="12"/>
      <c r="H8" s="13"/>
      <c r="K8" s="1"/>
    </row>
    <row r="9" spans="2:12" x14ac:dyDescent="0.15">
      <c r="B9" s="14" t="s">
        <v>45</v>
      </c>
      <c r="C9" s="23"/>
      <c r="D9" s="23" t="s">
        <v>46</v>
      </c>
      <c r="E9" s="23"/>
      <c r="F9" s="23" t="s">
        <v>67</v>
      </c>
      <c r="H9" s="15"/>
    </row>
    <row r="10" spans="2:12" x14ac:dyDescent="0.15">
      <c r="B10" s="14" t="s">
        <v>48</v>
      </c>
      <c r="C10" s="23"/>
      <c r="D10" s="23" t="s">
        <v>60</v>
      </c>
      <c r="E10" s="23" t="s">
        <v>59</v>
      </c>
      <c r="F10" s="22">
        <v>45625</v>
      </c>
      <c r="H10" s="15"/>
    </row>
    <row r="11" spans="2:12" x14ac:dyDescent="0.15">
      <c r="B11" s="14" t="s">
        <v>49</v>
      </c>
      <c r="C11" s="23" t="s">
        <v>50</v>
      </c>
      <c r="D11" s="23" t="s">
        <v>61</v>
      </c>
      <c r="E11" s="23"/>
      <c r="F11" s="23"/>
      <c r="H11" s="15"/>
    </row>
    <row r="12" spans="2:12" x14ac:dyDescent="0.15">
      <c r="B12" s="14" t="s">
        <v>51</v>
      </c>
      <c r="C12" s="23" t="s">
        <v>117</v>
      </c>
      <c r="D12" s="23" t="s">
        <v>52</v>
      </c>
      <c r="E12" s="23"/>
      <c r="F12" s="23" t="s">
        <v>67</v>
      </c>
      <c r="H12" s="15"/>
    </row>
    <row r="13" spans="2:12" x14ac:dyDescent="0.15">
      <c r="B13" s="14" t="s">
        <v>62</v>
      </c>
      <c r="C13" s="23" t="s">
        <v>63</v>
      </c>
      <c r="D13" s="23" t="s">
        <v>64</v>
      </c>
      <c r="E13" s="23"/>
      <c r="F13" s="23"/>
      <c r="H13" s="15"/>
    </row>
    <row r="14" spans="2:12" x14ac:dyDescent="0.15">
      <c r="B14" s="16"/>
      <c r="C14" s="24"/>
      <c r="D14" s="24"/>
      <c r="E14" s="24"/>
      <c r="F14" s="24"/>
      <c r="G14" s="17"/>
      <c r="H14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5E3F-0D5A-4F1A-A75A-A8CE578AC72F}">
  <dimension ref="A1:DB36"/>
  <sheetViews>
    <sheetView tabSelected="1" zoomScale="160" zoomScaleNormal="16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S10" sqref="AS10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6" width="9.1640625" style="2"/>
    <col min="46" max="46" width="11.1640625" bestFit="1" customWidth="1"/>
  </cols>
  <sheetData>
    <row r="1" spans="1:43" x14ac:dyDescent="0.15">
      <c r="A1" s="8" t="s">
        <v>7</v>
      </c>
    </row>
    <row r="2" spans="1:43" x14ac:dyDescent="0.1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68</v>
      </c>
      <c r="P2" s="2" t="s">
        <v>69</v>
      </c>
      <c r="Q2" s="2" t="s">
        <v>70</v>
      </c>
      <c r="R2" s="2" t="s">
        <v>71</v>
      </c>
      <c r="S2" s="2" t="s">
        <v>112</v>
      </c>
      <c r="T2" s="2" t="s">
        <v>111</v>
      </c>
      <c r="U2" s="2" t="s">
        <v>113</v>
      </c>
      <c r="V2" s="2" t="s">
        <v>114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f>+AB2+1</f>
        <v>2021</v>
      </c>
      <c r="AD2">
        <f t="shared" ref="AD2:AQ2" si="0">+AC2+1</f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  <c r="AQ2">
        <f t="shared" si="0"/>
        <v>2035</v>
      </c>
    </row>
    <row r="3" spans="1:43" s="3" customFormat="1" x14ac:dyDescent="0.15">
      <c r="B3" s="3" t="s">
        <v>19</v>
      </c>
      <c r="C3" s="4"/>
      <c r="D3" s="4"/>
      <c r="E3" s="4"/>
      <c r="F3" s="4">
        <v>439.26600000000002</v>
      </c>
      <c r="G3" s="4">
        <v>335.55</v>
      </c>
      <c r="H3" s="4">
        <v>334.18200000000002</v>
      </c>
      <c r="I3" s="4">
        <v>307.33300000000003</v>
      </c>
      <c r="J3" s="4">
        <v>288.76499999999999</v>
      </c>
      <c r="K3" s="4">
        <v>247.49700000000001</v>
      </c>
      <c r="L3" s="4">
        <v>269.42099999999999</v>
      </c>
      <c r="M3" s="4">
        <v>256.03899999999999</v>
      </c>
      <c r="N3" s="4">
        <v>247.49600000000001</v>
      </c>
      <c r="O3" s="4">
        <v>178.13</v>
      </c>
      <c r="P3" s="4">
        <v>159.76900000000001</v>
      </c>
      <c r="Q3" s="4">
        <v>125.11</v>
      </c>
      <c r="R3" s="4">
        <v>106.721</v>
      </c>
      <c r="S3" s="4">
        <v>64.231999999999999</v>
      </c>
      <c r="T3" s="4">
        <v>62.18</v>
      </c>
      <c r="U3" s="4">
        <f>+T3-1</f>
        <v>61.18</v>
      </c>
      <c r="V3" s="4">
        <f>+U3-1</f>
        <v>60.18</v>
      </c>
      <c r="Z3" s="3">
        <v>1404.866</v>
      </c>
      <c r="AA3" s="3">
        <v>1642.5250000000001</v>
      </c>
      <c r="AB3" s="3">
        <v>1741.758</v>
      </c>
      <c r="AC3" s="3">
        <f>SUM(G3:J3)</f>
        <v>1265.83</v>
      </c>
      <c r="AD3" s="3">
        <f t="shared" ref="AD3:AD8" si="1">SUM(K3:N3)</f>
        <v>1020.453</v>
      </c>
      <c r="AE3" s="3">
        <f>SUM(O3:R3)</f>
        <v>569.73</v>
      </c>
      <c r="AF3" s="3">
        <f>SUM(S3:V3)</f>
        <v>247.77200000000002</v>
      </c>
      <c r="AG3" s="3">
        <f t="shared" ref="AG3:AP3" si="2">+AF3*0.5</f>
        <v>123.88600000000001</v>
      </c>
      <c r="AH3" s="3">
        <f t="shared" si="2"/>
        <v>61.943000000000005</v>
      </c>
      <c r="AI3" s="3">
        <f t="shared" si="2"/>
        <v>30.971500000000002</v>
      </c>
      <c r="AJ3" s="3">
        <f t="shared" si="2"/>
        <v>15.485750000000001</v>
      </c>
      <c r="AK3" s="3">
        <f t="shared" si="2"/>
        <v>7.7428750000000006</v>
      </c>
      <c r="AL3" s="3">
        <f t="shared" si="2"/>
        <v>3.8714375000000003</v>
      </c>
      <c r="AM3" s="3">
        <f t="shared" si="2"/>
        <v>1.9357187500000002</v>
      </c>
      <c r="AN3" s="3">
        <f t="shared" si="2"/>
        <v>0.96785937500000008</v>
      </c>
      <c r="AO3" s="3">
        <f t="shared" si="2"/>
        <v>0.48392968750000004</v>
      </c>
      <c r="AP3" s="3">
        <f t="shared" si="2"/>
        <v>0.24196484375000002</v>
      </c>
      <c r="AQ3" s="3">
        <f t="shared" ref="AQ3" si="3">+AP3*0.5</f>
        <v>0.12098242187500001</v>
      </c>
    </row>
    <row r="4" spans="1:43" s="3" customFormat="1" x14ac:dyDescent="0.15">
      <c r="B4" s="3" t="s">
        <v>21</v>
      </c>
      <c r="C4" s="4"/>
      <c r="D4" s="4"/>
      <c r="E4" s="4"/>
      <c r="F4" s="4">
        <v>15.263999999999999</v>
      </c>
      <c r="G4" s="4">
        <v>75.415999999999997</v>
      </c>
      <c r="H4" s="4">
        <v>124.164</v>
      </c>
      <c r="I4" s="4">
        <v>153.06299999999999</v>
      </c>
      <c r="J4" s="4">
        <v>182.654</v>
      </c>
      <c r="K4" s="4">
        <v>186.08</v>
      </c>
      <c r="L4" s="4">
        <v>235.02500000000001</v>
      </c>
      <c r="M4" s="4">
        <v>255.93600000000001</v>
      </c>
      <c r="N4" s="4">
        <v>281.38400000000001</v>
      </c>
      <c r="O4" s="4">
        <v>277.76100000000002</v>
      </c>
      <c r="P4" s="4">
        <v>326.56400000000002</v>
      </c>
      <c r="Q4" s="4">
        <v>331.63299999999998</v>
      </c>
      <c r="R4" s="4">
        <v>337.01900000000001</v>
      </c>
      <c r="S4" s="4">
        <v>315.3</v>
      </c>
      <c r="T4" s="4">
        <v>368.47199999999998</v>
      </c>
      <c r="U4" s="4">
        <f>+Q4*1.1</f>
        <v>364.79630000000003</v>
      </c>
      <c r="V4" s="4">
        <f>+R4*1.1</f>
        <v>370.72090000000003</v>
      </c>
      <c r="Z4" s="3">
        <v>0</v>
      </c>
      <c r="AA4" s="3">
        <v>0</v>
      </c>
      <c r="AB4" s="3">
        <v>15.263999999999999</v>
      </c>
      <c r="AC4" s="3">
        <f t="shared" ref="AC4:AC19" si="4">SUM(G4:J4)</f>
        <v>535.29700000000003</v>
      </c>
      <c r="AD4" s="3">
        <f t="shared" si="1"/>
        <v>958.42500000000007</v>
      </c>
      <c r="AE4" s="3">
        <f t="shared" ref="AE4:AE18" si="5">SUM(O4:R4)</f>
        <v>1272.9770000000001</v>
      </c>
      <c r="AF4" s="3">
        <f>SUM(S4:V4)</f>
        <v>1419.2891999999999</v>
      </c>
      <c r="AG4" s="3">
        <f t="shared" ref="AG4:AH4" si="6">+AF4*1.1</f>
        <v>1561.21812</v>
      </c>
      <c r="AH4" s="3">
        <f t="shared" si="6"/>
        <v>1717.3399320000001</v>
      </c>
      <c r="AI4" s="3">
        <f>+AH4*1.05</f>
        <v>1803.2069286000001</v>
      </c>
      <c r="AJ4" s="3">
        <f t="shared" ref="AJ4:AN4" si="7">+AI4*1.05</f>
        <v>1893.3672750300002</v>
      </c>
      <c r="AK4" s="3">
        <f t="shared" si="7"/>
        <v>1988.0356387815002</v>
      </c>
      <c r="AL4" s="3">
        <f t="shared" si="7"/>
        <v>2087.4374207205751</v>
      </c>
      <c r="AM4" s="3">
        <f t="shared" si="7"/>
        <v>2191.8092917566041</v>
      </c>
      <c r="AN4" s="3">
        <f t="shared" si="7"/>
        <v>2301.3997563444345</v>
      </c>
      <c r="AO4" s="3">
        <f>+AN4*0.5</f>
        <v>1150.6998781722173</v>
      </c>
      <c r="AP4" s="3">
        <f>+AO4*0.2</f>
        <v>230.13997563444346</v>
      </c>
      <c r="AQ4" s="3">
        <f t="shared" ref="AQ4" si="8">+AP4*0.2</f>
        <v>46.027995126888698</v>
      </c>
    </row>
    <row r="5" spans="1:43" s="3" customFormat="1" x14ac:dyDescent="0.15">
      <c r="B5" s="3" t="s">
        <v>22</v>
      </c>
      <c r="C5" s="4"/>
      <c r="D5" s="4"/>
      <c r="E5" s="4"/>
      <c r="F5" s="4">
        <v>0</v>
      </c>
      <c r="G5" s="4">
        <v>0</v>
      </c>
      <c r="H5" s="4">
        <v>109.48099999999999</v>
      </c>
      <c r="I5" s="4">
        <v>160.37799999999999</v>
      </c>
      <c r="J5" s="4">
        <v>193.786</v>
      </c>
      <c r="K5" s="4">
        <v>157.893</v>
      </c>
      <c r="L5" s="4">
        <v>175.28899999999999</v>
      </c>
      <c r="M5" s="4">
        <v>196.21799999999999</v>
      </c>
      <c r="N5" s="4">
        <v>206.99799999999999</v>
      </c>
      <c r="O5" s="4">
        <v>188.90899999999999</v>
      </c>
      <c r="P5" s="4">
        <v>202.226</v>
      </c>
      <c r="Q5" s="4">
        <v>213.71100000000001</v>
      </c>
      <c r="R5" s="4">
        <v>240.62200000000001</v>
      </c>
      <c r="S5" s="4">
        <v>198.71600000000001</v>
      </c>
      <c r="T5" s="4">
        <v>247.102</v>
      </c>
      <c r="U5" s="4">
        <f>+Q5*1.1</f>
        <v>235.08210000000003</v>
      </c>
      <c r="V5" s="4">
        <f>+R5*1.1</f>
        <v>264.68420000000003</v>
      </c>
      <c r="AC5" s="3">
        <f t="shared" si="4"/>
        <v>463.64499999999998</v>
      </c>
      <c r="AD5" s="3">
        <f t="shared" si="1"/>
        <v>736.39799999999991</v>
      </c>
      <c r="AE5" s="3">
        <f t="shared" si="5"/>
        <v>845.46800000000007</v>
      </c>
      <c r="AF5" s="3">
        <f>SUM(S5:V5)</f>
        <v>945.5843000000001</v>
      </c>
      <c r="AG5" s="3">
        <f t="shared" ref="AG5:AH5" si="9">+AF5*1.1</f>
        <v>1040.1427300000003</v>
      </c>
      <c r="AH5" s="3">
        <f t="shared" si="9"/>
        <v>1144.1570030000005</v>
      </c>
      <c r="AI5" s="3">
        <f>+AH5*1.03</f>
        <v>1178.4817130900005</v>
      </c>
      <c r="AJ5" s="3">
        <f>+AI5*0.7</f>
        <v>824.93719916300029</v>
      </c>
      <c r="AK5" s="3">
        <f>+AJ5*0.7</f>
        <v>577.45603941410013</v>
      </c>
      <c r="AL5" s="3">
        <f t="shared" ref="AL5:AQ5" si="10">+AK5*0.7</f>
        <v>404.21922758987006</v>
      </c>
      <c r="AM5" s="3">
        <f t="shared" si="10"/>
        <v>282.95345931290905</v>
      </c>
      <c r="AN5" s="3">
        <f t="shared" si="10"/>
        <v>198.06742151903632</v>
      </c>
      <c r="AO5" s="3">
        <f t="shared" si="10"/>
        <v>138.6471950633254</v>
      </c>
      <c r="AP5" s="3">
        <f t="shared" si="10"/>
        <v>97.053036544327767</v>
      </c>
      <c r="AQ5" s="3">
        <f t="shared" si="10"/>
        <v>67.937125581029434</v>
      </c>
    </row>
    <row r="6" spans="1:43" s="3" customFormat="1" x14ac:dyDescent="0.15">
      <c r="B6" s="3" t="s">
        <v>23</v>
      </c>
      <c r="C6" s="4"/>
      <c r="D6" s="4"/>
      <c r="E6" s="4"/>
      <c r="F6" s="4">
        <v>0</v>
      </c>
      <c r="G6" s="4">
        <v>0</v>
      </c>
      <c r="H6" s="4">
        <v>1.9610000000000001</v>
      </c>
      <c r="I6" s="4">
        <v>6.0970000000000004</v>
      </c>
      <c r="J6" s="4">
        <v>4.649</v>
      </c>
      <c r="K6" s="4">
        <v>4.742</v>
      </c>
      <c r="L6" s="4">
        <v>4.1420000000000003</v>
      </c>
      <c r="M6" s="4">
        <v>3.22</v>
      </c>
      <c r="N6" s="4">
        <v>4.7210000000000001</v>
      </c>
      <c r="O6" s="4">
        <v>7.0979999999999999</v>
      </c>
      <c r="P6" s="4">
        <v>2.806</v>
      </c>
      <c r="Q6" s="4">
        <v>4.6269999999999998</v>
      </c>
      <c r="R6" s="4">
        <v>5.1369999999999996</v>
      </c>
      <c r="S6" s="4">
        <v>2.7349999999999999</v>
      </c>
      <c r="T6" s="4">
        <v>6.383</v>
      </c>
      <c r="U6" s="4">
        <f>+T6</f>
        <v>6.383</v>
      </c>
      <c r="V6" s="4">
        <f>+U6</f>
        <v>6.383</v>
      </c>
      <c r="AC6" s="3">
        <f t="shared" si="4"/>
        <v>12.707000000000001</v>
      </c>
      <c r="AD6" s="3">
        <f t="shared" si="1"/>
        <v>16.825000000000003</v>
      </c>
      <c r="AE6" s="3">
        <f t="shared" si="5"/>
        <v>19.667999999999999</v>
      </c>
      <c r="AF6" s="3">
        <f>SUM(S6:V6)</f>
        <v>21.884</v>
      </c>
      <c r="AG6" s="3">
        <f t="shared" ref="AG6:AQ6" si="11">+AF6*0.9</f>
        <v>19.695600000000002</v>
      </c>
      <c r="AH6" s="3">
        <f t="shared" si="11"/>
        <v>17.726040000000001</v>
      </c>
      <c r="AI6" s="3">
        <f t="shared" si="11"/>
        <v>15.953436000000002</v>
      </c>
      <c r="AJ6" s="3">
        <f t="shared" si="11"/>
        <v>14.358092400000002</v>
      </c>
      <c r="AK6" s="3">
        <f t="shared" si="11"/>
        <v>12.922283160000003</v>
      </c>
      <c r="AL6" s="3">
        <f t="shared" si="11"/>
        <v>11.630054844000004</v>
      </c>
      <c r="AM6" s="3">
        <f t="shared" si="11"/>
        <v>10.467049359600004</v>
      </c>
      <c r="AN6" s="3">
        <f t="shared" si="11"/>
        <v>9.4203444236400049</v>
      </c>
      <c r="AO6" s="3">
        <f t="shared" si="11"/>
        <v>8.4783099812760039</v>
      </c>
      <c r="AP6" s="3">
        <f t="shared" si="11"/>
        <v>7.6304789831484037</v>
      </c>
      <c r="AQ6" s="3">
        <f t="shared" si="11"/>
        <v>6.8674310848335631</v>
      </c>
    </row>
    <row r="7" spans="1:43" s="3" customFormat="1" x14ac:dyDescent="0.15">
      <c r="B7" s="3" t="s">
        <v>24</v>
      </c>
      <c r="C7" s="4"/>
      <c r="D7" s="4"/>
      <c r="E7" s="4"/>
      <c r="F7" s="4">
        <v>8.7149999999999999</v>
      </c>
      <c r="G7" s="4">
        <v>11.606</v>
      </c>
      <c r="H7" s="4">
        <v>12.124000000000001</v>
      </c>
      <c r="I7" s="4">
        <v>19.251000000000001</v>
      </c>
      <c r="J7" s="4">
        <v>14.933</v>
      </c>
      <c r="K7" s="4">
        <v>15.878</v>
      </c>
      <c r="L7" s="4">
        <v>12.965999999999999</v>
      </c>
      <c r="M7" s="4">
        <v>0</v>
      </c>
      <c r="N7" s="4">
        <f t="shared" ref="N7" si="12">+M7*0.9</f>
        <v>0</v>
      </c>
      <c r="O7" s="4"/>
      <c r="P7" s="4"/>
      <c r="Q7" s="4"/>
      <c r="R7" s="4"/>
      <c r="S7" s="4"/>
      <c r="T7" s="4"/>
      <c r="U7" s="4"/>
      <c r="V7" s="4"/>
      <c r="Z7" s="3">
        <v>0</v>
      </c>
      <c r="AA7" s="3">
        <v>3.714</v>
      </c>
      <c r="AB7" s="3">
        <v>28.332999999999998</v>
      </c>
      <c r="AC7" s="3">
        <f t="shared" si="4"/>
        <v>57.914000000000001</v>
      </c>
      <c r="AD7" s="3">
        <f t="shared" si="1"/>
        <v>28.844000000000001</v>
      </c>
      <c r="AE7" s="3">
        <f t="shared" si="5"/>
        <v>0</v>
      </c>
      <c r="AF7" s="3">
        <f>SUM(S7:V7)</f>
        <v>0</v>
      </c>
      <c r="AG7" s="3">
        <f t="shared" ref="AG7:AQ7" si="13">+AF7*0.9</f>
        <v>0</v>
      </c>
      <c r="AH7" s="3">
        <f t="shared" si="13"/>
        <v>0</v>
      </c>
      <c r="AI7" s="3">
        <f t="shared" si="13"/>
        <v>0</v>
      </c>
      <c r="AJ7" s="3">
        <f t="shared" si="13"/>
        <v>0</v>
      </c>
      <c r="AK7" s="3">
        <f t="shared" si="13"/>
        <v>0</v>
      </c>
      <c r="AL7" s="3">
        <f t="shared" si="13"/>
        <v>0</v>
      </c>
      <c r="AM7" s="3">
        <f t="shared" si="13"/>
        <v>0</v>
      </c>
      <c r="AN7" s="3">
        <f t="shared" si="13"/>
        <v>0</v>
      </c>
      <c r="AO7" s="3">
        <f t="shared" si="13"/>
        <v>0</v>
      </c>
      <c r="AP7" s="3">
        <f t="shared" si="13"/>
        <v>0</v>
      </c>
      <c r="AQ7" s="3">
        <f t="shared" si="13"/>
        <v>0</v>
      </c>
    </row>
    <row r="8" spans="1:43" s="3" customFormat="1" x14ac:dyDescent="0.15">
      <c r="B8" s="3" t="s">
        <v>25</v>
      </c>
      <c r="C8" s="4"/>
      <c r="D8" s="4"/>
      <c r="E8" s="4"/>
      <c r="F8" s="4">
        <v>53.439</v>
      </c>
      <c r="G8" s="4">
        <v>54.334000000000003</v>
      </c>
      <c r="H8" s="4">
        <v>55.923999999999999</v>
      </c>
      <c r="I8" s="4">
        <v>71.713999999999999</v>
      </c>
      <c r="J8" s="4">
        <v>64.835999999999999</v>
      </c>
      <c r="K8" s="4">
        <v>59.338000000000001</v>
      </c>
      <c r="L8" s="4">
        <v>68.284999999999997</v>
      </c>
      <c r="M8" s="4">
        <v>70.319999999999993</v>
      </c>
      <c r="N8" s="4">
        <v>71.968999999999994</v>
      </c>
      <c r="O8" s="4">
        <v>67.180999999999997</v>
      </c>
      <c r="P8" s="4">
        <v>70.347999999999999</v>
      </c>
      <c r="Q8" s="4">
        <v>77.994</v>
      </c>
      <c r="R8" s="4">
        <v>74.010000000000005</v>
      </c>
      <c r="S8" s="4">
        <v>75.099999999999994</v>
      </c>
      <c r="T8" s="4">
        <v>81.046999999999997</v>
      </c>
      <c r="U8" s="4">
        <f>+Q8*1.1</f>
        <v>85.793400000000005</v>
      </c>
      <c r="V8" s="4">
        <f>+R8*1.1</f>
        <v>81.411000000000016</v>
      </c>
      <c r="Z8" s="3">
        <v>0</v>
      </c>
      <c r="AA8" s="3">
        <v>0</v>
      </c>
      <c r="AB8" s="3">
        <v>90.38</v>
      </c>
      <c r="AC8" s="3">
        <f t="shared" si="4"/>
        <v>246.80799999999999</v>
      </c>
      <c r="AD8" s="3">
        <f t="shared" si="1"/>
        <v>269.91199999999998</v>
      </c>
      <c r="AE8" s="3">
        <f t="shared" si="5"/>
        <v>289.53300000000002</v>
      </c>
      <c r="AF8" s="3">
        <f>SUM(S8:V8)</f>
        <v>323.35140000000001</v>
      </c>
      <c r="AG8" s="3">
        <f>+AF8*1.01</f>
        <v>326.58491400000003</v>
      </c>
      <c r="AH8" s="3">
        <f>+AG8*1.01</f>
        <v>329.85076314000003</v>
      </c>
      <c r="AI8" s="3">
        <f>+AH8*1.01</f>
        <v>333.14927077140004</v>
      </c>
      <c r="AJ8" s="3">
        <f>+AI8*1.01</f>
        <v>336.48076347911405</v>
      </c>
      <c r="AK8" s="3">
        <f>+AJ8*1.01</f>
        <v>339.84557111390518</v>
      </c>
      <c r="AL8" s="3">
        <f>+AK8*1.01</f>
        <v>343.24402682504422</v>
      </c>
      <c r="AM8" s="3">
        <f>+AL8*1.01</f>
        <v>346.67646709329466</v>
      </c>
      <c r="AN8" s="3">
        <f>+AM8*1.01</f>
        <v>350.14323176422761</v>
      </c>
      <c r="AO8" s="3">
        <f>+AN8*1.01</f>
        <v>353.64466408186991</v>
      </c>
      <c r="AP8" s="3">
        <f>+AO8*1.01</f>
        <v>357.18111072268863</v>
      </c>
      <c r="AQ8" s="3">
        <f>+AP8*1.01</f>
        <v>360.75292182991552</v>
      </c>
    </row>
    <row r="9" spans="1:43" s="3" customFormat="1" x14ac:dyDescent="0.15">
      <c r="B9" s="3" t="s">
        <v>115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Z9" s="3">
        <v>174.739</v>
      </c>
      <c r="AA9" s="3">
        <v>177.465</v>
      </c>
      <c r="AB9" s="3">
        <v>147.136</v>
      </c>
    </row>
    <row r="10" spans="1:43" s="3" customFormat="1" x14ac:dyDescent="0.15">
      <c r="B10" s="3" t="s">
        <v>26</v>
      </c>
      <c r="C10" s="4"/>
      <c r="D10" s="4"/>
      <c r="E10" s="4"/>
      <c r="F10" s="4">
        <v>0</v>
      </c>
      <c r="G10" s="4">
        <v>0</v>
      </c>
      <c r="H10" s="4">
        <v>0</v>
      </c>
      <c r="I10" s="4">
        <v>20.673999999999999</v>
      </c>
      <c r="J10" s="4">
        <v>64.954999999999998</v>
      </c>
      <c r="K10" s="4">
        <v>54.22</v>
      </c>
      <c r="L10" s="4">
        <v>72.953999999999994</v>
      </c>
      <c r="M10" s="4">
        <v>73.513000000000005</v>
      </c>
      <c r="N10" s="4">
        <v>80.971999999999994</v>
      </c>
      <c r="O10" s="4">
        <v>85.927000000000007</v>
      </c>
      <c r="P10" s="4">
        <v>101.693</v>
      </c>
      <c r="Q10" s="4">
        <v>104.85899999999999</v>
      </c>
      <c r="R10" s="4">
        <v>101.747</v>
      </c>
      <c r="S10" s="4">
        <v>102.75</v>
      </c>
      <c r="T10" s="4">
        <v>107.82899999999999</v>
      </c>
      <c r="U10" s="4">
        <f t="shared" ref="U10:U14" si="14">+Q10*1.1</f>
        <v>115.34490000000001</v>
      </c>
      <c r="V10" s="4">
        <f t="shared" ref="V10:V14" si="15">+R10*1.1</f>
        <v>111.92170000000002</v>
      </c>
      <c r="AC10" s="3">
        <f t="shared" si="4"/>
        <v>85.628999999999991</v>
      </c>
      <c r="AD10" s="3">
        <f t="shared" ref="AD10:AD19" si="16">SUM(K10:N10)</f>
        <v>281.65899999999999</v>
      </c>
      <c r="AE10" s="3">
        <f t="shared" si="5"/>
        <v>394.226</v>
      </c>
      <c r="AF10" s="3">
        <f>SUM(S10:V10)</f>
        <v>437.84559999999999</v>
      </c>
      <c r="AG10" s="3">
        <f>+AF10*1.01</f>
        <v>442.22405600000002</v>
      </c>
      <c r="AH10" s="3">
        <f>+AG10*1.01</f>
        <v>446.64629656</v>
      </c>
      <c r="AI10" s="3">
        <f>+AH10*1.01</f>
        <v>451.11275952559998</v>
      </c>
      <c r="AJ10" s="3">
        <f>+AI10*1.01</f>
        <v>455.62388712085601</v>
      </c>
      <c r="AK10" s="3">
        <f>+AJ10*1.01</f>
        <v>460.18012599206457</v>
      </c>
      <c r="AL10" s="3">
        <f>+AK10*1.01</f>
        <v>464.78192725198522</v>
      </c>
      <c r="AM10" s="3">
        <f>+AL10*1.01</f>
        <v>469.42974652450511</v>
      </c>
      <c r="AN10" s="3">
        <f>+AM10*1.01</f>
        <v>474.12404398975013</v>
      </c>
      <c r="AO10" s="3">
        <f>+AN10*1.01</f>
        <v>478.86528442964766</v>
      </c>
      <c r="AP10" s="3">
        <f>+AO10*1.01</f>
        <v>483.65393727394417</v>
      </c>
      <c r="AQ10" s="3">
        <f>+AP10*1.01</f>
        <v>488.49047664668359</v>
      </c>
    </row>
    <row r="11" spans="1:43" s="3" customFormat="1" x14ac:dyDescent="0.15">
      <c r="B11" s="3" t="s">
        <v>118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AF11" s="3">
        <v>20</v>
      </c>
      <c r="AG11" s="3">
        <v>100</v>
      </c>
      <c r="AH11" s="3">
        <v>125</v>
      </c>
      <c r="AI11" s="3">
        <v>150</v>
      </c>
      <c r="AJ11" s="3">
        <f>+AI11*1.1</f>
        <v>165</v>
      </c>
      <c r="AK11" s="3">
        <f>+AJ11*1.1</f>
        <v>181.50000000000003</v>
      </c>
      <c r="AL11" s="3">
        <f>+AK11*1.05</f>
        <v>190.57500000000005</v>
      </c>
      <c r="AM11" s="3">
        <f>+AL11*1.05</f>
        <v>200.10375000000005</v>
      </c>
      <c r="AN11" s="3">
        <f>+AM11*1.05</f>
        <v>210.10893750000005</v>
      </c>
      <c r="AO11" s="3">
        <f>+AN11*1.05</f>
        <v>220.61438437500007</v>
      </c>
      <c r="AP11" s="3">
        <f>+AO11*1.05</f>
        <v>231.64510359375009</v>
      </c>
      <c r="AQ11" s="3">
        <f>+AP11*1.05</f>
        <v>243.2273587734376</v>
      </c>
    </row>
    <row r="12" spans="1:43" s="3" customFormat="1" x14ac:dyDescent="0.15">
      <c r="B12" s="3" t="s">
        <v>27</v>
      </c>
      <c r="C12" s="4"/>
      <c r="D12" s="4"/>
      <c r="E12" s="4"/>
      <c r="F12" s="4">
        <v>30.992000000000001</v>
      </c>
      <c r="G12" s="4">
        <v>33.155000000000001</v>
      </c>
      <c r="H12" s="4">
        <v>31.452999999999999</v>
      </c>
      <c r="I12" s="4">
        <v>34.688000000000002</v>
      </c>
      <c r="J12" s="4">
        <v>34.764000000000003</v>
      </c>
      <c r="K12" s="4">
        <v>33.756999999999998</v>
      </c>
      <c r="L12" s="4">
        <v>33.89</v>
      </c>
      <c r="M12" s="4">
        <v>30.067</v>
      </c>
      <c r="N12" s="4">
        <v>30.265999999999998</v>
      </c>
      <c r="O12" s="4">
        <v>36.700000000000003</v>
      </c>
      <c r="P12" s="4">
        <v>34.055999999999997</v>
      </c>
      <c r="Q12" s="4">
        <v>29.827000000000002</v>
      </c>
      <c r="R12" s="4">
        <v>46.911999999999999</v>
      </c>
      <c r="S12" s="4">
        <v>32.023000000000003</v>
      </c>
      <c r="T12" s="4">
        <v>43.012</v>
      </c>
      <c r="U12" s="4">
        <f t="shared" si="14"/>
        <v>32.809700000000007</v>
      </c>
      <c r="V12" s="4">
        <f t="shared" si="15"/>
        <v>51.603200000000001</v>
      </c>
      <c r="Z12" s="3">
        <v>100.83499999999999</v>
      </c>
      <c r="AA12" s="3">
        <v>121.407</v>
      </c>
      <c r="AB12" s="3">
        <v>121.105</v>
      </c>
      <c r="AC12" s="3">
        <f t="shared" si="4"/>
        <v>134.06</v>
      </c>
      <c r="AD12" s="3">
        <f t="shared" si="16"/>
        <v>127.97999999999999</v>
      </c>
      <c r="AE12" s="3">
        <f t="shared" si="5"/>
        <v>147.495</v>
      </c>
      <c r="AF12" s="3">
        <f>SUM(S12:V12)</f>
        <v>159.4479</v>
      </c>
      <c r="AG12" s="3">
        <f t="shared" ref="AG12:AQ12" si="17">+AF12*0.99</f>
        <v>157.853421</v>
      </c>
      <c r="AH12" s="3">
        <f t="shared" si="17"/>
        <v>156.27488678999998</v>
      </c>
      <c r="AI12" s="3">
        <f t="shared" si="17"/>
        <v>154.71213792209997</v>
      </c>
      <c r="AJ12" s="3">
        <f t="shared" si="17"/>
        <v>153.16501654287896</v>
      </c>
      <c r="AK12" s="3">
        <f t="shared" si="17"/>
        <v>151.63336637745016</v>
      </c>
      <c r="AL12" s="3">
        <f t="shared" si="17"/>
        <v>150.11703271367566</v>
      </c>
      <c r="AM12" s="3">
        <f t="shared" si="17"/>
        <v>148.61586238653891</v>
      </c>
      <c r="AN12" s="3">
        <f t="shared" si="17"/>
        <v>147.12970376267353</v>
      </c>
      <c r="AO12" s="3">
        <f t="shared" si="17"/>
        <v>145.6584067250468</v>
      </c>
      <c r="AP12" s="3">
        <f t="shared" si="17"/>
        <v>144.20182265779633</v>
      </c>
      <c r="AQ12" s="3">
        <f t="shared" si="17"/>
        <v>142.75980443121836</v>
      </c>
    </row>
    <row r="13" spans="1:43" s="3" customFormat="1" x14ac:dyDescent="0.15">
      <c r="B13" s="3" t="s">
        <v>28</v>
      </c>
      <c r="C13" s="4"/>
      <c r="D13" s="4"/>
      <c r="E13" s="4"/>
      <c r="F13" s="4">
        <v>55.454999999999998</v>
      </c>
      <c r="G13" s="4">
        <v>49.619</v>
      </c>
      <c r="H13" s="4">
        <v>48.095999999999997</v>
      </c>
      <c r="I13" s="4">
        <v>57.704999999999998</v>
      </c>
      <c r="J13" s="4">
        <v>42.511000000000003</v>
      </c>
      <c r="K13" s="4">
        <v>49.488999999999997</v>
      </c>
      <c r="L13" s="4">
        <v>54.695999999999998</v>
      </c>
      <c r="M13" s="4">
        <v>49.451999999999998</v>
      </c>
      <c r="N13" s="4">
        <v>40.652999999999999</v>
      </c>
      <c r="O13" s="4">
        <v>39.079000000000001</v>
      </c>
      <c r="P13" s="4">
        <v>46.107999999999997</v>
      </c>
      <c r="Q13" s="4">
        <v>47.73</v>
      </c>
      <c r="R13" s="4">
        <v>51.082999999999998</v>
      </c>
      <c r="S13" s="4">
        <v>47.676000000000002</v>
      </c>
      <c r="T13" s="4">
        <v>45.420999999999999</v>
      </c>
      <c r="U13" s="4">
        <f t="shared" si="14"/>
        <v>52.503</v>
      </c>
      <c r="V13" s="4">
        <f t="shared" si="15"/>
        <v>56.191300000000005</v>
      </c>
      <c r="Z13" s="3">
        <v>149.44800000000001</v>
      </c>
      <c r="AA13" s="3">
        <v>172.93799999999999</v>
      </c>
      <c r="AB13" s="3">
        <v>195.84200000000001</v>
      </c>
      <c r="AC13" s="3">
        <f t="shared" si="4"/>
        <v>197.93100000000001</v>
      </c>
      <c r="AD13" s="3">
        <f t="shared" si="16"/>
        <v>194.29</v>
      </c>
      <c r="AE13" s="3">
        <f t="shared" si="5"/>
        <v>184</v>
      </c>
      <c r="AF13" s="3">
        <f>SUM(S13:V13)</f>
        <v>201.79130000000004</v>
      </c>
      <c r="AG13" s="3">
        <f t="shared" ref="AG13:AQ13" si="18">+AF13*0.99</f>
        <v>199.77338700000004</v>
      </c>
      <c r="AH13" s="3">
        <f t="shared" si="18"/>
        <v>197.77565313000005</v>
      </c>
      <c r="AI13" s="3">
        <f t="shared" si="18"/>
        <v>195.79789659870005</v>
      </c>
      <c r="AJ13" s="3">
        <f t="shared" si="18"/>
        <v>193.83991763271305</v>
      </c>
      <c r="AK13" s="3">
        <f t="shared" si="18"/>
        <v>191.90151845638593</v>
      </c>
      <c r="AL13" s="3">
        <f t="shared" si="18"/>
        <v>189.98250327182208</v>
      </c>
      <c r="AM13" s="3">
        <f t="shared" si="18"/>
        <v>188.08267823910387</v>
      </c>
      <c r="AN13" s="3">
        <f t="shared" si="18"/>
        <v>186.20185145671283</v>
      </c>
      <c r="AO13" s="3">
        <f t="shared" si="18"/>
        <v>184.3398329421457</v>
      </c>
      <c r="AP13" s="3">
        <f t="shared" si="18"/>
        <v>182.49643461272424</v>
      </c>
      <c r="AQ13" s="3">
        <f t="shared" si="18"/>
        <v>180.671470266597</v>
      </c>
    </row>
    <row r="14" spans="1:43" s="3" customFormat="1" x14ac:dyDescent="0.15">
      <c r="B14" s="3" t="s">
        <v>29</v>
      </c>
      <c r="C14" s="4"/>
      <c r="D14" s="4"/>
      <c r="E14" s="4"/>
      <c r="F14" s="4">
        <f>4.214+1.596+56.576</f>
        <v>62.386000000000003</v>
      </c>
      <c r="G14" s="4">
        <f>41.068+4.05+2.783</f>
        <v>47.900999999999996</v>
      </c>
      <c r="H14" s="4">
        <f>28.314+2.641+3.471</f>
        <v>34.426000000000002</v>
      </c>
      <c r="I14" s="4">
        <f>3.344+3.868</f>
        <v>7.2119999999999997</v>
      </c>
      <c r="J14" s="4">
        <f>3.848+1.03</f>
        <v>4.8780000000000001</v>
      </c>
      <c r="K14" s="4">
        <f>0+0.943+3.884</f>
        <v>4.827</v>
      </c>
      <c r="L14" s="4">
        <f>4.578+1.632</f>
        <v>6.21</v>
      </c>
      <c r="M14" s="4">
        <f>1.001+4.886</f>
        <v>5.8870000000000005</v>
      </c>
      <c r="N14" s="4">
        <f>3.067+4.597</f>
        <v>7.6640000000000006</v>
      </c>
      <c r="O14" s="4">
        <f>2.096+6.497+3.434</f>
        <v>12.027000000000001</v>
      </c>
      <c r="P14" s="4">
        <f>3.417+10.33</f>
        <v>13.747</v>
      </c>
      <c r="Q14" s="4">
        <f>2.907+28.921+4.821</f>
        <v>36.649000000000001</v>
      </c>
      <c r="R14" s="4">
        <f>4.088+5.209+39.387</f>
        <v>48.683999999999997</v>
      </c>
      <c r="S14" s="4">
        <f>3.57+49.947+9.934</f>
        <v>63.451000000000001</v>
      </c>
      <c r="T14" s="4">
        <f>2.698+59.681</f>
        <v>62.378999999999998</v>
      </c>
      <c r="U14" s="4">
        <f t="shared" si="14"/>
        <v>40.313900000000004</v>
      </c>
      <c r="V14" s="4">
        <f t="shared" si="15"/>
        <v>53.552399999999999</v>
      </c>
      <c r="Z14" s="3">
        <f>21.449+39.585</f>
        <v>61.034000000000006</v>
      </c>
      <c r="AA14" s="3">
        <f>26.16+17.552</f>
        <v>43.712000000000003</v>
      </c>
      <c r="AB14" s="3">
        <f>6.842+16.907</f>
        <v>23.748999999999999</v>
      </c>
      <c r="AC14" s="3">
        <f t="shared" si="4"/>
        <v>94.417000000000002</v>
      </c>
      <c r="AD14" s="3">
        <f t="shared" si="16"/>
        <v>24.588000000000001</v>
      </c>
      <c r="AE14" s="3">
        <f t="shared" si="5"/>
        <v>111.107</v>
      </c>
      <c r="AF14" s="3">
        <f>SUM(S14:V14)</f>
        <v>219.69630000000001</v>
      </c>
      <c r="AG14" s="3">
        <f t="shared" ref="AG14:AQ14" si="19">+AF14*0.99</f>
        <v>217.499337</v>
      </c>
      <c r="AH14" s="3">
        <f t="shared" si="19"/>
        <v>215.32434362999999</v>
      </c>
      <c r="AI14" s="3">
        <f t="shared" si="19"/>
        <v>213.1711001937</v>
      </c>
      <c r="AJ14" s="3">
        <f t="shared" si="19"/>
        <v>211.03938919176301</v>
      </c>
      <c r="AK14" s="3">
        <f t="shared" si="19"/>
        <v>208.92899529984538</v>
      </c>
      <c r="AL14" s="3">
        <f t="shared" si="19"/>
        <v>206.83970534684693</v>
      </c>
      <c r="AM14" s="3">
        <f t="shared" si="19"/>
        <v>204.77130829337847</v>
      </c>
      <c r="AN14" s="3">
        <f t="shared" si="19"/>
        <v>202.72359521044467</v>
      </c>
      <c r="AO14" s="3">
        <f t="shared" si="19"/>
        <v>200.69635925834021</v>
      </c>
      <c r="AP14" s="3">
        <f t="shared" si="19"/>
        <v>198.68939566575679</v>
      </c>
      <c r="AQ14" s="3">
        <f t="shared" si="19"/>
        <v>196.70250170909921</v>
      </c>
    </row>
    <row r="15" spans="1:43" s="5" customFormat="1" x14ac:dyDescent="0.15">
      <c r="B15" s="5" t="s">
        <v>20</v>
      </c>
      <c r="C15" s="6"/>
      <c r="D15" s="6"/>
      <c r="E15" s="6"/>
      <c r="F15" s="6">
        <f t="shared" ref="F15:G15" si="20">SUM(F3:F14)</f>
        <v>665.51699999999994</v>
      </c>
      <c r="G15" s="6">
        <f t="shared" si="20"/>
        <v>607.58100000000002</v>
      </c>
      <c r="H15" s="6">
        <f t="shared" ref="H15" si="21">SUM(H3:H14)</f>
        <v>751.81100000000004</v>
      </c>
      <c r="I15" s="6">
        <f>SUM(I3:I14)</f>
        <v>838.11500000000001</v>
      </c>
      <c r="J15" s="6">
        <f>SUM(J3:J14)</f>
        <v>896.73099999999999</v>
      </c>
      <c r="K15" s="6">
        <f t="shared" ref="K15" si="22">SUM(K3:K14)</f>
        <v>813.721</v>
      </c>
      <c r="L15" s="6">
        <f>SUM(L3:L14)</f>
        <v>932.87800000000004</v>
      </c>
      <c r="M15" s="6">
        <f>SUM(M3:M14)</f>
        <v>940.65200000000004</v>
      </c>
      <c r="N15" s="6">
        <f t="shared" ref="N15:V15" si="23">SUM(N3:N14)</f>
        <v>972.12299999999993</v>
      </c>
      <c r="O15" s="6">
        <f t="shared" si="23"/>
        <v>892.81200000000001</v>
      </c>
      <c r="P15" s="6">
        <f t="shared" si="23"/>
        <v>957.31699999999989</v>
      </c>
      <c r="Q15" s="6">
        <f t="shared" si="23"/>
        <v>972.14</v>
      </c>
      <c r="R15" s="6">
        <f t="shared" si="23"/>
        <v>1011.9349999999999</v>
      </c>
      <c r="S15" s="6">
        <f t="shared" si="23"/>
        <v>901.98300000000017</v>
      </c>
      <c r="T15" s="6">
        <f t="shared" si="23"/>
        <v>1023.8250000000002</v>
      </c>
      <c r="U15" s="6">
        <f t="shared" si="23"/>
        <v>994.20630000000028</v>
      </c>
      <c r="V15" s="6">
        <f t="shared" si="23"/>
        <v>1056.6477</v>
      </c>
      <c r="X15" s="6">
        <v>1477.261</v>
      </c>
      <c r="Y15" s="6">
        <v>1601.3989999999999</v>
      </c>
      <c r="Z15" s="6">
        <f>SUM(Z3:Z14)</f>
        <v>1890.9220000000003</v>
      </c>
      <c r="AA15" s="6">
        <f>SUM(AA3:AA14)</f>
        <v>2161.761</v>
      </c>
      <c r="AB15" s="6">
        <f>SUM(AB3:AB14)</f>
        <v>2363.567</v>
      </c>
      <c r="AC15" s="6">
        <f t="shared" ref="AC15:AE15" si="24">SUM(AC3:AC14)</f>
        <v>3094.2379999999998</v>
      </c>
      <c r="AD15" s="6">
        <f t="shared" si="24"/>
        <v>3659.3739999999998</v>
      </c>
      <c r="AE15" s="6">
        <f t="shared" si="24"/>
        <v>3834.2040000000002</v>
      </c>
      <c r="AF15" s="6">
        <f>SUM(AF3:AF14)</f>
        <v>3996.6620000000003</v>
      </c>
      <c r="AG15" s="6">
        <f t="shared" ref="AG15" si="25">SUM(AG3:AG14)</f>
        <v>4188.8775650000007</v>
      </c>
      <c r="AH15" s="6">
        <f t="shared" ref="AH15" si="26">SUM(AH3:AH14)</f>
        <v>4412.0379182500001</v>
      </c>
      <c r="AI15" s="6">
        <f t="shared" ref="AI15" si="27">SUM(AI3:AI14)</f>
        <v>4526.5567427015012</v>
      </c>
      <c r="AJ15" s="6">
        <f t="shared" ref="AJ15" si="28">SUM(AJ3:AJ14)</f>
        <v>4263.2972905603256</v>
      </c>
      <c r="AK15" s="6">
        <f t="shared" ref="AK15" si="29">SUM(AK3:AK14)</f>
        <v>4120.1464135952519</v>
      </c>
      <c r="AL15" s="6">
        <f t="shared" ref="AL15" si="30">SUM(AL3:AL14)</f>
        <v>4052.6983360638196</v>
      </c>
      <c r="AM15" s="6">
        <f t="shared" ref="AM15" si="31">SUM(AM3:AM14)</f>
        <v>4044.8453317159342</v>
      </c>
      <c r="AN15" s="6">
        <f t="shared" ref="AN15" si="32">SUM(AN3:AN14)</f>
        <v>4080.2867453459198</v>
      </c>
      <c r="AO15" s="6">
        <f t="shared" ref="AO15" si="33">SUM(AO3:AO14)</f>
        <v>2882.128244716369</v>
      </c>
      <c r="AP15" s="6">
        <f t="shared" ref="AP15" si="34">SUM(AP3:AP14)</f>
        <v>1932.93326053233</v>
      </c>
      <c r="AQ15" s="6">
        <f t="shared" ref="AQ15" si="35">SUM(AQ3:AQ14)</f>
        <v>1733.5580678715778</v>
      </c>
    </row>
    <row r="16" spans="1:43" s="3" customFormat="1" x14ac:dyDescent="0.15">
      <c r="B16" s="3" t="s">
        <v>30</v>
      </c>
      <c r="C16" s="4"/>
      <c r="D16" s="4"/>
      <c r="E16" s="4"/>
      <c r="F16" s="4">
        <v>48.298000000000002</v>
      </c>
      <c r="G16" s="4">
        <v>38.192999999999998</v>
      </c>
      <c r="H16" s="4">
        <v>50.225999999999999</v>
      </c>
      <c r="I16" s="4">
        <v>58.872</v>
      </c>
      <c r="J16" s="4">
        <v>58.11</v>
      </c>
      <c r="K16" s="4">
        <v>48.206000000000003</v>
      </c>
      <c r="L16" s="4">
        <v>53.244999999999997</v>
      </c>
      <c r="M16" s="4">
        <v>57.103000000000002</v>
      </c>
      <c r="N16" s="3">
        <v>93.385999999999996</v>
      </c>
      <c r="O16" s="3">
        <v>64.727999999999994</v>
      </c>
      <c r="P16" s="3">
        <v>97.537000000000006</v>
      </c>
      <c r="Q16" s="3">
        <v>102.15300000000001</v>
      </c>
      <c r="R16" s="3">
        <v>71.238</v>
      </c>
      <c r="S16" s="3">
        <v>95.486999999999995</v>
      </c>
      <c r="T16" s="3">
        <v>72.412999999999997</v>
      </c>
      <c r="U16" s="3">
        <f>+U15-U17</f>
        <v>69.594440999999961</v>
      </c>
      <c r="V16" s="3">
        <f>+V15-V17</f>
        <v>73.965338999999972</v>
      </c>
      <c r="Z16" s="3">
        <v>121.544</v>
      </c>
      <c r="AA16" s="3">
        <v>127.93</v>
      </c>
      <c r="AB16" s="3">
        <v>148.917</v>
      </c>
      <c r="AC16" s="3">
        <f t="shared" si="4"/>
        <v>205.40100000000001</v>
      </c>
      <c r="AD16" s="3">
        <f t="shared" si="16"/>
        <v>251.94</v>
      </c>
      <c r="AE16" s="3">
        <f t="shared" si="5"/>
        <v>335.65600000000001</v>
      </c>
      <c r="AF16" s="3">
        <f>SUM(S16:V16)</f>
        <v>311.45977999999991</v>
      </c>
      <c r="AG16" s="3">
        <f t="shared" ref="AG16:AQ16" si="36">+AG15*0.06</f>
        <v>251.33265390000003</v>
      </c>
      <c r="AH16" s="3">
        <f t="shared" si="36"/>
        <v>264.72227509499999</v>
      </c>
      <c r="AI16" s="3">
        <f t="shared" si="36"/>
        <v>271.59340456209009</v>
      </c>
      <c r="AJ16" s="3">
        <f t="shared" si="36"/>
        <v>255.79783743361952</v>
      </c>
      <c r="AK16" s="3">
        <f t="shared" si="36"/>
        <v>247.20878481571512</v>
      </c>
      <c r="AL16" s="3">
        <f t="shared" si="36"/>
        <v>243.16190016382916</v>
      </c>
      <c r="AM16" s="3">
        <f t="shared" si="36"/>
        <v>242.69071990295603</v>
      </c>
      <c r="AN16" s="3">
        <f t="shared" si="36"/>
        <v>244.81720472075517</v>
      </c>
      <c r="AO16" s="3">
        <f t="shared" si="36"/>
        <v>172.92769468298212</v>
      </c>
      <c r="AP16" s="3">
        <f t="shared" si="36"/>
        <v>115.9759956319398</v>
      </c>
      <c r="AQ16" s="3">
        <f t="shared" si="36"/>
        <v>104.01348407229466</v>
      </c>
    </row>
    <row r="17" spans="2:106" s="3" customFormat="1" x14ac:dyDescent="0.15">
      <c r="B17" s="3" t="s">
        <v>31</v>
      </c>
      <c r="C17" s="4"/>
      <c r="D17" s="4"/>
      <c r="E17" s="4"/>
      <c r="F17" s="4">
        <f t="shared" ref="F17:M17" si="37">+F15-F16</f>
        <v>617.21899999999994</v>
      </c>
      <c r="G17" s="4">
        <f t="shared" si="37"/>
        <v>569.38800000000003</v>
      </c>
      <c r="H17" s="4">
        <f t="shared" si="37"/>
        <v>701.58500000000004</v>
      </c>
      <c r="I17" s="4">
        <f t="shared" si="37"/>
        <v>779.24300000000005</v>
      </c>
      <c r="J17" s="4">
        <f t="shared" si="37"/>
        <v>838.62099999999998</v>
      </c>
      <c r="K17" s="4">
        <f t="shared" si="37"/>
        <v>765.51499999999999</v>
      </c>
      <c r="L17" s="4">
        <f t="shared" si="37"/>
        <v>879.63300000000004</v>
      </c>
      <c r="M17" s="4">
        <f t="shared" si="37"/>
        <v>883.54900000000009</v>
      </c>
      <c r="N17" s="4">
        <f t="shared" ref="N17:R17" si="38">+N15-N16</f>
        <v>878.73699999999997</v>
      </c>
      <c r="O17" s="4">
        <f>+O15-O16</f>
        <v>828.08400000000006</v>
      </c>
      <c r="P17" s="4">
        <f t="shared" si="38"/>
        <v>859.77999999999986</v>
      </c>
      <c r="Q17" s="4">
        <f t="shared" si="38"/>
        <v>869.98699999999997</v>
      </c>
      <c r="R17" s="4">
        <f t="shared" si="38"/>
        <v>940.69699999999989</v>
      </c>
      <c r="S17" s="4">
        <f>+S15-S16</f>
        <v>806.49600000000021</v>
      </c>
      <c r="T17" s="4">
        <f>+T15-T16</f>
        <v>951.41200000000015</v>
      </c>
      <c r="U17" s="4">
        <f>+U15*0.93</f>
        <v>924.61185900000032</v>
      </c>
      <c r="V17" s="4">
        <f>+V15*0.93</f>
        <v>982.68236100000001</v>
      </c>
      <c r="Z17" s="3">
        <f>+Z15-Z16</f>
        <v>1769.3780000000002</v>
      </c>
      <c r="AA17" s="3">
        <f>+AA15-AA16</f>
        <v>2033.8309999999999</v>
      </c>
      <c r="AB17" s="3">
        <f>+AB15-AB16</f>
        <v>2214.65</v>
      </c>
      <c r="AC17" s="3">
        <f>+AC15-AC16</f>
        <v>2888.837</v>
      </c>
      <c r="AD17" s="3">
        <f>+AD15-AD16</f>
        <v>3407.4339999999997</v>
      </c>
      <c r="AE17" s="3">
        <f>+AE15-AE16</f>
        <v>3498.5480000000002</v>
      </c>
      <c r="AF17" s="3">
        <f>+AF15-AF16</f>
        <v>3685.2022200000001</v>
      </c>
      <c r="AG17" s="3">
        <f t="shared" ref="AG17:AQ17" si="39">+AG15-AG16</f>
        <v>3937.5449111000007</v>
      </c>
      <c r="AH17" s="3">
        <f t="shared" si="39"/>
        <v>4147.3156431549996</v>
      </c>
      <c r="AI17" s="3">
        <f t="shared" si="39"/>
        <v>4254.9633381394115</v>
      </c>
      <c r="AJ17" s="3">
        <f t="shared" si="39"/>
        <v>4007.4994531267062</v>
      </c>
      <c r="AK17" s="3">
        <f t="shared" si="39"/>
        <v>3872.9376287795367</v>
      </c>
      <c r="AL17" s="3">
        <f t="shared" si="39"/>
        <v>3809.5364358999905</v>
      </c>
      <c r="AM17" s="3">
        <f t="shared" si="39"/>
        <v>3802.1546118129781</v>
      </c>
      <c r="AN17" s="3">
        <f t="shared" si="39"/>
        <v>3835.4695406251649</v>
      </c>
      <c r="AO17" s="3">
        <f t="shared" si="39"/>
        <v>2709.2005500333867</v>
      </c>
      <c r="AP17" s="3">
        <f t="shared" si="39"/>
        <v>1816.9572649003901</v>
      </c>
      <c r="AQ17" s="3">
        <f t="shared" si="39"/>
        <v>1629.5445837992831</v>
      </c>
    </row>
    <row r="18" spans="2:106" s="3" customFormat="1" x14ac:dyDescent="0.15">
      <c r="B18" s="3" t="s">
        <v>32</v>
      </c>
      <c r="C18" s="4"/>
      <c r="D18" s="4"/>
      <c r="E18" s="4"/>
      <c r="F18" s="4">
        <v>225.37799999999999</v>
      </c>
      <c r="G18" s="4">
        <v>228.4</v>
      </c>
      <c r="H18" s="4">
        <v>269.44</v>
      </c>
      <c r="I18" s="4">
        <v>278.55200000000002</v>
      </c>
      <c r="J18" s="4">
        <v>328.65600000000001</v>
      </c>
      <c r="K18" s="4">
        <v>258.70100000000002</v>
      </c>
      <c r="L18" s="4">
        <v>281.49299999999999</v>
      </c>
      <c r="M18" s="4">
        <v>274.74700000000001</v>
      </c>
      <c r="N18" s="4">
        <v>319.76299999999998</v>
      </c>
      <c r="O18" s="4">
        <v>260.51499999999999</v>
      </c>
      <c r="P18" s="4">
        <v>276.87099999999998</v>
      </c>
      <c r="Q18" s="4">
        <v>308.3</v>
      </c>
      <c r="R18" s="4">
        <v>300.52</v>
      </c>
      <c r="S18" s="4">
        <v>351.71199999999999</v>
      </c>
      <c r="T18" s="4">
        <v>303.38600000000002</v>
      </c>
      <c r="U18" s="4">
        <f>+Q18</f>
        <v>308.3</v>
      </c>
      <c r="V18" s="4">
        <f>+R18</f>
        <v>300.52</v>
      </c>
      <c r="Z18" s="3">
        <v>683.53</v>
      </c>
      <c r="AA18" s="3">
        <v>736.94200000000001</v>
      </c>
      <c r="AB18" s="3">
        <v>854.23299999999995</v>
      </c>
      <c r="AC18" s="3">
        <f t="shared" si="4"/>
        <v>1105.048</v>
      </c>
      <c r="AD18" s="3">
        <f t="shared" si="16"/>
        <v>1134.704</v>
      </c>
      <c r="AE18" s="3">
        <f t="shared" si="5"/>
        <v>1146.2059999999999</v>
      </c>
      <c r="AF18" s="3">
        <f>SUM(S18:V18)</f>
        <v>1263.9179999999999</v>
      </c>
      <c r="AG18" s="3">
        <f t="shared" ref="AG18:AQ18" si="40">+AG15*0.25</f>
        <v>1047.2193912500002</v>
      </c>
      <c r="AH18" s="3">
        <f t="shared" si="40"/>
        <v>1103.0094795625</v>
      </c>
      <c r="AI18" s="3">
        <f t="shared" si="40"/>
        <v>1131.6391856753753</v>
      </c>
      <c r="AJ18" s="3">
        <f t="shared" si="40"/>
        <v>1065.8243226400814</v>
      </c>
      <c r="AK18" s="3">
        <f t="shared" si="40"/>
        <v>1030.036603398813</v>
      </c>
      <c r="AL18" s="3">
        <f t="shared" si="40"/>
        <v>1013.1745840159549</v>
      </c>
      <c r="AM18" s="3">
        <f t="shared" si="40"/>
        <v>1011.2113329289836</v>
      </c>
      <c r="AN18" s="3">
        <f t="shared" si="40"/>
        <v>1020.07168633648</v>
      </c>
      <c r="AO18" s="3">
        <f t="shared" si="40"/>
        <v>720.53206117909224</v>
      </c>
      <c r="AP18" s="3">
        <f t="shared" si="40"/>
        <v>483.2333151330825</v>
      </c>
      <c r="AQ18" s="3">
        <f t="shared" si="40"/>
        <v>433.38951696789445</v>
      </c>
    </row>
    <row r="19" spans="2:106" s="3" customFormat="1" x14ac:dyDescent="0.15">
      <c r="B19" s="3" t="s">
        <v>33</v>
      </c>
      <c r="C19" s="4"/>
      <c r="D19" s="4"/>
      <c r="E19" s="4"/>
      <c r="F19" s="4">
        <v>83.968000000000004</v>
      </c>
      <c r="G19" s="4">
        <v>67.930000000000007</v>
      </c>
      <c r="H19" s="4">
        <v>118.52500000000001</v>
      </c>
      <c r="I19" s="4">
        <v>124.47</v>
      </c>
      <c r="J19" s="4">
        <v>140.101</v>
      </c>
      <c r="K19" s="4">
        <v>116.459</v>
      </c>
      <c r="L19" s="4">
        <v>123.71899999999999</v>
      </c>
      <c r="M19" s="4">
        <v>120.80200000000001</v>
      </c>
      <c r="N19" s="4">
        <v>160.10499999999999</v>
      </c>
      <c r="O19" s="4">
        <v>173.91800000000001</v>
      </c>
      <c r="P19" s="4">
        <v>192.01900000000001</v>
      </c>
      <c r="Q19" s="3">
        <v>234.40199999999999</v>
      </c>
      <c r="R19" s="3">
        <v>201.107</v>
      </c>
      <c r="S19" s="3">
        <v>222.84700000000001</v>
      </c>
      <c r="T19" s="3">
        <v>203.46299999999999</v>
      </c>
      <c r="U19" s="3">
        <f>+Q19</f>
        <v>234.40199999999999</v>
      </c>
      <c r="V19" s="3">
        <f>+R19</f>
        <v>201.107</v>
      </c>
      <c r="Z19" s="3">
        <v>226.61600000000001</v>
      </c>
      <c r="AA19" s="3">
        <v>299.726</v>
      </c>
      <c r="AB19" s="3">
        <v>333.375</v>
      </c>
      <c r="AC19" s="3">
        <f t="shared" si="4"/>
        <v>451.02600000000001</v>
      </c>
      <c r="AD19" s="3">
        <f t="shared" si="16"/>
        <v>521.08500000000004</v>
      </c>
      <c r="AF19" s="3">
        <f>SUM(S19:V19)</f>
        <v>861.81899999999996</v>
      </c>
    </row>
    <row r="20" spans="2:106" s="3" customFormat="1" x14ac:dyDescent="0.15">
      <c r="B20" s="3" t="s">
        <v>34</v>
      </c>
      <c r="C20" s="4"/>
      <c r="D20" s="4"/>
      <c r="E20" s="4"/>
      <c r="F20" s="4">
        <f>+F18+F19</f>
        <v>309.346</v>
      </c>
      <c r="G20" s="4">
        <f>+G18+G19</f>
        <v>296.33000000000004</v>
      </c>
      <c r="H20" s="4">
        <f>+H18+H19</f>
        <v>387.96500000000003</v>
      </c>
      <c r="I20" s="4">
        <f>+I18+I19</f>
        <v>403.02200000000005</v>
      </c>
      <c r="J20" s="4">
        <f t="shared" ref="J20:M20" si="41">+J18+J19</f>
        <v>468.75700000000001</v>
      </c>
      <c r="K20" s="4">
        <f t="shared" si="41"/>
        <v>375.16</v>
      </c>
      <c r="L20" s="4">
        <f t="shared" si="41"/>
        <v>405.21199999999999</v>
      </c>
      <c r="M20" s="4">
        <f t="shared" si="41"/>
        <v>395.54900000000004</v>
      </c>
      <c r="N20" s="4">
        <f t="shared" ref="N20" si="42">+N18+N19</f>
        <v>479.86799999999994</v>
      </c>
      <c r="O20" s="4">
        <f t="shared" ref="O20" si="43">+O18+O19</f>
        <v>434.43299999999999</v>
      </c>
      <c r="P20" s="4">
        <f t="shared" ref="P20" si="44">+P18+P19</f>
        <v>468.89</v>
      </c>
      <c r="Q20" s="4">
        <f t="shared" ref="Q20" si="45">+Q18+Q19</f>
        <v>542.702</v>
      </c>
      <c r="R20" s="4">
        <f t="shared" ref="R20:S20" si="46">+R18+R19</f>
        <v>501.62699999999995</v>
      </c>
      <c r="S20" s="4">
        <f t="shared" si="46"/>
        <v>574.55899999999997</v>
      </c>
      <c r="T20" s="4">
        <f>+T18+T19</f>
        <v>506.84900000000005</v>
      </c>
      <c r="U20" s="4">
        <f t="shared" ref="U20:V20" si="47">+U18+U19</f>
        <v>542.702</v>
      </c>
      <c r="V20" s="4">
        <f t="shared" si="47"/>
        <v>501.62699999999995</v>
      </c>
      <c r="Z20" s="3">
        <f>+Z19+Z18</f>
        <v>910.14599999999996</v>
      </c>
      <c r="AA20" s="3">
        <f t="shared" ref="AA20:AC20" si="48">+AA19+AA18</f>
        <v>1036.6680000000001</v>
      </c>
      <c r="AB20" s="3">
        <f t="shared" si="48"/>
        <v>1187.6079999999999</v>
      </c>
      <c r="AC20" s="3">
        <f t="shared" si="48"/>
        <v>1556.0740000000001</v>
      </c>
      <c r="AD20" s="4">
        <f t="shared" ref="AD20:AE20" si="49">+AD18+AD19</f>
        <v>1655.789</v>
      </c>
      <c r="AE20" s="4">
        <f t="shared" si="49"/>
        <v>1146.2059999999999</v>
      </c>
      <c r="AF20" s="4">
        <f t="shared" ref="AF20" si="50">+AF18+AF19</f>
        <v>2125.7370000000001</v>
      </c>
      <c r="AG20" s="4">
        <f t="shared" ref="AG20" si="51">+AG18+AG19</f>
        <v>1047.2193912500002</v>
      </c>
      <c r="AH20" s="4">
        <f t="shared" ref="AH20" si="52">+AH18+AH19</f>
        <v>1103.0094795625</v>
      </c>
      <c r="AI20" s="4">
        <f t="shared" ref="AI20" si="53">+AI18+AI19</f>
        <v>1131.6391856753753</v>
      </c>
      <c r="AJ20" s="4">
        <f t="shared" ref="AJ20" si="54">+AJ18+AJ19</f>
        <v>1065.8243226400814</v>
      </c>
      <c r="AK20" s="4">
        <f t="shared" ref="AK20" si="55">+AK18+AK19</f>
        <v>1030.036603398813</v>
      </c>
      <c r="AL20" s="4">
        <f t="shared" ref="AL20" si="56">+AL18+AL19</f>
        <v>1013.1745840159549</v>
      </c>
      <c r="AM20" s="4">
        <f t="shared" ref="AM20" si="57">+AM18+AM19</f>
        <v>1011.2113329289836</v>
      </c>
      <c r="AN20" s="4">
        <f t="shared" ref="AN20" si="58">+AN18+AN19</f>
        <v>1020.07168633648</v>
      </c>
      <c r="AO20" s="4">
        <f t="shared" ref="AO20" si="59">+AO18+AO19</f>
        <v>720.53206117909224</v>
      </c>
      <c r="AP20" s="4">
        <f t="shared" ref="AP20" si="60">+AP18+AP19</f>
        <v>483.2333151330825</v>
      </c>
      <c r="AQ20" s="4">
        <f t="shared" ref="AQ20" si="61">+AQ18+AQ19</f>
        <v>433.38951696789445</v>
      </c>
    </row>
    <row r="21" spans="2:106" s="3" customFormat="1" x14ac:dyDescent="0.15">
      <c r="B21" s="3" t="s">
        <v>35</v>
      </c>
      <c r="C21" s="4"/>
      <c r="D21" s="4"/>
      <c r="E21" s="4"/>
      <c r="F21" s="4">
        <f>+F17-F20</f>
        <v>307.87299999999993</v>
      </c>
      <c r="G21" s="4">
        <f>+G17-G20</f>
        <v>273.05799999999999</v>
      </c>
      <c r="H21" s="4">
        <f>+H17-H20</f>
        <v>313.62</v>
      </c>
      <c r="I21" s="4">
        <f>+I17-I20</f>
        <v>376.221</v>
      </c>
      <c r="J21" s="4">
        <f t="shared" ref="J21:M21" si="62">+J17-J20</f>
        <v>369.86399999999998</v>
      </c>
      <c r="K21" s="4">
        <f t="shared" si="62"/>
        <v>390.35499999999996</v>
      </c>
      <c r="L21" s="4">
        <f t="shared" si="62"/>
        <v>474.42100000000005</v>
      </c>
      <c r="M21" s="4">
        <f t="shared" si="62"/>
        <v>488.00000000000006</v>
      </c>
      <c r="N21" s="4">
        <f t="shared" ref="N21" si="63">+N17-N20</f>
        <v>398.86900000000003</v>
      </c>
      <c r="O21" s="4">
        <f t="shared" ref="O21" si="64">+O17-O20</f>
        <v>393.65100000000007</v>
      </c>
      <c r="P21" s="4">
        <f t="shared" ref="P21" si="65">+P17-P20</f>
        <v>390.88999999999987</v>
      </c>
      <c r="Q21" s="4">
        <f t="shared" ref="Q21" si="66">+Q17-Q20</f>
        <v>327.28499999999997</v>
      </c>
      <c r="R21" s="4">
        <f t="shared" ref="R21:S21" si="67">+R17-R20</f>
        <v>439.06999999999994</v>
      </c>
      <c r="S21" s="4">
        <f t="shared" si="67"/>
        <v>231.93700000000024</v>
      </c>
      <c r="T21" s="4">
        <f>+T17-T20</f>
        <v>444.5630000000001</v>
      </c>
      <c r="U21" s="4">
        <f t="shared" ref="U21:V21" si="68">+U17-U20</f>
        <v>381.90985900000032</v>
      </c>
      <c r="V21" s="4">
        <f t="shared" si="68"/>
        <v>481.05536100000006</v>
      </c>
      <c r="Z21" s="4">
        <f t="shared" ref="Z21:AC21" si="69">+Z17-Z20</f>
        <v>859.2320000000002</v>
      </c>
      <c r="AA21" s="4">
        <f t="shared" si="69"/>
        <v>997.16299999999978</v>
      </c>
      <c r="AB21" s="4">
        <f t="shared" si="69"/>
        <v>1027.0420000000001</v>
      </c>
      <c r="AC21" s="4">
        <f t="shared" ref="AC21" si="70">+AC17-AC20</f>
        <v>1332.7629999999999</v>
      </c>
      <c r="AD21" s="4">
        <f t="shared" ref="AD21:AE21" si="71">+AD17-AD20</f>
        <v>1751.6449999999998</v>
      </c>
      <c r="AE21" s="4">
        <f t="shared" si="71"/>
        <v>2352.3420000000006</v>
      </c>
      <c r="AF21" s="4">
        <f t="shared" ref="AF21" si="72">+AF17-AF20</f>
        <v>1559.46522</v>
      </c>
      <c r="AG21" s="4">
        <f t="shared" ref="AG21" si="73">+AG17-AG20</f>
        <v>2890.3255198500005</v>
      </c>
      <c r="AH21" s="4">
        <f t="shared" ref="AH21" si="74">+AH17-AH20</f>
        <v>3044.3061635924996</v>
      </c>
      <c r="AI21" s="4">
        <f t="shared" ref="AI21" si="75">+AI17-AI20</f>
        <v>3123.3241524640362</v>
      </c>
      <c r="AJ21" s="4">
        <f t="shared" ref="AJ21" si="76">+AJ17-AJ20</f>
        <v>2941.6751304866248</v>
      </c>
      <c r="AK21" s="4">
        <f t="shared" ref="AK21" si="77">+AK17-AK20</f>
        <v>2842.9010253807237</v>
      </c>
      <c r="AL21" s="4">
        <f t="shared" ref="AL21" si="78">+AL17-AL20</f>
        <v>2796.3618518840358</v>
      </c>
      <c r="AM21" s="4">
        <f t="shared" ref="AM21" si="79">+AM17-AM20</f>
        <v>2790.9432788839945</v>
      </c>
      <c r="AN21" s="4">
        <f t="shared" ref="AN21" si="80">+AN17-AN20</f>
        <v>2815.3978542886848</v>
      </c>
      <c r="AO21" s="4">
        <f t="shared" ref="AO21" si="81">+AO17-AO20</f>
        <v>1988.6684888542945</v>
      </c>
      <c r="AP21" s="4">
        <f t="shared" ref="AP21" si="82">+AP17-AP20</f>
        <v>1333.7239497673077</v>
      </c>
      <c r="AQ21" s="4">
        <f t="shared" ref="AQ21" si="83">+AQ17-AQ20</f>
        <v>1196.1550668313887</v>
      </c>
    </row>
    <row r="22" spans="2:106" s="3" customFormat="1" x14ac:dyDescent="0.15">
      <c r="B22" s="3" t="s">
        <v>36</v>
      </c>
      <c r="C22" s="4"/>
      <c r="D22" s="4"/>
      <c r="E22" s="4"/>
      <c r="F22" s="4">
        <v>-11.526999999999999</v>
      </c>
      <c r="G22" s="4">
        <v>-11.688000000000001</v>
      </c>
      <c r="H22" s="4">
        <v>-47.097999999999999</v>
      </c>
      <c r="I22" s="4">
        <v>-65.326999999999998</v>
      </c>
      <c r="J22" s="4">
        <v>-61.997999999999998</v>
      </c>
      <c r="K22" s="4">
        <v>-58.515999999999998</v>
      </c>
      <c r="L22" s="4">
        <v>-57.616999999999997</v>
      </c>
      <c r="M22" s="4">
        <v>-65.981999999999999</v>
      </c>
      <c r="N22" s="4">
        <v>-74.125</v>
      </c>
      <c r="O22" s="4">
        <v>-74.147000000000006</v>
      </c>
      <c r="P22" s="4">
        <v>-73.47</v>
      </c>
      <c r="Q22" s="3">
        <v>-71.497</v>
      </c>
      <c r="R22" s="3">
        <v>-70.323999999999998</v>
      </c>
      <c r="S22" s="3">
        <v>-66.116</v>
      </c>
      <c r="T22" s="3">
        <v>-62.023000000000003</v>
      </c>
      <c r="U22" s="3">
        <f>+T22+2</f>
        <v>-60.023000000000003</v>
      </c>
      <c r="V22" s="3">
        <f>+U22+2</f>
        <v>-58.023000000000003</v>
      </c>
      <c r="Z22" s="3">
        <v>-78.5</v>
      </c>
      <c r="AA22" s="3">
        <v>-72.260999999999996</v>
      </c>
      <c r="AB22" s="3">
        <v>-99.706999999999994</v>
      </c>
      <c r="AC22" s="3">
        <f t="shared" ref="AC22:AC24" si="84">SUM(G22:J22)</f>
        <v>-186.11099999999999</v>
      </c>
      <c r="AD22" s="3">
        <f t="shared" ref="AD22:AD24" si="85">SUM(K22:N22)</f>
        <v>-256.24</v>
      </c>
      <c r="AE22" s="3">
        <f t="shared" ref="AE22:AE24" si="86">SUM(O22:R22)</f>
        <v>-289.43800000000005</v>
      </c>
      <c r="AF22" s="3">
        <f>SUM(S22:V22)</f>
        <v>-246.185</v>
      </c>
      <c r="AG22" s="3">
        <f>+AF36*0.05</f>
        <v>60.179964900000009</v>
      </c>
      <c r="AH22" s="3">
        <f t="shared" ref="AH22:AQ22" si="87">+AG36*$AT$32</f>
        <v>77.181084685500011</v>
      </c>
      <c r="AI22" s="3">
        <f t="shared" si="87"/>
        <v>133.36785515450399</v>
      </c>
      <c r="AJ22" s="3">
        <f t="shared" si="87"/>
        <v>191.98831129163773</v>
      </c>
      <c r="AK22" s="3">
        <f t="shared" si="87"/>
        <v>248.39425324364646</v>
      </c>
      <c r="AL22" s="3">
        <f t="shared" si="87"/>
        <v>304.03756825888513</v>
      </c>
      <c r="AM22" s="3">
        <f t="shared" si="87"/>
        <v>359.84475782145768</v>
      </c>
      <c r="AN22" s="3">
        <f t="shared" si="87"/>
        <v>416.55894248215583</v>
      </c>
      <c r="AO22" s="3">
        <f t="shared" si="87"/>
        <v>474.73416482403098</v>
      </c>
      <c r="AP22" s="3">
        <f t="shared" si="87"/>
        <v>519.07541259024083</v>
      </c>
      <c r="AQ22" s="3">
        <f t="shared" si="87"/>
        <v>552.42580111267671</v>
      </c>
    </row>
    <row r="23" spans="2:106" s="3" customFormat="1" x14ac:dyDescent="0.15">
      <c r="B23" s="3" t="s">
        <v>37</v>
      </c>
      <c r="C23" s="4"/>
      <c r="D23" s="4"/>
      <c r="E23" s="4"/>
      <c r="F23" s="4">
        <f t="shared" ref="F23:L23" si="88">+F21+F22</f>
        <v>296.34599999999995</v>
      </c>
      <c r="G23" s="4">
        <f t="shared" si="88"/>
        <v>261.37</v>
      </c>
      <c r="H23" s="4">
        <f t="shared" si="88"/>
        <v>266.52199999999999</v>
      </c>
      <c r="I23" s="4">
        <f t="shared" si="88"/>
        <v>310.89400000000001</v>
      </c>
      <c r="J23" s="4">
        <f t="shared" si="88"/>
        <v>307.86599999999999</v>
      </c>
      <c r="K23" s="4">
        <f t="shared" si="88"/>
        <v>331.83899999999994</v>
      </c>
      <c r="L23" s="4">
        <f t="shared" si="88"/>
        <v>416.80400000000003</v>
      </c>
      <c r="M23" s="4">
        <f>+M21+M22</f>
        <v>422.01800000000003</v>
      </c>
      <c r="N23" s="4">
        <f t="shared" ref="N23:V23" si="89">+N21+N22</f>
        <v>324.74400000000003</v>
      </c>
      <c r="O23" s="4">
        <f t="shared" si="89"/>
        <v>319.50400000000008</v>
      </c>
      <c r="P23" s="4">
        <f t="shared" si="89"/>
        <v>317.41999999999985</v>
      </c>
      <c r="Q23" s="4">
        <f t="shared" si="89"/>
        <v>255.78799999999995</v>
      </c>
      <c r="R23" s="4">
        <f t="shared" si="89"/>
        <v>368.74599999999992</v>
      </c>
      <c r="S23" s="4">
        <f t="shared" si="89"/>
        <v>165.82100000000025</v>
      </c>
      <c r="T23" s="4">
        <f t="shared" si="89"/>
        <v>382.54000000000008</v>
      </c>
      <c r="U23" s="4">
        <f t="shared" si="89"/>
        <v>321.8868590000003</v>
      </c>
      <c r="V23" s="4">
        <f t="shared" si="89"/>
        <v>423.03236100000004</v>
      </c>
      <c r="Z23" s="4">
        <f t="shared" ref="Z23:AC23" si="90">+Z21+Z22</f>
        <v>780.7320000000002</v>
      </c>
      <c r="AA23" s="4">
        <f t="shared" si="90"/>
        <v>924.90199999999982</v>
      </c>
      <c r="AB23" s="4">
        <f t="shared" si="90"/>
        <v>927.33500000000015</v>
      </c>
      <c r="AC23" s="4">
        <f t="shared" ref="AC23:AE23" si="91">+AC21+AC22</f>
        <v>1146.652</v>
      </c>
      <c r="AD23" s="4">
        <f t="shared" si="91"/>
        <v>1495.4049999999997</v>
      </c>
      <c r="AE23" s="4">
        <f t="shared" si="91"/>
        <v>2062.9040000000005</v>
      </c>
      <c r="AF23" s="4">
        <f t="shared" ref="AF23" si="92">+AF21+AF22</f>
        <v>1313.2802200000001</v>
      </c>
      <c r="AG23" s="4">
        <f t="shared" ref="AG23" si="93">+AG21+AG22</f>
        <v>2950.5054847500005</v>
      </c>
      <c r="AH23" s="4">
        <f t="shared" ref="AH23" si="94">+AH21+AH22</f>
        <v>3121.4872482779997</v>
      </c>
      <c r="AI23" s="4">
        <f t="shared" ref="AI23" si="95">+AI21+AI22</f>
        <v>3256.6920076185402</v>
      </c>
      <c r="AJ23" s="4">
        <f t="shared" ref="AJ23" si="96">+AJ21+AJ22</f>
        <v>3133.6634417782625</v>
      </c>
      <c r="AK23" s="4">
        <f t="shared" ref="AK23" si="97">+AK21+AK22</f>
        <v>3091.29527862437</v>
      </c>
      <c r="AL23" s="4">
        <f t="shared" ref="AL23" si="98">+AL21+AL22</f>
        <v>3100.3994201429209</v>
      </c>
      <c r="AM23" s="4">
        <f t="shared" ref="AM23" si="99">+AM21+AM22</f>
        <v>3150.7880367054522</v>
      </c>
      <c r="AN23" s="4">
        <f t="shared" ref="AN23" si="100">+AN21+AN22</f>
        <v>3231.9567967708408</v>
      </c>
      <c r="AO23" s="4">
        <f t="shared" ref="AO23" si="101">+AO21+AO22</f>
        <v>2463.4026536783254</v>
      </c>
      <c r="AP23" s="4">
        <f t="shared" ref="AP23" si="102">+AP21+AP22</f>
        <v>1852.7993623575485</v>
      </c>
      <c r="AQ23" s="4">
        <f t="shared" ref="AQ23" si="103">+AQ21+AQ22</f>
        <v>1748.5808679440654</v>
      </c>
    </row>
    <row r="24" spans="2:106" s="3" customFormat="1" x14ac:dyDescent="0.15">
      <c r="B24" s="3" t="s">
        <v>38</v>
      </c>
      <c r="C24" s="4"/>
      <c r="D24" s="4"/>
      <c r="E24" s="4"/>
      <c r="F24" s="4">
        <v>29.968</v>
      </c>
      <c r="G24" s="4">
        <v>37.658999999999999</v>
      </c>
      <c r="H24" s="4">
        <v>30.262</v>
      </c>
      <c r="I24" s="4">
        <v>43.588999999999999</v>
      </c>
      <c r="J24" s="4">
        <v>37.253999999999998</v>
      </c>
      <c r="K24" s="4">
        <v>55.222999999999999</v>
      </c>
      <c r="L24" s="4">
        <v>38.387</v>
      </c>
      <c r="M24" s="4">
        <v>44.386000000000003</v>
      </c>
      <c r="N24" s="4">
        <v>0</v>
      </c>
      <c r="O24" s="4">
        <v>40.197000000000003</v>
      </c>
      <c r="P24" s="4">
        <v>24.323</v>
      </c>
      <c r="Q24" s="4">
        <v>47.176000000000002</v>
      </c>
      <c r="R24" s="4">
        <v>33.088999999999999</v>
      </c>
      <c r="S24" s="4">
        <v>11.669</v>
      </c>
      <c r="T24" s="4">
        <v>23.52</v>
      </c>
      <c r="U24" s="4">
        <f>+U23*0.1</f>
        <v>32.188685900000031</v>
      </c>
      <c r="V24" s="4">
        <f>+V23*0.1</f>
        <v>42.303236100000007</v>
      </c>
      <c r="Z24" s="3">
        <v>80.162000000000006</v>
      </c>
      <c r="AA24" s="3">
        <v>-73.153999999999996</v>
      </c>
      <c r="AB24" s="3">
        <v>33.517000000000003</v>
      </c>
      <c r="AC24" s="3">
        <f t="shared" si="84"/>
        <v>148.76399999999998</v>
      </c>
      <c r="AD24" s="3">
        <f t="shared" si="85"/>
        <v>137.99600000000001</v>
      </c>
      <c r="AE24" s="3">
        <f t="shared" si="86"/>
        <v>144.78500000000003</v>
      </c>
      <c r="AF24" s="3">
        <f>SUM(S24:V24)</f>
        <v>109.68092200000004</v>
      </c>
      <c r="AG24" s="3">
        <f t="shared" ref="AG24:AQ24" si="104">+AG23*0.1</f>
        <v>295.05054847500008</v>
      </c>
      <c r="AH24" s="3">
        <f t="shared" si="104"/>
        <v>312.14872482779998</v>
      </c>
      <c r="AI24" s="3">
        <f t="shared" si="104"/>
        <v>325.66920076185403</v>
      </c>
      <c r="AJ24" s="3">
        <f t="shared" si="104"/>
        <v>313.36634417782625</v>
      </c>
      <c r="AK24" s="3">
        <f t="shared" si="104"/>
        <v>309.12952786243704</v>
      </c>
      <c r="AL24" s="3">
        <f t="shared" si="104"/>
        <v>310.03994201429214</v>
      </c>
      <c r="AM24" s="3">
        <f t="shared" si="104"/>
        <v>315.07880367054526</v>
      </c>
      <c r="AN24" s="3">
        <f t="shared" si="104"/>
        <v>323.19567967708412</v>
      </c>
      <c r="AO24" s="3">
        <f t="shared" si="104"/>
        <v>246.34026536783256</v>
      </c>
      <c r="AP24" s="3">
        <f t="shared" si="104"/>
        <v>185.27993623575486</v>
      </c>
      <c r="AQ24" s="3">
        <f t="shared" si="104"/>
        <v>174.85808679440655</v>
      </c>
    </row>
    <row r="25" spans="2:106" s="3" customFormat="1" x14ac:dyDescent="0.15">
      <c r="B25" s="3" t="s">
        <v>39</v>
      </c>
      <c r="C25" s="4"/>
      <c r="D25" s="4"/>
      <c r="E25" s="4"/>
      <c r="F25" s="4">
        <f t="shared" ref="F25:L25" si="105">+F23-F24</f>
        <v>266.37799999999993</v>
      </c>
      <c r="G25" s="4">
        <f t="shared" si="105"/>
        <v>223.71100000000001</v>
      </c>
      <c r="H25" s="4">
        <f t="shared" si="105"/>
        <v>236.26</v>
      </c>
      <c r="I25" s="4">
        <f t="shared" si="105"/>
        <v>267.30500000000001</v>
      </c>
      <c r="J25" s="4">
        <f t="shared" si="105"/>
        <v>270.61199999999997</v>
      </c>
      <c r="K25" s="4">
        <f t="shared" si="105"/>
        <v>276.61599999999993</v>
      </c>
      <c r="L25" s="4">
        <f t="shared" si="105"/>
        <v>378.41700000000003</v>
      </c>
      <c r="M25" s="4">
        <f>+M23-M24</f>
        <v>377.63200000000001</v>
      </c>
      <c r="N25" s="4">
        <f>+N23-N24</f>
        <v>324.74400000000003</v>
      </c>
      <c r="O25" s="4">
        <f t="shared" ref="O25:V25" si="106">+O23-O24</f>
        <v>279.30700000000007</v>
      </c>
      <c r="P25" s="4">
        <f t="shared" si="106"/>
        <v>293.09699999999987</v>
      </c>
      <c r="Q25" s="4">
        <f t="shared" si="106"/>
        <v>208.61199999999997</v>
      </c>
      <c r="R25" s="4">
        <f t="shared" si="106"/>
        <v>335.65699999999993</v>
      </c>
      <c r="S25" s="4">
        <f t="shared" si="106"/>
        <v>154.15200000000024</v>
      </c>
      <c r="T25" s="4">
        <f t="shared" si="106"/>
        <v>359.0200000000001</v>
      </c>
      <c r="U25" s="4">
        <f t="shared" si="106"/>
        <v>289.69817310000025</v>
      </c>
      <c r="V25" s="4">
        <f t="shared" si="106"/>
        <v>380.72912490000004</v>
      </c>
      <c r="Z25" s="4">
        <f t="shared" ref="Z25:AC25" si="107">+Z23-Z24</f>
        <v>700.57000000000016</v>
      </c>
      <c r="AA25" s="4">
        <f t="shared" si="107"/>
        <v>998.05599999999981</v>
      </c>
      <c r="AB25" s="4">
        <f t="shared" si="107"/>
        <v>893.8180000000001</v>
      </c>
      <c r="AC25" s="4">
        <f t="shared" ref="AC25:AF25" si="108">+AC23-AC24</f>
        <v>997.88800000000003</v>
      </c>
      <c r="AD25" s="4">
        <f t="shared" si="108"/>
        <v>1357.4089999999997</v>
      </c>
      <c r="AE25" s="4">
        <f t="shared" si="108"/>
        <v>1918.1190000000004</v>
      </c>
      <c r="AF25" s="4">
        <f t="shared" si="108"/>
        <v>1203.5992980000001</v>
      </c>
      <c r="AG25" s="4">
        <f t="shared" ref="AG25" si="109">+AG23-AG24</f>
        <v>2655.4549362750004</v>
      </c>
      <c r="AH25" s="4">
        <f t="shared" ref="AH25" si="110">+AH23-AH24</f>
        <v>2809.3385234501998</v>
      </c>
      <c r="AI25" s="4">
        <f t="shared" ref="AI25" si="111">+AI23-AI24</f>
        <v>2931.0228068566862</v>
      </c>
      <c r="AJ25" s="4">
        <f t="shared" ref="AJ25" si="112">+AJ23-AJ24</f>
        <v>2820.2970976004362</v>
      </c>
      <c r="AK25" s="4">
        <f t="shared" ref="AK25" si="113">+AK23-AK24</f>
        <v>2782.1657507619329</v>
      </c>
      <c r="AL25" s="4">
        <f t="shared" ref="AL25" si="114">+AL23-AL24</f>
        <v>2790.3594781286288</v>
      </c>
      <c r="AM25" s="4">
        <f t="shared" ref="AM25" si="115">+AM23-AM24</f>
        <v>2835.7092330349069</v>
      </c>
      <c r="AN25" s="4">
        <f t="shared" ref="AN25" si="116">+AN23-AN24</f>
        <v>2908.7611170937566</v>
      </c>
      <c r="AO25" s="4">
        <f t="shared" ref="AO25" si="117">+AO23-AO24</f>
        <v>2217.0623883104927</v>
      </c>
      <c r="AP25" s="4">
        <f t="shared" ref="AP25" si="118">+AP23-AP24</f>
        <v>1667.5194261217937</v>
      </c>
      <c r="AQ25" s="4">
        <f t="shared" ref="AQ25" si="119">+AQ23-AQ24</f>
        <v>1573.7227811496589</v>
      </c>
      <c r="AR25" s="3">
        <f t="shared" ref="AR25:BW25" si="120">+AQ25*(1+$AT$31)</f>
        <v>1495.036642092176</v>
      </c>
      <c r="AS25" s="3">
        <f t="shared" si="120"/>
        <v>1420.2848099875671</v>
      </c>
      <c r="AT25" s="3">
        <f t="shared" si="120"/>
        <v>1349.2705694881886</v>
      </c>
      <c r="AU25" s="3">
        <f t="shared" si="120"/>
        <v>1281.8070410137791</v>
      </c>
      <c r="AV25" s="3">
        <f t="shared" si="120"/>
        <v>1217.7166889630901</v>
      </c>
      <c r="AW25" s="3">
        <f t="shared" si="120"/>
        <v>1156.8308545149355</v>
      </c>
      <c r="AX25" s="3">
        <f t="shared" si="120"/>
        <v>1098.9893117891886</v>
      </c>
      <c r="AY25" s="3">
        <f t="shared" si="120"/>
        <v>1044.039846199729</v>
      </c>
      <c r="AZ25" s="3">
        <f t="shared" si="120"/>
        <v>991.83785388974252</v>
      </c>
      <c r="BA25" s="3">
        <f t="shared" si="120"/>
        <v>942.2459611952554</v>
      </c>
      <c r="BB25" s="3">
        <f t="shared" si="120"/>
        <v>895.13366313549261</v>
      </c>
      <c r="BC25" s="3">
        <f t="shared" si="120"/>
        <v>850.37697997871794</v>
      </c>
      <c r="BD25" s="3">
        <f t="shared" si="120"/>
        <v>807.858130979782</v>
      </c>
      <c r="BE25" s="3">
        <f t="shared" si="120"/>
        <v>767.46522443079289</v>
      </c>
      <c r="BF25" s="3">
        <f t="shared" si="120"/>
        <v>729.09196320925321</v>
      </c>
      <c r="BG25" s="3">
        <f t="shared" si="120"/>
        <v>692.63736504879057</v>
      </c>
      <c r="BH25" s="3">
        <f t="shared" si="120"/>
        <v>658.00549679635105</v>
      </c>
      <c r="BI25" s="3">
        <f t="shared" si="120"/>
        <v>625.10522195653346</v>
      </c>
      <c r="BJ25" s="3">
        <f t="shared" si="120"/>
        <v>593.84996085870671</v>
      </c>
      <c r="BK25" s="3">
        <f t="shared" si="120"/>
        <v>564.1574628157714</v>
      </c>
      <c r="BL25" s="3">
        <f t="shared" si="120"/>
        <v>535.9495896749828</v>
      </c>
      <c r="BM25" s="3">
        <f t="shared" si="120"/>
        <v>509.15211019123365</v>
      </c>
      <c r="BN25" s="3">
        <f t="shared" si="120"/>
        <v>483.69450468167196</v>
      </c>
      <c r="BO25" s="3">
        <f t="shared" si="120"/>
        <v>459.50977944758836</v>
      </c>
      <c r="BP25" s="3">
        <f t="shared" si="120"/>
        <v>436.53429047520893</v>
      </c>
      <c r="BQ25" s="3">
        <f t="shared" si="120"/>
        <v>414.70757595144846</v>
      </c>
      <c r="BR25" s="3">
        <f t="shared" si="120"/>
        <v>393.97219715387604</v>
      </c>
      <c r="BS25" s="3">
        <f t="shared" si="120"/>
        <v>374.2735872961822</v>
      </c>
      <c r="BT25" s="3">
        <f t="shared" si="120"/>
        <v>355.55990793137306</v>
      </c>
      <c r="BU25" s="3">
        <f t="shared" si="120"/>
        <v>337.78191253480441</v>
      </c>
      <c r="BV25" s="3">
        <f t="shared" si="120"/>
        <v>320.89281690806416</v>
      </c>
      <c r="BW25" s="3">
        <f t="shared" si="120"/>
        <v>304.84817606266091</v>
      </c>
      <c r="BX25" s="3">
        <f t="shared" ref="BX25:DB25" si="121">+BW25*(1+$AT$31)</f>
        <v>289.60576725952785</v>
      </c>
      <c r="BY25" s="3">
        <f t="shared" si="121"/>
        <v>275.12547889655144</v>
      </c>
      <c r="BZ25" s="3">
        <f t="shared" si="121"/>
        <v>261.36920495172387</v>
      </c>
      <c r="CA25" s="3">
        <f t="shared" si="121"/>
        <v>248.30074470413766</v>
      </c>
      <c r="CB25" s="3">
        <f t="shared" si="121"/>
        <v>235.88570746893078</v>
      </c>
      <c r="CC25" s="3">
        <f t="shared" si="121"/>
        <v>224.09142209548423</v>
      </c>
      <c r="CD25" s="3">
        <f t="shared" si="121"/>
        <v>212.88685099071</v>
      </c>
      <c r="CE25" s="3">
        <f t="shared" si="121"/>
        <v>202.24250844117449</v>
      </c>
      <c r="CF25" s="3">
        <f t="shared" si="121"/>
        <v>192.13038301911575</v>
      </c>
      <c r="CG25" s="3">
        <f t="shared" si="121"/>
        <v>182.52386386815996</v>
      </c>
      <c r="CH25" s="3">
        <f t="shared" si="121"/>
        <v>173.39767067475196</v>
      </c>
      <c r="CI25" s="3">
        <f t="shared" si="121"/>
        <v>164.72778714101435</v>
      </c>
      <c r="CJ25" s="3">
        <f t="shared" si="121"/>
        <v>156.49139778396363</v>
      </c>
      <c r="CK25" s="3">
        <f t="shared" si="121"/>
        <v>148.66682789476545</v>
      </c>
      <c r="CL25" s="3">
        <f t="shared" si="121"/>
        <v>141.23348650002717</v>
      </c>
      <c r="CM25" s="3">
        <f t="shared" si="121"/>
        <v>134.17181217502579</v>
      </c>
      <c r="CN25" s="3">
        <f t="shared" si="121"/>
        <v>127.4632215662745</v>
      </c>
      <c r="CO25" s="3">
        <f t="shared" si="121"/>
        <v>121.09006048796077</v>
      </c>
      <c r="CP25" s="3">
        <f t="shared" si="121"/>
        <v>115.03555746356272</v>
      </c>
      <c r="CQ25" s="3">
        <f t="shared" si="121"/>
        <v>109.28377959038458</v>
      </c>
      <c r="CR25" s="3">
        <f t="shared" si="121"/>
        <v>103.81959061086535</v>
      </c>
      <c r="CS25" s="3">
        <f t="shared" si="121"/>
        <v>98.628611080322074</v>
      </c>
      <c r="CT25" s="3">
        <f t="shared" si="121"/>
        <v>93.697180526305971</v>
      </c>
      <c r="CU25" s="3">
        <f t="shared" si="121"/>
        <v>89.012321499990662</v>
      </c>
      <c r="CV25" s="3">
        <f t="shared" si="121"/>
        <v>84.561705424991132</v>
      </c>
      <c r="CW25" s="3">
        <f t="shared" si="121"/>
        <v>80.333620153741577</v>
      </c>
      <c r="CX25" s="3">
        <f t="shared" si="121"/>
        <v>76.316939146054494</v>
      </c>
      <c r="CY25" s="3">
        <f t="shared" si="121"/>
        <v>72.50109218875177</v>
      </c>
      <c r="CZ25" s="3">
        <f t="shared" si="121"/>
        <v>68.876037579314172</v>
      </c>
      <c r="DA25" s="3">
        <f t="shared" si="121"/>
        <v>65.432235700348457</v>
      </c>
      <c r="DB25" s="3">
        <f t="shared" si="121"/>
        <v>62.16062391533103</v>
      </c>
    </row>
    <row r="26" spans="2:106" x14ac:dyDescent="0.15">
      <c r="B26" s="7" t="s">
        <v>40</v>
      </c>
      <c r="F26" s="9">
        <f t="shared" ref="F26:M26" si="122">+F25/F27</f>
        <v>4.6590758036869895</v>
      </c>
      <c r="G26" s="9">
        <f t="shared" si="122"/>
        <v>3.8311270186494957</v>
      </c>
      <c r="H26" s="9">
        <f t="shared" si="122"/>
        <v>3.9742295787915487</v>
      </c>
      <c r="I26" s="9">
        <f t="shared" si="122"/>
        <v>4.3617420533907714</v>
      </c>
      <c r="J26" s="9">
        <f t="shared" si="122"/>
        <v>4.3999804887566452</v>
      </c>
      <c r="K26" s="9">
        <f t="shared" si="122"/>
        <v>4.3972212949274319</v>
      </c>
      <c r="L26" s="9">
        <f t="shared" si="122"/>
        <v>5.9658053633081627</v>
      </c>
      <c r="M26" s="9">
        <f t="shared" si="122"/>
        <v>6.0146850362347699</v>
      </c>
      <c r="N26" s="9">
        <f t="shared" ref="N26:V26" si="123">+N25/N27</f>
        <v>5.1504155300386989</v>
      </c>
      <c r="O26" s="9">
        <f t="shared" si="123"/>
        <v>4.3989510819920001</v>
      </c>
      <c r="P26" s="9">
        <f t="shared" si="123"/>
        <v>3.9855452814794647</v>
      </c>
      <c r="Q26" s="9">
        <f t="shared" si="123"/>
        <v>2.926121779136801</v>
      </c>
      <c r="R26" s="9">
        <f t="shared" si="123"/>
        <v>4.8176050981011285</v>
      </c>
      <c r="S26" s="9">
        <f t="shared" si="123"/>
        <v>2.4649727361402087</v>
      </c>
      <c r="T26" s="9">
        <f t="shared" si="123"/>
        <v>5.1564811490125688</v>
      </c>
      <c r="U26" s="9">
        <f t="shared" si="123"/>
        <v>4.1608355202872565</v>
      </c>
      <c r="V26" s="9">
        <f t="shared" si="123"/>
        <v>5.468281865709157</v>
      </c>
      <c r="Z26" s="20">
        <f t="shared" ref="Z26:AB26" si="124">+Z25/Z27</f>
        <v>11.443295601182603</v>
      </c>
      <c r="AA26" s="20">
        <f t="shared" si="124"/>
        <v>17.342415291051257</v>
      </c>
      <c r="AB26" s="20">
        <f t="shared" si="124"/>
        <v>15.815029106286605</v>
      </c>
      <c r="AC26" s="20">
        <f>+AC25/AC27</f>
        <v>16.588061239755973</v>
      </c>
      <c r="AD26" s="20">
        <f>+AD25/AD27</f>
        <v>21.531222365420835</v>
      </c>
      <c r="AE26" s="20">
        <f>+AE25/AE27</f>
        <v>27.598834532374106</v>
      </c>
      <c r="AF26" s="20">
        <f t="shared" ref="AF26:AQ26" si="125">+AF25/AF27</f>
        <v>17.738335784711065</v>
      </c>
      <c r="AG26" s="20">
        <f t="shared" si="125"/>
        <v>39.135409433260136</v>
      </c>
      <c r="AH26" s="20">
        <f t="shared" si="125"/>
        <v>41.403306021107383</v>
      </c>
      <c r="AI26" s="20">
        <f t="shared" si="125"/>
        <v>43.196657581192959</v>
      </c>
      <c r="AJ26" s="20">
        <f t="shared" si="125"/>
        <v>41.564810658341351</v>
      </c>
      <c r="AK26" s="20">
        <f t="shared" si="125"/>
        <v>41.002840710977154</v>
      </c>
      <c r="AL26" s="20">
        <f t="shared" si="125"/>
        <v>41.123597749968731</v>
      </c>
      <c r="AM26" s="20">
        <f t="shared" si="125"/>
        <v>41.791950732243329</v>
      </c>
      <c r="AN26" s="20">
        <f t="shared" si="125"/>
        <v>42.868570543583282</v>
      </c>
      <c r="AO26" s="20">
        <f t="shared" si="125"/>
        <v>32.674493217845821</v>
      </c>
      <c r="AP26" s="20">
        <f t="shared" si="125"/>
        <v>24.575470887385869</v>
      </c>
      <c r="AQ26" s="20">
        <f t="shared" si="125"/>
        <v>23.193120144277461</v>
      </c>
    </row>
    <row r="27" spans="2:106" s="3" customFormat="1" x14ac:dyDescent="0.15">
      <c r="B27" s="3" t="s">
        <v>1</v>
      </c>
      <c r="C27" s="4"/>
      <c r="D27" s="4"/>
      <c r="E27" s="4"/>
      <c r="F27" s="4">
        <v>57.173999999999999</v>
      </c>
      <c r="G27" s="4">
        <v>58.393000000000001</v>
      </c>
      <c r="H27" s="4">
        <v>59.448</v>
      </c>
      <c r="I27" s="4">
        <v>61.283999999999999</v>
      </c>
      <c r="J27" s="4">
        <v>61.503</v>
      </c>
      <c r="K27" s="4">
        <v>62.906999999999996</v>
      </c>
      <c r="L27" s="4">
        <v>63.430999999999997</v>
      </c>
      <c r="M27" s="4">
        <v>62.784999999999997</v>
      </c>
      <c r="N27" s="4">
        <v>63.052</v>
      </c>
      <c r="O27" s="4">
        <v>63.494</v>
      </c>
      <c r="P27" s="4">
        <v>73.540000000000006</v>
      </c>
      <c r="Q27" s="4">
        <v>71.293000000000006</v>
      </c>
      <c r="R27" s="4">
        <v>69.673000000000002</v>
      </c>
      <c r="S27" s="4">
        <v>62.536999999999999</v>
      </c>
      <c r="T27" s="4">
        <v>69.625</v>
      </c>
      <c r="U27" s="4">
        <f>+T27</f>
        <v>69.625</v>
      </c>
      <c r="V27" s="4">
        <f>+U27</f>
        <v>69.625</v>
      </c>
      <c r="Z27" s="3">
        <v>61.220999999999997</v>
      </c>
      <c r="AA27" s="3">
        <v>57.55</v>
      </c>
      <c r="AB27" s="3">
        <v>56.517000000000003</v>
      </c>
      <c r="AC27" s="3">
        <f>AVERAGE(G27:J27)</f>
        <v>60.156999999999996</v>
      </c>
      <c r="AD27" s="3">
        <f>AVERAGE(K27:N27)</f>
        <v>63.043749999999996</v>
      </c>
      <c r="AE27" s="3">
        <f>AVERAGE(O27:R27)</f>
        <v>69.5</v>
      </c>
      <c r="AF27" s="3">
        <f>AVERAGE(S27:V27)</f>
        <v>67.853000000000009</v>
      </c>
      <c r="AG27" s="3">
        <f t="shared" ref="AG27:AQ27" si="126">+AF27</f>
        <v>67.853000000000009</v>
      </c>
      <c r="AH27" s="3">
        <f t="shared" si="126"/>
        <v>67.853000000000009</v>
      </c>
      <c r="AI27" s="3">
        <f t="shared" si="126"/>
        <v>67.853000000000009</v>
      </c>
      <c r="AJ27" s="3">
        <f t="shared" si="126"/>
        <v>67.853000000000009</v>
      </c>
      <c r="AK27" s="3">
        <f t="shared" si="126"/>
        <v>67.853000000000009</v>
      </c>
      <c r="AL27" s="3">
        <f t="shared" si="126"/>
        <v>67.853000000000009</v>
      </c>
      <c r="AM27" s="3">
        <f t="shared" si="126"/>
        <v>67.853000000000009</v>
      </c>
      <c r="AN27" s="3">
        <f t="shared" si="126"/>
        <v>67.853000000000009</v>
      </c>
      <c r="AO27" s="3">
        <f t="shared" si="126"/>
        <v>67.853000000000009</v>
      </c>
      <c r="AP27" s="3">
        <f t="shared" si="126"/>
        <v>67.853000000000009</v>
      </c>
      <c r="AQ27" s="3">
        <f t="shared" si="126"/>
        <v>67.853000000000009</v>
      </c>
    </row>
    <row r="28" spans="2:106" s="1" customFormat="1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106" s="1" customFormat="1" x14ac:dyDescent="0.15">
      <c r="B29" s="1" t="s">
        <v>116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Y29" s="25">
        <f>Y15/X15-1</f>
        <v>8.4032544012195398E-2</v>
      </c>
      <c r="Z29" s="25">
        <f t="shared" ref="Z29:AQ29" si="127">Z15/Y15-1</f>
        <v>0.18079379342687263</v>
      </c>
      <c r="AA29" s="25">
        <f t="shared" si="127"/>
        <v>0.14323118563325177</v>
      </c>
      <c r="AB29" s="25">
        <f t="shared" si="127"/>
        <v>9.3352595407170336E-2</v>
      </c>
      <c r="AC29" s="25">
        <f t="shared" si="127"/>
        <v>0.30913911050543508</v>
      </c>
      <c r="AD29" s="25">
        <f t="shared" si="127"/>
        <v>0.18264141284542434</v>
      </c>
      <c r="AE29" s="25">
        <f t="shared" si="127"/>
        <v>4.7775931074550027E-2</v>
      </c>
      <c r="AF29" s="25">
        <f t="shared" si="127"/>
        <v>4.2370724145089911E-2</v>
      </c>
      <c r="AG29" s="25">
        <f t="shared" si="127"/>
        <v>4.8094025714458866E-2</v>
      </c>
      <c r="AH29" s="25">
        <f t="shared" si="127"/>
        <v>5.3274498905054424E-2</v>
      </c>
      <c r="AI29" s="25">
        <f t="shared" si="127"/>
        <v>2.5955992802737304E-2</v>
      </c>
      <c r="AJ29" s="25">
        <f t="shared" si="127"/>
        <v>-5.8158875963644552E-2</v>
      </c>
      <c r="AK29" s="25">
        <f t="shared" si="127"/>
        <v>-3.3577502859590491E-2</v>
      </c>
      <c r="AL29" s="25">
        <f t="shared" si="127"/>
        <v>-1.6370310848389691E-2</v>
      </c>
      <c r="AM29" s="25">
        <f t="shared" si="127"/>
        <v>-1.937722400407571E-3</v>
      </c>
      <c r="AN29" s="25">
        <f t="shared" si="127"/>
        <v>8.7621183811619208E-3</v>
      </c>
      <c r="AO29" s="25">
        <f t="shared" si="127"/>
        <v>-0.29364566154479244</v>
      </c>
      <c r="AP29" s="25">
        <f t="shared" si="127"/>
        <v>-0.32933821939538621</v>
      </c>
      <c r="AQ29" s="25">
        <f t="shared" si="127"/>
        <v>-0.10314644417978724</v>
      </c>
    </row>
    <row r="30" spans="2:106" s="1" customFormat="1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106" x14ac:dyDescent="0.15">
      <c r="B31" t="s">
        <v>72</v>
      </c>
      <c r="F31" s="19">
        <f t="shared" ref="F31:T31" si="128">+F17/F15</f>
        <v>0.92742784932616296</v>
      </c>
      <c r="G31" s="19">
        <f t="shared" si="128"/>
        <v>0.93713924563144668</v>
      </c>
      <c r="H31" s="19">
        <f t="shared" si="128"/>
        <v>0.93319331587327137</v>
      </c>
      <c r="I31" s="19">
        <f t="shared" si="128"/>
        <v>0.92975665630611559</v>
      </c>
      <c r="J31" s="19">
        <f t="shared" si="128"/>
        <v>0.93519795791603055</v>
      </c>
      <c r="K31" s="19">
        <f t="shared" si="128"/>
        <v>0.94075856466774233</v>
      </c>
      <c r="L31" s="19">
        <f t="shared" si="128"/>
        <v>0.94292394075109498</v>
      </c>
      <c r="M31" s="19">
        <f t="shared" si="128"/>
        <v>0.93929423421201474</v>
      </c>
      <c r="N31" s="19">
        <f t="shared" si="128"/>
        <v>0.9039360245565633</v>
      </c>
      <c r="O31" s="19">
        <f t="shared" si="128"/>
        <v>0.92750097444926816</v>
      </c>
      <c r="P31" s="19">
        <f t="shared" si="128"/>
        <v>0.89811420877306047</v>
      </c>
      <c r="Q31" s="19">
        <f t="shared" si="128"/>
        <v>0.89491945604542555</v>
      </c>
      <c r="R31" s="19">
        <f t="shared" si="128"/>
        <v>0.9296021977696195</v>
      </c>
      <c r="S31" s="19">
        <f t="shared" si="128"/>
        <v>0.89413658572279087</v>
      </c>
      <c r="T31" s="19">
        <f t="shared" si="128"/>
        <v>0.92927209239860331</v>
      </c>
      <c r="U31" s="19">
        <f t="shared" ref="U31:V31" si="129">+U17/U15</f>
        <v>0.93</v>
      </c>
      <c r="V31" s="19">
        <f t="shared" si="129"/>
        <v>0.93</v>
      </c>
      <c r="AA31" s="19">
        <f t="shared" ref="AA31:AQ31" si="130">+AA17/AA15</f>
        <v>0.9408213951496025</v>
      </c>
      <c r="AB31" s="19">
        <f t="shared" si="130"/>
        <v>0.93699480488600495</v>
      </c>
      <c r="AC31" s="19">
        <f t="shared" si="130"/>
        <v>0.9336182284620641</v>
      </c>
      <c r="AD31" s="19">
        <f t="shared" si="130"/>
        <v>0.93115215881186231</v>
      </c>
      <c r="AE31" s="19">
        <f t="shared" si="130"/>
        <v>0.91245744879510848</v>
      </c>
      <c r="AF31" s="19">
        <f t="shared" si="130"/>
        <v>0.92207002243372094</v>
      </c>
      <c r="AG31" s="19">
        <f t="shared" si="130"/>
        <v>0.94000000000000006</v>
      </c>
      <c r="AH31" s="19">
        <f t="shared" si="130"/>
        <v>0.94</v>
      </c>
      <c r="AI31" s="19">
        <f t="shared" si="130"/>
        <v>0.94000000000000006</v>
      </c>
      <c r="AJ31" s="19">
        <f t="shared" si="130"/>
        <v>0.94000000000000006</v>
      </c>
      <c r="AK31" s="19">
        <f t="shared" si="130"/>
        <v>0.94</v>
      </c>
      <c r="AL31" s="19">
        <f t="shared" si="130"/>
        <v>0.94000000000000006</v>
      </c>
      <c r="AM31" s="19">
        <f t="shared" si="130"/>
        <v>0.94</v>
      </c>
      <c r="AN31" s="19">
        <f t="shared" si="130"/>
        <v>0.94000000000000006</v>
      </c>
      <c r="AO31" s="19">
        <f t="shared" si="130"/>
        <v>0.94</v>
      </c>
      <c r="AP31" s="19">
        <f t="shared" si="130"/>
        <v>0.94</v>
      </c>
      <c r="AQ31" s="19">
        <f t="shared" si="130"/>
        <v>0.94000000000000006</v>
      </c>
      <c r="AS31" s="3" t="s">
        <v>108</v>
      </c>
      <c r="AT31" s="25">
        <v>-0.05</v>
      </c>
    </row>
    <row r="32" spans="2:106" x14ac:dyDescent="0.15">
      <c r="AS32" t="s">
        <v>107</v>
      </c>
      <c r="AT32" s="25">
        <v>0.02</v>
      </c>
    </row>
    <row r="33" spans="2:46" x14ac:dyDescent="0.15">
      <c r="B33" t="s">
        <v>109</v>
      </c>
      <c r="H33" s="19"/>
      <c r="I33" s="19"/>
      <c r="J33" s="19">
        <f t="shared" ref="J33:V33" si="131">SUM(J3:J4)/SUM(F3:F4)-1</f>
        <v>3.7157063340153451E-2</v>
      </c>
      <c r="K33" s="19">
        <f t="shared" si="131"/>
        <v>5.5019150002676653E-2</v>
      </c>
      <c r="L33" s="19">
        <f t="shared" si="131"/>
        <v>0.10057903854293482</v>
      </c>
      <c r="M33" s="19">
        <f t="shared" si="131"/>
        <v>0.11203181608875834</v>
      </c>
      <c r="N33" s="19">
        <f t="shared" si="131"/>
        <v>0.12188944442205352</v>
      </c>
      <c r="O33" s="19">
        <f t="shared" si="131"/>
        <v>5.1464907040733365E-2</v>
      </c>
      <c r="P33" s="19">
        <f t="shared" si="131"/>
        <v>-3.590671746827212E-2</v>
      </c>
      <c r="Q33" s="19">
        <f t="shared" si="131"/>
        <v>-0.10788026759119107</v>
      </c>
      <c r="R33" s="19">
        <f t="shared" si="131"/>
        <v>-0.160981697171381</v>
      </c>
      <c r="S33" s="19">
        <f t="shared" si="131"/>
        <v>-0.16749398430765239</v>
      </c>
      <c r="T33" s="19">
        <f t="shared" si="131"/>
        <v>-0.11449151096059706</v>
      </c>
      <c r="U33" s="19">
        <f t="shared" si="131"/>
        <v>-6.7361076141287279E-2</v>
      </c>
      <c r="V33" s="19">
        <f t="shared" si="131"/>
        <v>-2.8933835128678864E-2</v>
      </c>
      <c r="AD33" s="25">
        <f t="shared" ref="AD33:AQ33" si="132">SUM(AD3:AD4)/SUM(AC3:AC4)-1</f>
        <v>9.8688765422982438E-2</v>
      </c>
      <c r="AE33" s="25">
        <f t="shared" si="132"/>
        <v>-6.8812225917919134E-2</v>
      </c>
      <c r="AF33" s="25">
        <f t="shared" si="132"/>
        <v>-9.5319440366808283E-2</v>
      </c>
      <c r="AG33" s="25">
        <f t="shared" si="132"/>
        <v>1.0823189934478838E-2</v>
      </c>
      <c r="AH33" s="25">
        <f t="shared" si="132"/>
        <v>5.5889016519643953E-2</v>
      </c>
      <c r="AI33" s="25">
        <f t="shared" si="132"/>
        <v>3.0852595510650449E-2</v>
      </c>
      <c r="AJ33" s="25">
        <f t="shared" si="132"/>
        <v>4.071283102320522E-2</v>
      </c>
      <c r="AK33" s="25">
        <f t="shared" si="132"/>
        <v>4.5538073184096417E-2</v>
      </c>
      <c r="AL33" s="25">
        <f t="shared" si="132"/>
        <v>4.7866205482926416E-2</v>
      </c>
      <c r="AM33" s="25">
        <f t="shared" si="132"/>
        <v>4.8981838279587464E-2</v>
      </c>
      <c r="AN33" s="25">
        <f t="shared" si="132"/>
        <v>4.9514690491647473E-2</v>
      </c>
      <c r="AO33" s="25">
        <f t="shared" si="132"/>
        <v>-0.5</v>
      </c>
      <c r="AP33" s="25">
        <f t="shared" si="132"/>
        <v>-0.79987388729301201</v>
      </c>
      <c r="AQ33" s="25">
        <f t="shared" si="132"/>
        <v>-0.79968491691243537</v>
      </c>
      <c r="AS33" s="1" t="s">
        <v>105</v>
      </c>
      <c r="AT33" s="25">
        <v>0.08</v>
      </c>
    </row>
    <row r="34" spans="2:46" x14ac:dyDescent="0.15">
      <c r="AS34" t="s">
        <v>106</v>
      </c>
      <c r="AT34" s="1">
        <f>NPV(AT33,AE25:DB25)+Main!K5-Main!K6</f>
        <v>19342.774482845078</v>
      </c>
    </row>
    <row r="35" spans="2:46" x14ac:dyDescent="0.15">
      <c r="AT35" s="20">
        <f>+AT34/Main!K3</f>
        <v>313.22550706583445</v>
      </c>
    </row>
    <row r="36" spans="2:46" x14ac:dyDescent="0.15">
      <c r="B36" t="s">
        <v>110</v>
      </c>
      <c r="AE36" s="1">
        <f>+R28</f>
        <v>0</v>
      </c>
      <c r="AF36" s="1">
        <f t="shared" ref="AF36:AQ36" si="133">+AE36+AF25</f>
        <v>1203.5992980000001</v>
      </c>
      <c r="AG36" s="1">
        <f t="shared" si="133"/>
        <v>3859.0542342750005</v>
      </c>
      <c r="AH36" s="1">
        <f t="shared" si="133"/>
        <v>6668.3927577251998</v>
      </c>
      <c r="AI36" s="1">
        <f t="shared" si="133"/>
        <v>9599.4155645818864</v>
      </c>
      <c r="AJ36" s="1">
        <f t="shared" si="133"/>
        <v>12419.712662182323</v>
      </c>
      <c r="AK36" s="1">
        <f t="shared" si="133"/>
        <v>15201.878412944256</v>
      </c>
      <c r="AL36" s="1">
        <f t="shared" si="133"/>
        <v>17992.237891072884</v>
      </c>
      <c r="AM36" s="1">
        <f t="shared" si="133"/>
        <v>20827.947124107792</v>
      </c>
      <c r="AN36" s="1">
        <f t="shared" si="133"/>
        <v>23736.708241201548</v>
      </c>
      <c r="AO36" s="1">
        <f t="shared" si="133"/>
        <v>25953.770629512041</v>
      </c>
      <c r="AP36" s="1">
        <f t="shared" si="133"/>
        <v>27621.290055633835</v>
      </c>
      <c r="AQ36" s="1">
        <f t="shared" si="133"/>
        <v>29195.012836783495</v>
      </c>
    </row>
  </sheetData>
  <hyperlinks>
    <hyperlink ref="A1" location="Main!A1" display="Main" xr:uid="{6F2D3B94-EC42-45A9-97E1-D3E623B3FF8A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D8C-3D34-4DEF-904D-39A18D13C697}">
  <dimension ref="A1:C29"/>
  <sheetViews>
    <sheetView topLeftCell="A2" zoomScale="190" zoomScaleNormal="190" workbookViewId="0">
      <selection activeCell="C30" sqref="C30"/>
    </sheetView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8" t="s">
        <v>7</v>
      </c>
    </row>
    <row r="2" spans="1:3" x14ac:dyDescent="0.15">
      <c r="B2" t="s">
        <v>75</v>
      </c>
      <c r="C2" t="s">
        <v>22</v>
      </c>
    </row>
    <row r="3" spans="1:3" x14ac:dyDescent="0.15">
      <c r="B3" t="s">
        <v>86</v>
      </c>
      <c r="C3" t="s">
        <v>87</v>
      </c>
    </row>
    <row r="4" spans="1:3" x14ac:dyDescent="0.15">
      <c r="B4" t="s">
        <v>76</v>
      </c>
      <c r="C4" t="s">
        <v>77</v>
      </c>
    </row>
    <row r="5" spans="1:3" x14ac:dyDescent="0.15">
      <c r="C5" t="s">
        <v>78</v>
      </c>
    </row>
    <row r="6" spans="1:3" x14ac:dyDescent="0.15">
      <c r="C6" t="s">
        <v>79</v>
      </c>
    </row>
    <row r="7" spans="1:3" x14ac:dyDescent="0.15">
      <c r="C7" t="s">
        <v>80</v>
      </c>
    </row>
    <row r="8" spans="1:3" x14ac:dyDescent="0.15">
      <c r="C8" t="s">
        <v>81</v>
      </c>
    </row>
    <row r="9" spans="1:3" x14ac:dyDescent="0.15">
      <c r="C9" t="s">
        <v>82</v>
      </c>
    </row>
    <row r="10" spans="1:3" x14ac:dyDescent="0.15">
      <c r="C10" t="s">
        <v>83</v>
      </c>
    </row>
    <row r="11" spans="1:3" x14ac:dyDescent="0.15">
      <c r="C11" t="s">
        <v>84</v>
      </c>
    </row>
    <row r="12" spans="1:3" x14ac:dyDescent="0.15">
      <c r="C12" t="s">
        <v>85</v>
      </c>
    </row>
    <row r="13" spans="1:3" x14ac:dyDescent="0.15">
      <c r="C13" t="s">
        <v>88</v>
      </c>
    </row>
    <row r="14" spans="1:3" x14ac:dyDescent="0.15">
      <c r="C14" t="s">
        <v>89</v>
      </c>
    </row>
    <row r="15" spans="1:3" x14ac:dyDescent="0.15">
      <c r="C15" t="s">
        <v>90</v>
      </c>
    </row>
    <row r="16" spans="1:3" x14ac:dyDescent="0.15">
      <c r="C16" t="s">
        <v>91</v>
      </c>
    </row>
    <row r="17" spans="3:3" x14ac:dyDescent="0.15">
      <c r="C17" t="s">
        <v>92</v>
      </c>
    </row>
    <row r="18" spans="3:3" x14ac:dyDescent="0.15">
      <c r="C18" t="s">
        <v>93</v>
      </c>
    </row>
    <row r="19" spans="3:3" x14ac:dyDescent="0.15">
      <c r="C19" t="s">
        <v>94</v>
      </c>
    </row>
    <row r="20" spans="3:3" x14ac:dyDescent="0.15">
      <c r="C20" t="s">
        <v>95</v>
      </c>
    </row>
    <row r="21" spans="3:3" x14ac:dyDescent="0.15">
      <c r="C21" t="s">
        <v>96</v>
      </c>
    </row>
    <row r="22" spans="3:3" x14ac:dyDescent="0.15">
      <c r="C22" t="s">
        <v>97</v>
      </c>
    </row>
    <row r="23" spans="3:3" x14ac:dyDescent="0.15">
      <c r="C23" t="s">
        <v>98</v>
      </c>
    </row>
    <row r="24" spans="3:3" x14ac:dyDescent="0.15">
      <c r="C24" t="s">
        <v>99</v>
      </c>
    </row>
    <row r="25" spans="3:3" x14ac:dyDescent="0.15">
      <c r="C25" t="s">
        <v>100</v>
      </c>
    </row>
    <row r="26" spans="3:3" x14ac:dyDescent="0.15">
      <c r="C26" t="s">
        <v>101</v>
      </c>
    </row>
    <row r="27" spans="3:3" x14ac:dyDescent="0.15">
      <c r="C27" t="s">
        <v>102</v>
      </c>
    </row>
    <row r="28" spans="3:3" x14ac:dyDescent="0.15">
      <c r="C28" t="s">
        <v>103</v>
      </c>
    </row>
    <row r="29" spans="3:3" x14ac:dyDescent="0.15">
      <c r="C29" t="s">
        <v>104</v>
      </c>
    </row>
  </sheetData>
  <hyperlinks>
    <hyperlink ref="A1" location="Main!A1" display="Main" xr:uid="{2724D065-F033-4833-A2DC-365820F9E7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Epidiolex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2022-12-20T01:13:24Z</dcterms:created>
  <dcterms:modified xsi:type="dcterms:W3CDTF">2024-09-06T18:08:47Z</dcterms:modified>
</cp:coreProperties>
</file>