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3B5D998-E69E-4FDE-BB78-A3B73265781A}" xr6:coauthVersionLast="47" xr6:coauthVersionMax="47" xr10:uidLastSave="{00000000-0000-0000-0000-000000000000}"/>
  <bookViews>
    <workbookView xWindow="-25665" yWindow="510" windowWidth="25080" windowHeight="19755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Mounjaro-Zepbound" sheetId="30" r:id="rId5"/>
    <sheet name="GLP-1s" sheetId="33" r:id="rId6"/>
    <sheet name="Obesity" sheetId="34" r:id="rId7"/>
    <sheet name="Trulicity" sheetId="29" r:id="rId8"/>
    <sheet name="orforglipron" sheetId="43" r:id="rId9"/>
    <sheet name="retatrutide" sheetId="44" r:id="rId10"/>
    <sheet name="Omvoh" sheetId="37" r:id="rId11"/>
    <sheet name="Kisunla" sheetId="35" r:id="rId12"/>
    <sheet name="insulin efsitora" sheetId="38" r:id="rId13"/>
    <sheet name="imlunestrant" sheetId="40" r:id="rId14"/>
    <sheet name="Ebglyss" sheetId="36" r:id="rId15"/>
    <sheet name="Jayprica" sheetId="28" r:id="rId16"/>
    <sheet name="Verzenio" sheetId="31" r:id="rId17"/>
    <sheet name="muvalaplin" sheetId="41" r:id="rId18"/>
    <sheet name="Alimta" sheetId="10" r:id="rId19"/>
    <sheet name="Cymbalta" sheetId="4" r:id="rId20"/>
    <sheet name="Jardiance" sheetId="32" r:id="rId21"/>
    <sheet name="Forteo" sheetId="6" r:id="rId22"/>
    <sheet name="Strattera" sheetId="5" r:id="rId23"/>
    <sheet name="Cialis" sheetId="9" r:id="rId24"/>
    <sheet name="Evista" sheetId="7" r:id="rId25"/>
    <sheet name="Gemzar" sheetId="23" r:id="rId26"/>
    <sheet name="Zyprexa" sheetId="3" r:id="rId27"/>
    <sheet name="remternetug" sheetId="42" r:id="rId28"/>
    <sheet name="Exenatide" sheetId="11" r:id="rId29"/>
    <sheet name="Effient" sheetId="14" r:id="rId30"/>
    <sheet name="Enzastaurin" sheetId="15" r:id="rId31"/>
    <sheet name="Arzoxifene" sheetId="16" r:id="rId32"/>
    <sheet name="LY2062430" sheetId="26" r:id="rId33"/>
    <sheet name="LY2140023" sheetId="2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K85" i="2" l="1"/>
  <c r="FO37" i="2"/>
  <c r="FN37" i="2"/>
  <c r="FM37" i="2"/>
  <c r="DV73" i="2"/>
  <c r="DU73" i="2"/>
  <c r="DT73" i="2"/>
  <c r="DS73" i="2"/>
  <c r="DV83" i="2"/>
  <c r="DU83" i="2"/>
  <c r="DT83" i="2"/>
  <c r="DS83" i="2"/>
  <c r="FK83" i="2"/>
  <c r="FQ9" i="2"/>
  <c r="FR9" i="2" s="1"/>
  <c r="FP9" i="2"/>
  <c r="FV6" i="2"/>
  <c r="FU6" i="2"/>
  <c r="FT6" i="2"/>
  <c r="FS6" i="2"/>
  <c r="FQ3" i="2"/>
  <c r="FP3" i="2"/>
  <c r="FO3" i="2"/>
  <c r="FN3" i="2"/>
  <c r="FM3" i="2"/>
  <c r="FL3" i="2"/>
  <c r="FR6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7" i="2"/>
  <c r="DR6" i="2"/>
  <c r="DR23" i="2"/>
  <c r="DR20" i="2"/>
  <c r="DR19" i="2"/>
  <c r="DR16" i="2"/>
  <c r="DR15" i="2"/>
  <c r="DR14" i="2"/>
  <c r="DR12" i="2"/>
  <c r="DR11" i="2"/>
  <c r="DR5" i="2"/>
  <c r="FS9" i="2" l="1"/>
  <c r="FR3" i="2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S3" i="2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V77" i="2" s="1"/>
  <c r="DV79" i="2" s="1"/>
  <c r="DV81" i="2" s="1"/>
  <c r="DV82" i="2" s="1"/>
  <c r="DU76" i="2"/>
  <c r="DU77" i="2" s="1"/>
  <c r="DU79" i="2" s="1"/>
  <c r="DT76" i="2"/>
  <c r="DT77" i="2" s="1"/>
  <c r="DT79" i="2" s="1"/>
  <c r="DT81" i="2" s="1"/>
  <c r="DT82" i="2" s="1"/>
  <c r="DS76" i="2"/>
  <c r="DS77" i="2" s="1"/>
  <c r="DS79" i="2" s="1"/>
  <c r="DS81" i="2" s="1"/>
  <c r="DS82" i="2" s="1"/>
  <c r="DU81" i="2"/>
  <c r="DU82" i="2" s="1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K75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M88" i="2"/>
  <c r="DT14" i="2"/>
  <c r="DS71" i="2"/>
  <c r="DS85" i="2" s="1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FN11" i="2" l="1"/>
  <c r="FM89" i="2"/>
  <c r="FN12" i="2"/>
  <c r="FM90" i="2"/>
  <c r="FO6" i="2"/>
  <c r="FN88" i="2"/>
  <c r="DU14" i="2"/>
  <c r="DT71" i="2"/>
  <c r="DT85" i="2" s="1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FN17" i="2" l="1"/>
  <c r="FM18" i="2"/>
  <c r="FO12" i="2"/>
  <c r="FN90" i="2"/>
  <c r="FO11" i="2"/>
  <c r="FN89" i="2"/>
  <c r="FP6" i="2"/>
  <c r="FO88" i="2"/>
  <c r="DV14" i="2"/>
  <c r="DV71" i="2" s="1"/>
  <c r="DV85" i="2" s="1"/>
  <c r="DU71" i="2"/>
  <c r="DU85" i="2" s="1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FO17" i="2" l="1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R82" i="2" s="1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FP17" i="2" l="1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Q17" i="2" l="1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R17" i="2" l="1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U72" i="2"/>
  <c r="FV85" i="2"/>
  <c r="FT76" i="2"/>
  <c r="FT77" i="2" s="1"/>
  <c r="FT95" i="2"/>
  <c r="FM97" i="2"/>
  <c r="FM81" i="2"/>
  <c r="FE81" i="2"/>
  <c r="FE82" i="2" s="1"/>
  <c r="FF79" i="2"/>
  <c r="FB82" i="2"/>
  <c r="FB92" i="2" s="1"/>
  <c r="FV77" i="2" l="1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7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18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19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0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1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19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2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3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4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5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6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19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7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28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29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0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1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2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3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4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5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6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7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38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39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0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1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2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3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4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5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19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19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7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48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19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49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0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1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2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3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19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3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4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5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6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19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19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2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7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58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59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0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<sst xmlns="http://schemas.openxmlformats.org/spreadsheetml/2006/main" count="1727" uniqueCount="1155">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</sst>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G119" sqref="G119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38"/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987</v>
      </c>
      <c r="C6" s="38"/>
      <c r="D6" s="6"/>
      <c r="F6" s="40"/>
      <c r="G6" s="30"/>
      <c r="H6" s="6"/>
    </row>
    <row r="7" spans="1:10" x14ac:dyDescent="0.2">
      <c r="B7" s="38" t="s">
        <v>792</v>
      </c>
      <c r="C7" s="38" t="s">
        <v>793</v>
      </c>
      <c r="D7" s="37" t="s">
        <v>79</v>
      </c>
      <c r="F7" s="40"/>
      <c r="G7" s="30"/>
      <c r="H7" s="6"/>
    </row>
    <row r="8" spans="1:10" x14ac:dyDescent="0.2">
      <c r="B8" s="38" t="s">
        <v>758</v>
      </c>
      <c r="C8" s="38" t="s">
        <v>794</v>
      </c>
      <c r="D8" s="37" t="s">
        <v>795</v>
      </c>
      <c r="E8" s="38" t="s">
        <v>791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4" t="s">
        <v>547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>
        <v>12122750</v>
      </c>
      <c r="C3" s="38" t="s">
        <v>945</v>
      </c>
      <c r="D3" s="38" t="s">
        <v>943</v>
      </c>
      <c r="E3" s="38" t="s">
        <v>194</v>
      </c>
    </row>
    <row r="4" spans="1:5" x14ac:dyDescent="0.2">
      <c r="B4">
        <v>12115210</v>
      </c>
      <c r="C4" s="38" t="s">
        <v>946</v>
      </c>
      <c r="D4" s="38" t="s">
        <v>947</v>
      </c>
      <c r="E4" s="38" t="s">
        <v>948</v>
      </c>
    </row>
    <row r="5" spans="1:5" x14ac:dyDescent="0.2">
      <c r="B5">
        <v>12102610</v>
      </c>
      <c r="C5" s="38" t="s">
        <v>949</v>
      </c>
      <c r="D5" s="38" t="s">
        <v>950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952</v>
      </c>
      <c r="D7" s="38" t="s">
        <v>951</v>
      </c>
      <c r="E7" s="38" t="s">
        <v>956</v>
      </c>
    </row>
    <row r="8" spans="1:5" x14ac:dyDescent="0.2">
      <c r="B8">
        <v>12060356</v>
      </c>
      <c r="C8" s="110" t="s">
        <v>954</v>
      </c>
      <c r="D8" s="38" t="s">
        <v>955</v>
      </c>
      <c r="E8" s="38" t="s">
        <v>445</v>
      </c>
    </row>
    <row r="9" spans="1:5" x14ac:dyDescent="0.2">
      <c r="B9">
        <v>12059557</v>
      </c>
      <c r="C9" s="38" t="s">
        <v>957</v>
      </c>
    </row>
    <row r="10" spans="1:5" x14ac:dyDescent="0.2">
      <c r="B10">
        <v>12059452</v>
      </c>
      <c r="C10" s="38" t="s">
        <v>953</v>
      </c>
      <c r="D10" s="38" t="s">
        <v>117</v>
      </c>
    </row>
    <row r="11" spans="1:5" x14ac:dyDescent="0.2">
      <c r="B11">
        <v>12042634</v>
      </c>
      <c r="C11" s="110" t="s">
        <v>959</v>
      </c>
    </row>
    <row r="12" spans="1:5" x14ac:dyDescent="0.2">
      <c r="B12">
        <v>12037406</v>
      </c>
      <c r="C12" s="110" t="s">
        <v>958</v>
      </c>
    </row>
    <row r="13" spans="1:5" x14ac:dyDescent="0.2">
      <c r="B13">
        <v>12037387</v>
      </c>
      <c r="C13" s="110" t="s">
        <v>960</v>
      </c>
    </row>
    <row r="14" spans="1:5" x14ac:dyDescent="0.2">
      <c r="B14">
        <v>12037322</v>
      </c>
      <c r="C14" s="38" t="s">
        <v>961</v>
      </c>
    </row>
    <row r="15" spans="1:5" x14ac:dyDescent="0.2">
      <c r="B15">
        <v>12023470</v>
      </c>
      <c r="C15" s="38" t="s">
        <v>962</v>
      </c>
    </row>
    <row r="16" spans="1:5" x14ac:dyDescent="0.2">
      <c r="B16">
        <v>12011574</v>
      </c>
      <c r="C16" s="38" t="s">
        <v>963</v>
      </c>
    </row>
    <row r="17" spans="2:3" x14ac:dyDescent="0.2">
      <c r="B17">
        <v>12005235</v>
      </c>
      <c r="C17" s="38" t="s">
        <v>964</v>
      </c>
    </row>
    <row r="18" spans="2:3" x14ac:dyDescent="0.2">
      <c r="B18">
        <v>11999722</v>
      </c>
      <c r="C18" s="38" t="s">
        <v>965</v>
      </c>
    </row>
    <row r="19" spans="2:3" x14ac:dyDescent="0.2">
      <c r="B19">
        <v>11993608</v>
      </c>
      <c r="C19" s="38" t="s">
        <v>966</v>
      </c>
    </row>
    <row r="20" spans="2:3" x14ac:dyDescent="0.2">
      <c r="B20">
        <v>11976136</v>
      </c>
      <c r="C20" s="38" t="s">
        <v>967</v>
      </c>
    </row>
    <row r="21" spans="2:3" x14ac:dyDescent="0.2">
      <c r="B21">
        <v>11976114</v>
      </c>
      <c r="C21" s="38" t="s">
        <v>968</v>
      </c>
    </row>
    <row r="22" spans="2:3" x14ac:dyDescent="0.2">
      <c r="B22">
        <v>11970485</v>
      </c>
      <c r="C22" s="38" t="s">
        <v>969</v>
      </c>
    </row>
    <row r="23" spans="2:3" x14ac:dyDescent="0.2">
      <c r="B23">
        <v>11964968</v>
      </c>
      <c r="C23" s="38" t="s">
        <v>970</v>
      </c>
    </row>
    <row r="24" spans="2:3" x14ac:dyDescent="0.2">
      <c r="B24">
        <v>11957882</v>
      </c>
      <c r="C24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="130" zoomScaleNormal="130" workbookViewId="0">
      <selection activeCell="C43" sqref="C43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788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748060.76687199995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772461.76687199995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6"/>
      <c r="E26" s="11"/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5"/>
      <c r="I27" s="21" t="s">
        <v>1076</v>
      </c>
    </row>
    <row r="28" spans="2:9" x14ac:dyDescent="0.2">
      <c r="B28" s="14" t="s">
        <v>711</v>
      </c>
      <c r="C28" s="37" t="s">
        <v>712</v>
      </c>
      <c r="D28" s="37" t="s">
        <v>1139</v>
      </c>
      <c r="E28" s="40">
        <v>1</v>
      </c>
      <c r="F28" s="37" t="s">
        <v>47</v>
      </c>
      <c r="G28" s="115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12" t="s">
        <v>562</v>
      </c>
      <c r="C32" s="113" t="s">
        <v>518</v>
      </c>
      <c r="D32" s="113"/>
      <c r="E32" s="114"/>
      <c r="F32" s="113" t="s">
        <v>105</v>
      </c>
      <c r="G32" s="115"/>
      <c r="I32" s="16" t="s">
        <v>558</v>
      </c>
    </row>
    <row r="33" spans="2:9" x14ac:dyDescent="0.2">
      <c r="B33" s="36" t="s">
        <v>563</v>
      </c>
      <c r="C33" s="37" t="s">
        <v>518</v>
      </c>
      <c r="D33" s="6"/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6"/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6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6" t="s">
        <v>1104</v>
      </c>
      <c r="C56" s="37" t="s">
        <v>518</v>
      </c>
      <c r="D56" s="37" t="s">
        <v>1105</v>
      </c>
      <c r="E56" s="11"/>
      <c r="F56" s="37" t="s">
        <v>119</v>
      </c>
      <c r="G56" s="7"/>
    </row>
    <row r="57" spans="2:7" x14ac:dyDescent="0.2">
      <c r="B57" s="116"/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6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6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6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6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6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6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6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6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6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6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6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6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6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6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6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6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6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145" zoomScaleNormal="145" workbookViewId="0">
      <pane xSplit="2" ySplit="2" topLeftCell="FP76" activePane="bottomRight" state="frozen"/>
      <selection pane="topRight" activeCell="C1" sqref="C1"/>
      <selection pane="bottomLeft" activeCell="A3" sqref="A3"/>
      <selection pane="bottomRight" activeCell="FZ84" sqref="FZ84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7105.94</v>
      </c>
      <c r="DS3" s="52">
        <f t="shared" si="4"/>
        <v>7805.94</v>
      </c>
      <c r="DT3" s="52">
        <f t="shared" si="4"/>
        <v>8505.9399999999987</v>
      </c>
      <c r="DU3" s="52">
        <f t="shared" si="4"/>
        <v>9205.9399999999987</v>
      </c>
      <c r="DV3" s="52">
        <f t="shared" si="4"/>
        <v>9905.9399999999987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22137.640000000003</v>
      </c>
      <c r="FL3" s="56">
        <f>SUM(FL5:FL9)</f>
        <v>35423.759999999995</v>
      </c>
      <c r="FM3" s="56">
        <f t="shared" ref="FM3:FV3" si="6">SUM(FM5:FM9)</f>
        <v>47488.207999999999</v>
      </c>
      <c r="FN3" s="56">
        <f t="shared" si="6"/>
        <v>65699.446399999986</v>
      </c>
      <c r="FO3" s="56">
        <f t="shared" si="6"/>
        <v>82827.845119999984</v>
      </c>
      <c r="FP3" s="56">
        <f t="shared" si="6"/>
        <v>94693.735295999999</v>
      </c>
      <c r="FQ3" s="56">
        <f t="shared" si="6"/>
        <v>106879.59335679999</v>
      </c>
      <c r="FR3" s="56">
        <f t="shared" si="6"/>
        <v>108186.63537023999</v>
      </c>
      <c r="FS3" s="56">
        <f t="shared" si="6"/>
        <v>110435.15455475201</v>
      </c>
      <c r="FT3" s="56">
        <f t="shared" si="6"/>
        <v>113584.6850829696</v>
      </c>
      <c r="FU3" s="56">
        <f t="shared" si="6"/>
        <v>117605.88314873728</v>
      </c>
      <c r="FV3" s="56">
        <f t="shared" si="6"/>
        <v>115679.78085893672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+DN5*0.8</f>
        <v>1335.44</v>
      </c>
      <c r="DS5" s="52">
        <f>+DR5-100</f>
        <v>1235.44</v>
      </c>
      <c r="DT5" s="52">
        <f>+DS5-100</f>
        <v>1135.44</v>
      </c>
      <c r="DU5" s="52">
        <f>+DT5-100</f>
        <v>1035.44</v>
      </c>
      <c r="DV5" s="52">
        <f>+DU5-100</f>
        <v>935.44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5338.74</v>
      </c>
      <c r="FL5" s="49">
        <f>SUM(DS5:DV5)</f>
        <v>4341.76</v>
      </c>
      <c r="FM5" s="49">
        <f>+FL5*0.8</f>
        <v>3473.4080000000004</v>
      </c>
      <c r="FN5" s="49">
        <f t="shared" ref="FN5:FQ5" si="7">+FM5*0.8</f>
        <v>2778.7264000000005</v>
      </c>
      <c r="FO5" s="49">
        <f t="shared" si="7"/>
        <v>2222.9811200000004</v>
      </c>
      <c r="FP5" s="49">
        <f t="shared" si="7"/>
        <v>1778.3848960000005</v>
      </c>
      <c r="FQ5" s="49">
        <f t="shared" si="7"/>
        <v>1422.7079168000005</v>
      </c>
      <c r="FR5" s="49">
        <f t="shared" ref="FR5:FV5" si="8">+FQ5*0.8</f>
        <v>1138.1663334400005</v>
      </c>
      <c r="FS5" s="49">
        <f t="shared" si="8"/>
        <v>910.53306675200042</v>
      </c>
      <c r="FT5" s="49">
        <f t="shared" si="8"/>
        <v>728.42645340160038</v>
      </c>
      <c r="FU5" s="49">
        <f t="shared" si="8"/>
        <v>582.74116272128038</v>
      </c>
      <c r="FV5" s="49">
        <f t="shared" si="8"/>
        <v>466.19293017702432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+DQ6+800</f>
        <v>3912.7</v>
      </c>
      <c r="DS6" s="52">
        <f>+DR6+500</f>
        <v>4412.7</v>
      </c>
      <c r="DT6" s="52">
        <f>+DS6+500</f>
        <v>4912.7</v>
      </c>
      <c r="DU6" s="52">
        <f>+DT6+500</f>
        <v>5412.7</v>
      </c>
      <c r="DV6" s="52">
        <f>+DU6+500</f>
        <v>5912.7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11922.7</v>
      </c>
      <c r="FL6" s="49">
        <f>SUM(DS6:DV6)</f>
        <v>20650.8</v>
      </c>
      <c r="FM6" s="49">
        <f t="shared" ref="FM6:FN7" si="11">FL6*1.4</f>
        <v>28911.119999999995</v>
      </c>
      <c r="FN6" s="49">
        <f t="shared" si="11"/>
        <v>40475.567999999992</v>
      </c>
      <c r="FO6" s="49">
        <f>FN6*1.2</f>
        <v>48570.681599999989</v>
      </c>
      <c r="FP6" s="49">
        <f t="shared" ref="FP6:FP7" si="12">FO6*1.1</f>
        <v>53427.749759999992</v>
      </c>
      <c r="FQ6" s="49">
        <f>+FP6*1.1</f>
        <v>58770.524735999992</v>
      </c>
      <c r="FR6" s="49">
        <f>+FQ6*0.9</f>
        <v>52893.472262399991</v>
      </c>
      <c r="FS6" s="49">
        <f>+FR6*0.9</f>
        <v>47604.125036159996</v>
      </c>
      <c r="FT6" s="49">
        <f>+FS6*0.9</f>
        <v>42843.712532543999</v>
      </c>
      <c r="FU6" s="49">
        <f>+FT6*0.9</f>
        <v>38559.341279289598</v>
      </c>
      <c r="FV6" s="49">
        <f>+FU6*0.9</f>
        <v>34703.40715136064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DQ7+600</f>
        <v>1857.8</v>
      </c>
      <c r="DS7" s="52">
        <f>DR7+300</f>
        <v>2157.8000000000002</v>
      </c>
      <c r="DT7" s="52">
        <f>DS7+300</f>
        <v>2457.8000000000002</v>
      </c>
      <c r="DU7" s="52">
        <f>DT7+300</f>
        <v>2757.8</v>
      </c>
      <c r="DV7" s="52">
        <f>DU7+300</f>
        <v>3057.8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4876.2</v>
      </c>
      <c r="FL7" s="49">
        <f>SUM(DS7:DV7)</f>
        <v>10431.200000000001</v>
      </c>
      <c r="FM7" s="49">
        <f t="shared" si="11"/>
        <v>14603.68</v>
      </c>
      <c r="FN7" s="49">
        <f t="shared" si="11"/>
        <v>20445.151999999998</v>
      </c>
      <c r="FO7" s="49">
        <f>FN7*1.2</f>
        <v>24534.182399999998</v>
      </c>
      <c r="FP7" s="49">
        <f t="shared" si="12"/>
        <v>26987.600640000001</v>
      </c>
      <c r="FQ7" s="49">
        <f>+FP7*1.1</f>
        <v>29686.360704000002</v>
      </c>
      <c r="FR7" s="49">
        <f t="shared" ref="FR7:FV7" si="13">+FQ7*1.1</f>
        <v>32654.996774400006</v>
      </c>
      <c r="FS7" s="49">
        <f t="shared" si="13"/>
        <v>35920.496451840008</v>
      </c>
      <c r="FT7" s="49">
        <f t="shared" si="13"/>
        <v>39512.546097024009</v>
      </c>
      <c r="FU7" s="49">
        <f t="shared" si="13"/>
        <v>43463.800706726412</v>
      </c>
      <c r="FV7" s="49">
        <f t="shared" si="13"/>
        <v>47810.180777399059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f>+DN11*1.2</f>
        <v>941.52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1129.8239999999998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3249.92</v>
      </c>
      <c r="FL11" s="49">
        <f t="shared" ref="FL11:FL36" si="20">SUM(DS11:DV11)</f>
        <v>3899.9039999999995</v>
      </c>
      <c r="FM11" s="49">
        <f>+FL11*1.2</f>
        <v>4679.8847999999989</v>
      </c>
      <c r="FN11" s="49">
        <f>+FM11*1.1</f>
        <v>5147.8732799999989</v>
      </c>
      <c r="FO11" s="49">
        <f>+FN11*1.1</f>
        <v>5662.6606079999992</v>
      </c>
      <c r="FP11" s="49">
        <f>+FO11*1.1</f>
        <v>6228.9266687999998</v>
      </c>
      <c r="FQ11" s="49">
        <f>+FP11*1.05</f>
        <v>6540.3730022400005</v>
      </c>
      <c r="FR11" s="49">
        <f t="shared" ref="FR11:FV11" si="21">+FQ11*1.05</f>
        <v>6867.3916523520011</v>
      </c>
      <c r="FS11" s="49">
        <f t="shared" si="21"/>
        <v>7210.761234969601</v>
      </c>
      <c r="FT11" s="49">
        <f t="shared" si="21"/>
        <v>7571.2992967180817</v>
      </c>
      <c r="FU11" s="49">
        <f t="shared" si="21"/>
        <v>7949.8642615539857</v>
      </c>
      <c r="FV11" s="49">
        <f t="shared" si="21"/>
        <v>8347.3574746316845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f>+DN12*1.1</f>
        <v>1259.9400000000003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1385.9340000000004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5011.4400000000005</v>
      </c>
      <c r="FL12" s="49">
        <f t="shared" si="20"/>
        <v>5512.5839999999998</v>
      </c>
      <c r="FM12" s="49">
        <f>+FL12*1.01</f>
        <v>5567.7098399999995</v>
      </c>
      <c r="FN12" s="49">
        <f>+FM12*1.01</f>
        <v>5623.3869384</v>
      </c>
      <c r="FO12" s="49">
        <f>+FN12*1.01</f>
        <v>5679.6208077840001</v>
      </c>
      <c r="FP12" s="49">
        <f>+FO12*1.01</f>
        <v>5736.4170158618399</v>
      </c>
      <c r="FQ12" s="49">
        <f>+FP12*0.1</f>
        <v>573.64170158618401</v>
      </c>
      <c r="FR12" s="49">
        <f t="shared" ref="FR12:FV12" si="22">+FQ12*0.1</f>
        <v>57.364170158618407</v>
      </c>
      <c r="FS12" s="49">
        <f t="shared" si="22"/>
        <v>5.7364170158618411</v>
      </c>
      <c r="FT12" s="49">
        <f t="shared" si="22"/>
        <v>0.57364170158618411</v>
      </c>
      <c r="FU12" s="49">
        <f t="shared" si="22"/>
        <v>5.7364170158618416E-2</v>
      </c>
      <c r="FV12" s="49">
        <f t="shared" si="22"/>
        <v>5.736417015861842E-3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51"/>
      <c r="EO16" s="51"/>
      <c r="EP16" s="51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">
      <c r="A18" s="102"/>
      <c r="B18" s="38" t="s">
        <v>565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49"/>
      <c r="FF18" s="49"/>
      <c r="FG18" s="49"/>
      <c r="FH18" s="49"/>
      <c r="FI18" s="49"/>
      <c r="FJ18" s="49"/>
      <c r="FK18" s="49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">
      <c r="A19" s="102"/>
      <c r="B19" s="38" t="s">
        <v>373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">
      <c r="A20" s="102"/>
      <c r="B20" s="38" t="s">
        <v>370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">
      <c r="A21" s="102"/>
      <c r="B21" t="s">
        <v>18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">
      <c r="A22" s="102"/>
      <c r="B22" s="38" t="s">
        <v>366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">
      <c r="A23" s="102"/>
      <c r="B23" s="38" t="s">
        <v>375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">
      <c r="A24" s="102"/>
      <c r="B24" s="38" t="s">
        <v>367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">
      <c r="A25" s="102"/>
      <c r="B25" s="38" t="s">
        <v>256</v>
      </c>
      <c r="C25"/>
      <c r="D25"/>
      <c r="E25"/>
      <c r="F2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">
      <c r="A26" s="102"/>
      <c r="B26" t="s">
        <v>77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">
      <c r="A27" s="102"/>
      <c r="B27" t="s">
        <v>16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">
      <c r="A28" s="102"/>
      <c r="B28" t="s">
        <v>78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">
      <c r="A30" s="102"/>
      <c r="B30" s="38" t="s">
        <v>371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">
      <c r="A31" s="102"/>
      <c r="B31" t="s">
        <v>14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">
      <c r="A32" s="102"/>
      <c r="B32" t="s">
        <v>492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M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13388.310000000001</v>
      </c>
      <c r="DS71" s="56">
        <f>SUM(DS5:DS41)</f>
        <v>13351.86</v>
      </c>
      <c r="DT71" s="56">
        <f t="shared" ref="DT71:DV71" si="117">SUM(DT5:DT41)</f>
        <v>14738.17</v>
      </c>
      <c r="DU71" s="56">
        <f t="shared" si="117"/>
        <v>15682.680000000004</v>
      </c>
      <c r="DV71" s="56">
        <f t="shared" si="117"/>
        <v>16829.679000000004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44786.01</v>
      </c>
      <c r="FL71" s="56">
        <f>SUM(FL5:FL70)</f>
        <v>60719.989000000001</v>
      </c>
      <c r="FM71" s="56">
        <f t="shared" si="119"/>
        <v>74782.531049999976</v>
      </c>
      <c r="FN71" s="56">
        <f t="shared" si="119"/>
        <v>94231.459912499966</v>
      </c>
      <c r="FO71" s="56">
        <f t="shared" si="119"/>
        <v>112464.311047825</v>
      </c>
      <c r="FP71" s="56">
        <f t="shared" si="119"/>
        <v>125695.51050707322</v>
      </c>
      <c r="FQ71" s="56">
        <f t="shared" si="119"/>
        <v>126477.86816037462</v>
      </c>
      <c r="FR71" s="56">
        <f t="shared" si="119"/>
        <v>127045.92305266077</v>
      </c>
      <c r="FS71" s="56">
        <f t="shared" si="119"/>
        <v>129707.36927986014</v>
      </c>
      <c r="FT71" s="56">
        <f t="shared" si="119"/>
        <v>133471.86627842992</v>
      </c>
      <c r="FU71" s="56">
        <f t="shared" si="119"/>
        <v>138217.42228366871</v>
      </c>
      <c r="FV71" s="56">
        <f t="shared" si="119"/>
        <v>135023.9451228611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2543.7788999999993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8140.678899999999</v>
      </c>
      <c r="FL72" s="49">
        <f t="shared" ref="FL72:FQ72" si="124">FL71-FL73</f>
        <v>12751.197690000001</v>
      </c>
      <c r="FM72" s="49">
        <f t="shared" si="124"/>
        <v>15704.331520499989</v>
      </c>
      <c r="FN72" s="49">
        <f t="shared" si="124"/>
        <v>19788.60658162499</v>
      </c>
      <c r="FO72" s="49">
        <f t="shared" si="124"/>
        <v>23617.505320043245</v>
      </c>
      <c r="FP72" s="49">
        <f t="shared" si="124"/>
        <v>26396.057206485377</v>
      </c>
      <c r="FQ72" s="49">
        <f t="shared" si="124"/>
        <v>18971.680224056196</v>
      </c>
      <c r="FR72" s="49">
        <f t="shared" ref="FR72:FU72" si="125">FR71-FR73</f>
        <v>19056.888457899113</v>
      </c>
      <c r="FS72" s="49">
        <f t="shared" si="125"/>
        <v>19456.105391979028</v>
      </c>
      <c r="FT72" s="49">
        <f t="shared" si="125"/>
        <v>20020.779941764486</v>
      </c>
      <c r="FU72" s="49">
        <f t="shared" si="125"/>
        <v>20732.613342550307</v>
      </c>
      <c r="FV72" s="49">
        <f>FV71-FV73</f>
        <v>20253.591768429163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10844.531100000002</v>
      </c>
      <c r="DS73" s="51">
        <f>+DS71*0.81</f>
        <v>10815.006600000001</v>
      </c>
      <c r="DT73" s="51">
        <f>+DT71*0.81</f>
        <v>11937.9177</v>
      </c>
      <c r="DU73" s="51">
        <f>+DU71*0.81</f>
        <v>12702.970800000005</v>
      </c>
      <c r="DV73" s="51">
        <f>+DV71*0.81</f>
        <v>13632.039990000005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36645.331100000003</v>
      </c>
      <c r="FL73" s="51">
        <f t="shared" ref="FL73:FO73" si="147">FL71*0.79</f>
        <v>47968.791310000001</v>
      </c>
      <c r="FM73" s="51">
        <f t="shared" si="147"/>
        <v>59078.199529499987</v>
      </c>
      <c r="FN73" s="51">
        <f t="shared" si="147"/>
        <v>74442.853330874976</v>
      </c>
      <c r="FO73" s="51">
        <f t="shared" si="147"/>
        <v>88846.805727781757</v>
      </c>
      <c r="FP73" s="51">
        <f>FP71*0.79</f>
        <v>99299.453300587847</v>
      </c>
      <c r="FQ73" s="51">
        <f>FQ71*0.85</f>
        <v>107506.18793631843</v>
      </c>
      <c r="FR73" s="51">
        <f t="shared" ref="FR73:FU73" si="148">FR71*0.85</f>
        <v>107989.03459476166</v>
      </c>
      <c r="FS73" s="51">
        <f t="shared" si="148"/>
        <v>110251.26388788111</v>
      </c>
      <c r="FT73" s="51">
        <f t="shared" si="148"/>
        <v>113451.08633666544</v>
      </c>
      <c r="FU73" s="51">
        <f t="shared" si="148"/>
        <v>117484.8089411184</v>
      </c>
      <c r="FV73" s="51">
        <f>FV71*0.85</f>
        <v>114770.35335443194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15179.99725</v>
      </c>
      <c r="FM74" s="49">
        <f t="shared" si="155"/>
        <v>18695.632762499994</v>
      </c>
      <c r="FN74" s="49">
        <f t="shared" si="155"/>
        <v>23557.864978124991</v>
      </c>
      <c r="FO74" s="49">
        <f t="shared" si="155"/>
        <v>28116.07776195625</v>
      </c>
      <c r="FP74" s="49">
        <f t="shared" si="155"/>
        <v>31423.877626768306</v>
      </c>
      <c r="FQ74" s="49">
        <f>+FQ71*0.25</f>
        <v>31619.467040093656</v>
      </c>
      <c r="FR74" s="49">
        <f t="shared" ref="FR74:FU74" si="156">+FR71*0.25</f>
        <v>31761.480763165193</v>
      </c>
      <c r="FS74" s="49">
        <f t="shared" si="156"/>
        <v>32426.842319965035</v>
      </c>
      <c r="FT74" s="49">
        <f>+FT71*0.25</f>
        <v>33367.966569607481</v>
      </c>
      <c r="FU74" s="49">
        <f t="shared" si="156"/>
        <v>34554.355570917178</v>
      </c>
      <c r="FV74" s="49">
        <f>+FV71*0.25</f>
        <v>33755.986280715275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SUM(Model!DO75:DR75)</f>
        <v>9998.4700000000012</v>
      </c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15179.99725</v>
      </c>
      <c r="FM76" s="51">
        <f t="shared" ref="FM76" si="181">FM75+FM74</f>
        <v>18695.632762499994</v>
      </c>
      <c r="FN76" s="51">
        <f t="shared" ref="FN76" si="182">FN75+FN74</f>
        <v>23557.864978124991</v>
      </c>
      <c r="FO76" s="51">
        <f t="shared" ref="FO76" si="183">FO75+FO74</f>
        <v>28116.07776195625</v>
      </c>
      <c r="FP76" s="51">
        <f>FP75+FP74</f>
        <v>31423.877626768306</v>
      </c>
      <c r="FQ76" s="51">
        <f>FQ75+FQ74</f>
        <v>31619.467040093656</v>
      </c>
      <c r="FR76" s="51">
        <f t="shared" ref="FR76:FU76" si="184">FR75+FR74</f>
        <v>31761.480763165193</v>
      </c>
      <c r="FS76" s="51">
        <f t="shared" si="184"/>
        <v>32426.842319965035</v>
      </c>
      <c r="FT76" s="51">
        <f t="shared" si="184"/>
        <v>33367.966569607481</v>
      </c>
      <c r="FU76" s="51">
        <f t="shared" si="184"/>
        <v>34554.355570917178</v>
      </c>
      <c r="FV76" s="51">
        <f>FV75+FV74</f>
        <v>33755.986280715275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5908.5011000000013</v>
      </c>
      <c r="DS77" s="51">
        <f t="shared" ref="DS77:DV77" si="204">DS73-DS76</f>
        <v>10815.006600000001</v>
      </c>
      <c r="DT77" s="51">
        <f t="shared" si="204"/>
        <v>11937.9177</v>
      </c>
      <c r="DU77" s="51">
        <f t="shared" si="204"/>
        <v>12702.970800000005</v>
      </c>
      <c r="DV77" s="51">
        <f t="shared" si="204"/>
        <v>13632.039990000005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17726.201100000002</v>
      </c>
      <c r="FL77" s="51">
        <f t="shared" ref="FL77" si="210">+FL73-FL76</f>
        <v>32788.79406</v>
      </c>
      <c r="FM77" s="51">
        <f t="shared" ref="FM77" si="211">+FM73-FM76</f>
        <v>40382.566766999997</v>
      </c>
      <c r="FN77" s="51">
        <f t="shared" ref="FN77" si="212">+FN73-FN76</f>
        <v>50884.988352749984</v>
      </c>
      <c r="FO77" s="51">
        <f t="shared" ref="FO77" si="213">+FO73-FO76</f>
        <v>60730.727965825507</v>
      </c>
      <c r="FP77" s="51">
        <f>+FP73-FP76</f>
        <v>67875.575673819549</v>
      </c>
      <c r="FQ77" s="51">
        <f>+FQ73-FQ76</f>
        <v>75886.720896224768</v>
      </c>
      <c r="FR77" s="51">
        <f t="shared" ref="FR77:FU77" si="214">+FR73-FR76</f>
        <v>76227.553831596466</v>
      </c>
      <c r="FS77" s="51">
        <f t="shared" si="214"/>
        <v>77824.421567916084</v>
      </c>
      <c r="FT77" s="51">
        <f t="shared" si="214"/>
        <v>80083.119767057957</v>
      </c>
      <c r="FU77" s="51">
        <f t="shared" si="214"/>
        <v>82930.453370201227</v>
      </c>
      <c r="FV77" s="51">
        <f>+FV73-FV76</f>
        <v>81014.367073716654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-87.757341080000003</v>
      </c>
      <c r="FM78" s="49">
        <f t="shared" si="218"/>
        <v>435.45924642272001</v>
      </c>
      <c r="FN78" s="49">
        <f t="shared" si="218"/>
        <v>1088.5476626374834</v>
      </c>
      <c r="FO78" s="49">
        <f t="shared" si="218"/>
        <v>1920.1242388836831</v>
      </c>
      <c r="FP78" s="49">
        <f t="shared" si="218"/>
        <v>2922.5378741590303</v>
      </c>
      <c r="FQ78" s="49">
        <f t="shared" si="218"/>
        <v>4055.3076909266874</v>
      </c>
      <c r="FR78" s="49">
        <f t="shared" ref="FR78:FU78" si="219">+FQ99*$FY$97</f>
        <v>5334.3801483211109</v>
      </c>
      <c r="FS78" s="49">
        <f t="shared" si="219"/>
        <v>6639.371091999792</v>
      </c>
      <c r="FT78" s="49">
        <f t="shared" si="219"/>
        <v>7990.7917745584464</v>
      </c>
      <c r="FU78" s="49">
        <f t="shared" si="219"/>
        <v>9399.9743592243085</v>
      </c>
      <c r="FV78" s="49">
        <f>+FU99*$FY$97</f>
        <v>10877.261202895117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5908.5011000000013</v>
      </c>
      <c r="DS79" s="51">
        <f t="shared" si="234"/>
        <v>10815.006600000001</v>
      </c>
      <c r="DT79" s="51">
        <f t="shared" si="234"/>
        <v>11937.9177</v>
      </c>
      <c r="DU79" s="51">
        <f t="shared" si="234"/>
        <v>12702.970800000005</v>
      </c>
      <c r="DV79" s="51">
        <f t="shared" si="234"/>
        <v>13632.039990000005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17276.201100000002</v>
      </c>
      <c r="FL79" s="51">
        <f t="shared" si="239"/>
        <v>32701.036718920001</v>
      </c>
      <c r="FM79" s="51">
        <f t="shared" si="239"/>
        <v>40818.026013422714</v>
      </c>
      <c r="FN79" s="51">
        <f t="shared" si="239"/>
        <v>51973.536015387464</v>
      </c>
      <c r="FO79" s="51">
        <f t="shared" si="239"/>
        <v>62650.85220470919</v>
      </c>
      <c r="FP79" s="51">
        <f t="shared" si="239"/>
        <v>70798.113547978573</v>
      </c>
      <c r="FQ79" s="51">
        <f>FQ77+FQ78</f>
        <v>79942.02858715145</v>
      </c>
      <c r="FR79" s="51">
        <f t="shared" ref="FR79:FU79" si="240">FR77+FR78</f>
        <v>81561.93397991758</v>
      </c>
      <c r="FS79" s="51">
        <f t="shared" si="240"/>
        <v>84463.792659915882</v>
      </c>
      <c r="FT79" s="51">
        <f t="shared" si="240"/>
        <v>88073.911541616399</v>
      </c>
      <c r="FU79" s="51">
        <f t="shared" si="240"/>
        <v>92330.42772942553</v>
      </c>
      <c r="FV79" s="51">
        <f>FV77+FV78</f>
        <v>91891.628276611766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886.27516500000013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2418.6681540000004</v>
      </c>
      <c r="FL80" s="51">
        <f t="shared" ref="FL80:FP80" si="245">FL79*0.2</f>
        <v>6540.2073437840008</v>
      </c>
      <c r="FM80" s="51">
        <f t="shared" si="245"/>
        <v>8163.6052026845427</v>
      </c>
      <c r="FN80" s="51">
        <f t="shared" si="245"/>
        <v>10394.707203077494</v>
      </c>
      <c r="FO80" s="51">
        <f t="shared" si="245"/>
        <v>12530.170440941838</v>
      </c>
      <c r="FP80" s="51">
        <f t="shared" si="245"/>
        <v>14159.622709595715</v>
      </c>
      <c r="FQ80" s="51">
        <f>FQ79*0.2</f>
        <v>15988.405717430291</v>
      </c>
      <c r="FR80" s="51">
        <f t="shared" ref="FR80:FT80" si="246">FR79*0.2</f>
        <v>16312.386795983517</v>
      </c>
      <c r="FS80" s="51">
        <f t="shared" si="246"/>
        <v>16892.758531983178</v>
      </c>
      <c r="FT80" s="51">
        <f t="shared" si="246"/>
        <v>17614.78230832328</v>
      </c>
      <c r="FU80" s="51">
        <f>FU79*0.2</f>
        <v>18466.085545885107</v>
      </c>
      <c r="FV80" s="51">
        <f>FV79*0.2</f>
        <v>18378.325655322355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5022.2259350000013</v>
      </c>
      <c r="DS81" s="51">
        <f t="shared" ref="DS81:DV81" si="265">+DS79-DS80</f>
        <v>10815.006600000001</v>
      </c>
      <c r="DT81" s="51">
        <f t="shared" si="265"/>
        <v>11937.9177</v>
      </c>
      <c r="DU81" s="51">
        <f t="shared" si="265"/>
        <v>12702.970800000005</v>
      </c>
      <c r="DV81" s="51">
        <f t="shared" si="265"/>
        <v>13632.039990000005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14857.532946000001</v>
      </c>
      <c r="FL81" s="51">
        <f t="shared" ref="FL81:FO81" si="270">+FL79-FL80</f>
        <v>26160.829375136</v>
      </c>
      <c r="FM81" s="51">
        <f t="shared" si="270"/>
        <v>32654.420810738171</v>
      </c>
      <c r="FN81" s="51">
        <f t="shared" si="270"/>
        <v>41578.82881230997</v>
      </c>
      <c r="FO81" s="51">
        <f t="shared" si="270"/>
        <v>50120.681763767352</v>
      </c>
      <c r="FP81" s="51">
        <f>+FP79-FP80</f>
        <v>56638.490838382859</v>
      </c>
      <c r="FQ81" s="51">
        <f>+FQ79-FQ80</f>
        <v>63953.622869721163</v>
      </c>
      <c r="FR81" s="51">
        <f t="shared" ref="FR81:FT81" si="271">+FR79-FR80</f>
        <v>65249.547183934061</v>
      </c>
      <c r="FS81" s="51">
        <f t="shared" si="271"/>
        <v>67571.034127932711</v>
      </c>
      <c r="FT81" s="51">
        <f t="shared" si="271"/>
        <v>70459.129233293119</v>
      </c>
      <c r="FU81" s="51">
        <f>+FU79-FU80</f>
        <v>73864.34218354043</v>
      </c>
      <c r="FV81" s="51">
        <f>+FV79-FV80</f>
        <v>73513.302621289418</v>
      </c>
      <c r="FW81" s="54">
        <f t="shared" ref="FW81:HB81" si="272">+FV81*(1+$FY$98)</f>
        <v>73513.302621289418</v>
      </c>
      <c r="FX81" s="54">
        <f t="shared" si="272"/>
        <v>73513.302621289418</v>
      </c>
      <c r="FY81" s="54">
        <f t="shared" si="272"/>
        <v>73513.302621289418</v>
      </c>
      <c r="FZ81" s="54">
        <f t="shared" si="272"/>
        <v>73513.302621289418</v>
      </c>
      <c r="GA81" s="54">
        <f t="shared" si="272"/>
        <v>73513.302621289418</v>
      </c>
      <c r="GB81" s="54">
        <f t="shared" si="272"/>
        <v>73513.302621289418</v>
      </c>
      <c r="GC81" s="54">
        <f t="shared" si="272"/>
        <v>73513.302621289418</v>
      </c>
      <c r="GD81" s="54">
        <f t="shared" si="272"/>
        <v>73513.302621289418</v>
      </c>
      <c r="GE81" s="54">
        <f t="shared" si="272"/>
        <v>73513.302621289418</v>
      </c>
      <c r="GF81" s="54">
        <f t="shared" si="272"/>
        <v>73513.302621289418</v>
      </c>
      <c r="GG81" s="54">
        <f t="shared" si="272"/>
        <v>73513.302621289418</v>
      </c>
      <c r="GH81" s="54">
        <f t="shared" si="272"/>
        <v>73513.302621289418</v>
      </c>
      <c r="GI81" s="54">
        <f t="shared" si="272"/>
        <v>73513.302621289418</v>
      </c>
      <c r="GJ81" s="54">
        <f t="shared" si="272"/>
        <v>73513.302621289418</v>
      </c>
      <c r="GK81" s="54">
        <f t="shared" si="272"/>
        <v>73513.302621289418</v>
      </c>
      <c r="GL81" s="54">
        <f t="shared" si="272"/>
        <v>73513.302621289418</v>
      </c>
      <c r="GM81" s="54">
        <f t="shared" si="272"/>
        <v>73513.302621289418</v>
      </c>
      <c r="GN81" s="54">
        <f t="shared" si="272"/>
        <v>73513.302621289418</v>
      </c>
      <c r="GO81" s="54">
        <f t="shared" si="272"/>
        <v>73513.302621289418</v>
      </c>
      <c r="GP81" s="54">
        <f t="shared" si="272"/>
        <v>73513.302621289418</v>
      </c>
      <c r="GQ81" s="54">
        <f t="shared" si="272"/>
        <v>73513.302621289418</v>
      </c>
      <c r="GR81" s="54">
        <f t="shared" si="272"/>
        <v>73513.302621289418</v>
      </c>
      <c r="GS81" s="54">
        <f t="shared" si="272"/>
        <v>73513.302621289418</v>
      </c>
      <c r="GT81" s="54">
        <f t="shared" si="272"/>
        <v>73513.302621289418</v>
      </c>
      <c r="GU81" s="54">
        <f t="shared" si="272"/>
        <v>73513.302621289418</v>
      </c>
      <c r="GV81" s="54">
        <f t="shared" si="272"/>
        <v>73513.302621289418</v>
      </c>
      <c r="GW81" s="54">
        <f t="shared" si="272"/>
        <v>73513.302621289418</v>
      </c>
      <c r="GX81" s="54">
        <f t="shared" si="272"/>
        <v>73513.302621289418</v>
      </c>
      <c r="GY81" s="54">
        <f t="shared" si="272"/>
        <v>73513.302621289418</v>
      </c>
      <c r="GZ81" s="54">
        <f t="shared" si="272"/>
        <v>73513.302621289418</v>
      </c>
      <c r="HA81" s="54">
        <f t="shared" si="272"/>
        <v>73513.302621289418</v>
      </c>
      <c r="HB81" s="54">
        <f t="shared" si="272"/>
        <v>73513.302621289418</v>
      </c>
      <c r="HC81" s="54">
        <f t="shared" ref="HC81:IH81" si="273">+HB81*(1+$FY$98)</f>
        <v>73513.302621289418</v>
      </c>
      <c r="HD81" s="54">
        <f t="shared" si="273"/>
        <v>73513.302621289418</v>
      </c>
      <c r="HE81" s="54">
        <f t="shared" si="273"/>
        <v>73513.302621289418</v>
      </c>
      <c r="HF81" s="54">
        <f t="shared" si="273"/>
        <v>73513.302621289418</v>
      </c>
      <c r="HG81" s="54">
        <f t="shared" si="273"/>
        <v>73513.302621289418</v>
      </c>
      <c r="HH81" s="54">
        <f t="shared" si="273"/>
        <v>73513.302621289418</v>
      </c>
      <c r="HI81" s="54">
        <f t="shared" si="273"/>
        <v>73513.302621289418</v>
      </c>
      <c r="HJ81" s="54">
        <f t="shared" si="273"/>
        <v>73513.302621289418</v>
      </c>
      <c r="HK81" s="54">
        <f t="shared" si="273"/>
        <v>73513.302621289418</v>
      </c>
      <c r="HL81" s="54">
        <f t="shared" si="273"/>
        <v>73513.302621289418</v>
      </c>
      <c r="HM81" s="54">
        <f t="shared" si="273"/>
        <v>73513.302621289418</v>
      </c>
      <c r="HN81" s="54">
        <f t="shared" si="273"/>
        <v>73513.302621289418</v>
      </c>
      <c r="HO81" s="54">
        <f t="shared" si="273"/>
        <v>73513.302621289418</v>
      </c>
      <c r="HP81" s="54">
        <f t="shared" si="273"/>
        <v>73513.302621289418</v>
      </c>
      <c r="HQ81" s="54">
        <f t="shared" si="273"/>
        <v>73513.302621289418</v>
      </c>
      <c r="HR81" s="54">
        <f t="shared" si="273"/>
        <v>73513.302621289418</v>
      </c>
      <c r="HS81" s="54">
        <f t="shared" si="273"/>
        <v>73513.302621289418</v>
      </c>
      <c r="HT81" s="54">
        <f t="shared" si="273"/>
        <v>73513.302621289418</v>
      </c>
      <c r="HU81" s="54">
        <f t="shared" si="273"/>
        <v>73513.302621289418</v>
      </c>
      <c r="HV81" s="54">
        <f t="shared" si="273"/>
        <v>73513.302621289418</v>
      </c>
      <c r="HW81" s="54">
        <f t="shared" si="273"/>
        <v>73513.302621289418</v>
      </c>
      <c r="HX81" s="54">
        <f t="shared" si="273"/>
        <v>73513.302621289418</v>
      </c>
      <c r="HY81" s="54">
        <f t="shared" si="273"/>
        <v>73513.302621289418</v>
      </c>
      <c r="HZ81" s="54">
        <f t="shared" si="273"/>
        <v>73513.302621289418</v>
      </c>
      <c r="IA81" s="54">
        <f t="shared" si="273"/>
        <v>73513.302621289418</v>
      </c>
      <c r="IB81" s="54">
        <f t="shared" si="273"/>
        <v>73513.302621289418</v>
      </c>
      <c r="IC81" s="54">
        <f t="shared" si="273"/>
        <v>73513.302621289418</v>
      </c>
      <c r="ID81" s="54">
        <f t="shared" si="273"/>
        <v>73513.302621289418</v>
      </c>
      <c r="IE81" s="54">
        <f t="shared" si="273"/>
        <v>73513.302621289418</v>
      </c>
      <c r="IF81" s="54">
        <f t="shared" si="273"/>
        <v>73513.302621289418</v>
      </c>
      <c r="IG81" s="54">
        <f t="shared" si="273"/>
        <v>73513.302621289418</v>
      </c>
      <c r="IH81" s="54">
        <f t="shared" si="273"/>
        <v>73513.302621289418</v>
      </c>
      <c r="II81" s="54">
        <f t="shared" ref="II81:IQ81" si="274">+IH81*(1+$FY$98)</f>
        <v>73513.302621289418</v>
      </c>
      <c r="IJ81" s="54">
        <f t="shared" si="274"/>
        <v>73513.302621289418</v>
      </c>
      <c r="IK81" s="54">
        <f t="shared" si="274"/>
        <v>73513.302621289418</v>
      </c>
      <c r="IL81" s="54">
        <f t="shared" si="274"/>
        <v>73513.302621289418</v>
      </c>
      <c r="IM81" s="54">
        <f t="shared" si="274"/>
        <v>73513.302621289418</v>
      </c>
      <c r="IN81" s="54">
        <f t="shared" si="274"/>
        <v>73513.302621289418</v>
      </c>
      <c r="IO81" s="54">
        <f t="shared" si="274"/>
        <v>73513.302621289418</v>
      </c>
      <c r="IP81" s="54">
        <f t="shared" si="274"/>
        <v>73513.302621289418</v>
      </c>
      <c r="IQ81" s="54">
        <f t="shared" si="274"/>
        <v>73513.302621289418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5.5492553647570748</v>
      </c>
      <c r="DS82" s="59">
        <f t="shared" ref="DS82:DV82" si="292">DS81/DS83</f>
        <v>11.949927018751927</v>
      </c>
      <c r="DT82" s="59">
        <f t="shared" si="292"/>
        <v>13.190675747795369</v>
      </c>
      <c r="DU82" s="59">
        <f t="shared" si="292"/>
        <v>14.036013069223353</v>
      </c>
      <c r="DV82" s="59">
        <f t="shared" si="292"/>
        <v>15.062578232472626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16.425766584929566</v>
      </c>
      <c r="FL82" s="59">
        <f t="shared" si="296"/>
        <v>28.922141956268806</v>
      </c>
      <c r="FM82" s="59">
        <f t="shared" si="296"/>
        <v>36.101141162043071</v>
      </c>
      <c r="FN82" s="59">
        <f t="shared" si="296"/>
        <v>45.967533064068881</v>
      </c>
      <c r="FO82" s="59">
        <f t="shared" si="296"/>
        <v>55.410990688788765</v>
      </c>
      <c r="FP82" s="59">
        <f t="shared" si="296"/>
        <v>62.616763739663483</v>
      </c>
      <c r="FQ82" s="59">
        <f t="shared" si="296"/>
        <v>70.704018314256487</v>
      </c>
      <c r="FR82" s="59">
        <f t="shared" ref="FR82:FU82" si="297">FR81/FR83</f>
        <v>72.136729274707477</v>
      </c>
      <c r="FS82" s="59">
        <f t="shared" si="297"/>
        <v>74.703252452591414</v>
      </c>
      <c r="FT82" s="59">
        <f t="shared" si="297"/>
        <v>77.896190085517844</v>
      </c>
      <c r="FU82" s="59">
        <f t="shared" si="297"/>
        <v>81.660828084035643</v>
      </c>
      <c r="FV82" s="59">
        <f>FV81/FV83</f>
        <v>81.272735798959246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0.41431287831570929</v>
      </c>
      <c r="DS85" s="61">
        <f t="shared" si="327"/>
        <v>0.52274215070196073</v>
      </c>
      <c r="DT85" s="61">
        <f t="shared" si="327"/>
        <v>0.30395126828103036</v>
      </c>
      <c r="DU85" s="61">
        <f t="shared" si="327"/>
        <v>0.370959507657878</v>
      </c>
      <c r="DV85" s="61">
        <f t="shared" si="327"/>
        <v>0.25704282317932603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0.39475960909617513</v>
      </c>
      <c r="FL85" s="62">
        <f t="shared" si="335"/>
        <v>0.35578027602816142</v>
      </c>
      <c r="FM85" s="62">
        <f t="shared" ref="FM85:FV85" si="336">FM71/FL71-1</f>
        <v>0.23159658428133079</v>
      </c>
      <c r="FN85" s="62">
        <f t="shared" si="336"/>
        <v>0.26007315598206127</v>
      </c>
      <c r="FO85" s="62">
        <f t="shared" si="336"/>
        <v>0.19349006321514506</v>
      </c>
      <c r="FP85" s="62">
        <f t="shared" si="336"/>
        <v>0.11764798393351383</v>
      </c>
      <c r="FQ85" s="62">
        <f t="shared" si="336"/>
        <v>6.2242290925527133E-3</v>
      </c>
      <c r="FR85" s="62">
        <f t="shared" si="336"/>
        <v>4.4913382914222311E-3</v>
      </c>
      <c r="FS85" s="62">
        <f t="shared" si="336"/>
        <v>2.0948694481885743E-2</v>
      </c>
      <c r="FT85" s="62">
        <f t="shared" si="336"/>
        <v>2.9023000153888034E-2</v>
      </c>
      <c r="FU85" s="62">
        <f t="shared" si="336"/>
        <v>3.5554728779616296E-2</v>
      </c>
      <c r="FV85" s="62">
        <f t="shared" si="336"/>
        <v>-2.3104736783858715E-2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-0.19999999999999996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-0.25149106203995797</v>
      </c>
      <c r="FL87" s="96">
        <f t="shared" ref="FL87" si="340">+FL5/FK5-1</f>
        <v>-0.18674443782615369</v>
      </c>
      <c r="FM87" s="96">
        <f t="shared" ref="FM87" si="341">+FM5/FL5-1</f>
        <v>-0.19999999999999996</v>
      </c>
      <c r="FN87" s="96">
        <f t="shared" ref="FN87" si="342">+FN5/FM5-1</f>
        <v>-0.19999999999999996</v>
      </c>
      <c r="FO87" s="96">
        <f t="shared" ref="FO87" si="343">+FO5/FN5-1</f>
        <v>-0.19999999999999996</v>
      </c>
      <c r="FP87" s="96">
        <f t="shared" ref="FP87" si="344">+FP5/FO5-1</f>
        <v>-0.19999999999999996</v>
      </c>
      <c r="FQ87" s="96">
        <f t="shared" ref="FQ87" si="345">+FQ5/FP5-1</f>
        <v>-0.19999999999999996</v>
      </c>
      <c r="FR87" s="96">
        <f t="shared" ref="FR87" si="346">+FR5/FQ5-1</f>
        <v>-0.19999999999999996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0.7739844033369605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1.3092134570316283</v>
      </c>
      <c r="FL88" s="96">
        <f t="shared" ref="FL88:FV88" si="351">FL6/FK6-1</f>
        <v>0.73205733600610579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-9.9999999999999978E-2</v>
      </c>
      <c r="FT88" s="96">
        <f t="shared" si="351"/>
        <v>-9.9999999999999978E-2</v>
      </c>
      <c r="FU88" s="96">
        <f t="shared" si="351"/>
        <v>-0.10000000000000009</v>
      </c>
      <c r="FV88" s="96">
        <f t="shared" si="351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0.19999999999999996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0.1776352502083558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0.10000000000000009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0.2971915202029356</v>
      </c>
      <c r="FL90" s="96">
        <f t="shared" si="355"/>
        <v>9.9999999999999867E-2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0.68511399933927808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0.8182316553763106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</v>
      </c>
      <c r="FU94" s="64">
        <f t="shared" si="402"/>
        <v>0.85</v>
      </c>
      <c r="FV94" s="64">
        <f t="shared" si="402"/>
        <v>0.85</v>
      </c>
    </row>
    <row r="95" spans="1:251" x14ac:dyDescent="0.2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0.15812750078239896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0.19918407556288223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0.2105545808246149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0.2</v>
      </c>
      <c r="FM97" s="79">
        <f t="shared" si="470"/>
        <v>0.2</v>
      </c>
      <c r="FN97" s="79">
        <f t="shared" si="470"/>
        <v>0.20000000000000004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0.2</v>
      </c>
      <c r="FT97" s="79">
        <f t="shared" si="471"/>
        <v>0.2</v>
      </c>
      <c r="FU97" s="79">
        <f t="shared" si="471"/>
        <v>0.2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0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-4387.8670540000003</v>
      </c>
      <c r="FL99" s="49">
        <f t="shared" si="479"/>
        <v>21772.962321136001</v>
      </c>
      <c r="FM99" s="49">
        <f t="shared" si="479"/>
        <v>54427.383131874172</v>
      </c>
      <c r="FN99" s="49">
        <f t="shared" si="479"/>
        <v>96006.21194418415</v>
      </c>
      <c r="FO99" s="49">
        <f t="shared" si="479"/>
        <v>146126.8937079515</v>
      </c>
      <c r="FP99" s="49">
        <f t="shared" si="479"/>
        <v>202765.38454633436</v>
      </c>
      <c r="FQ99" s="49">
        <f t="shared" si="479"/>
        <v>266719.00741605554</v>
      </c>
      <c r="FR99" s="49">
        <f t="shared" ref="FR99" si="480">+FQ99+FR81</f>
        <v>331968.55459998961</v>
      </c>
      <c r="FS99" s="49">
        <f t="shared" ref="FS99" si="481">+FR99+FS81</f>
        <v>399539.5887279223</v>
      </c>
      <c r="FT99" s="49">
        <f t="shared" ref="FT99" si="482">+FS99+FT81</f>
        <v>469998.71796121541</v>
      </c>
      <c r="FU99" s="49">
        <f t="shared" ref="FU99" si="483">+FT99+FU81</f>
        <v>543863.06014475587</v>
      </c>
      <c r="FV99" s="49">
        <f t="shared" ref="FV99" si="484">+FU99+FV81</f>
        <v>617376.36276604526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869870.46927802137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916.31316618475853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Q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/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/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/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Q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/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/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x14ac:dyDescent="0.2">
      <c r="B138" s="50" t="s">
        <v>394</v>
      </c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x14ac:dyDescent="0.2">
      <c r="B139" s="50" t="s">
        <v>391</v>
      </c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x14ac:dyDescent="0.2">
      <c r="B140" s="50" t="s">
        <v>395</v>
      </c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x14ac:dyDescent="0.2">
      <c r="B141" s="50" t="s">
        <v>78</v>
      </c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x14ac:dyDescent="0.2">
      <c r="B142" s="50" t="s">
        <v>396</v>
      </c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Q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x14ac:dyDescent="0.2">
      <c r="B144" s="50" t="s">
        <v>296</v>
      </c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x14ac:dyDescent="0.2">
      <c r="B145" s="50" t="s">
        <v>399</v>
      </c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x14ac:dyDescent="0.2">
      <c r="B146" s="38" t="s">
        <v>398</v>
      </c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x14ac:dyDescent="0.2">
      <c r="B147" s="38" t="s">
        <v>78</v>
      </c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x14ac:dyDescent="0.2">
      <c r="B148" s="38" t="s">
        <v>397</v>
      </c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Q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x14ac:dyDescent="0.2">
      <c r="B149" s="38" t="s">
        <v>400</v>
      </c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x14ac:dyDescent="0.2">
      <c r="B150" s="38" t="s">
        <v>401</v>
      </c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Q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Q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E17" s="38" t="s">
        <v>579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1"/>
  <sheetViews>
    <sheetView zoomScale="175" zoomScaleNormal="175" workbookViewId="0">
      <selection activeCell="G5" sqref="G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92</v>
      </c>
    </row>
    <row r="6" spans="1:3" x14ac:dyDescent="0.2">
      <c r="B6" s="38"/>
      <c r="C6" s="20" t="s">
        <v>1129</v>
      </c>
    </row>
    <row r="7" spans="1:3" x14ac:dyDescent="0.2">
      <c r="B7" s="38"/>
      <c r="C7" s="38" t="s">
        <v>1130</v>
      </c>
    </row>
    <row r="8" spans="1:3" x14ac:dyDescent="0.2">
      <c r="B8" s="38"/>
    </row>
    <row r="9" spans="1:3" x14ac:dyDescent="0.2">
      <c r="B9" s="38"/>
      <c r="C9" s="20" t="s">
        <v>1133</v>
      </c>
    </row>
    <row r="10" spans="1:3" x14ac:dyDescent="0.2">
      <c r="B10" s="38"/>
    </row>
    <row r="11" spans="1:3" x14ac:dyDescent="0.2">
      <c r="B11" s="38"/>
    </row>
    <row r="12" spans="1:3" x14ac:dyDescent="0.2">
      <c r="B12" s="38"/>
      <c r="C12" s="20" t="s">
        <v>1132</v>
      </c>
    </row>
    <row r="13" spans="1:3" x14ac:dyDescent="0.2">
      <c r="B13" s="38"/>
    </row>
    <row r="14" spans="1:3" x14ac:dyDescent="0.2">
      <c r="B14" s="38"/>
    </row>
    <row r="15" spans="1:3" x14ac:dyDescent="0.2">
      <c r="B15" s="38"/>
    </row>
    <row r="16" spans="1:3" x14ac:dyDescent="0.2">
      <c r="B16" s="38"/>
      <c r="C16" s="20" t="s">
        <v>1131</v>
      </c>
    </row>
    <row r="17" spans="2:3" x14ac:dyDescent="0.2">
      <c r="B17" s="38"/>
    </row>
    <row r="18" spans="2:3" x14ac:dyDescent="0.2">
      <c r="B18" s="38"/>
    </row>
    <row r="19" spans="2:3" x14ac:dyDescent="0.2">
      <c r="B19" s="38"/>
      <c r="C19" s="20" t="s">
        <v>1134</v>
      </c>
    </row>
    <row r="20" spans="2:3" x14ac:dyDescent="0.2">
      <c r="B20" s="38"/>
    </row>
    <row r="21" spans="2:3" x14ac:dyDescent="0.2">
      <c r="B21" s="38"/>
    </row>
    <row r="22" spans="2:3" x14ac:dyDescent="0.2">
      <c r="B22" s="38"/>
      <c r="C22" s="20" t="s">
        <v>1136</v>
      </c>
    </row>
    <row r="23" spans="2:3" x14ac:dyDescent="0.2">
      <c r="B23" s="38"/>
    </row>
    <row r="24" spans="2:3" x14ac:dyDescent="0.2">
      <c r="B24" s="38"/>
    </row>
    <row r="25" spans="2:3" x14ac:dyDescent="0.2">
      <c r="B25" s="38"/>
      <c r="C25" s="20" t="s">
        <v>1135</v>
      </c>
    </row>
    <row r="26" spans="2:3" x14ac:dyDescent="0.2">
      <c r="B26" s="38"/>
    </row>
    <row r="27" spans="2:3" x14ac:dyDescent="0.2">
      <c r="B27" s="38"/>
    </row>
    <row r="28" spans="2:3" x14ac:dyDescent="0.2">
      <c r="B28" s="38"/>
    </row>
    <row r="29" spans="2:3" x14ac:dyDescent="0.2">
      <c r="C29" s="20" t="s">
        <v>1128</v>
      </c>
    </row>
    <row r="30" spans="2:3" x14ac:dyDescent="0.2">
      <c r="C30" s="38" t="s">
        <v>1126</v>
      </c>
    </row>
    <row r="31" spans="2:3" x14ac:dyDescent="0.2">
      <c r="C31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Master</vt:lpstr>
      <vt:lpstr>IP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2025-01-13T11:20:25Z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