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F6B8725-E9BD-4765-94C2-6039F6F0ED7D}" xr6:coauthVersionLast="47" xr6:coauthVersionMax="47" xr10:uidLastSave="{00000000-0000-0000-0000-000000000000}"/>
  <bookViews>
    <workbookView xWindow="-25665" yWindow="510" windowWidth="25080" windowHeight="19755" activeTab="1" xr2:uid="{57C30761-CAF2-4DE9-93D4-20A7306FD955}"/>
  </bookViews>
  <sheets>
    <sheet name="Master" sheetId="5" r:id="rId1"/>
    <sheet name="Main" sheetId="1" r:id="rId2"/>
    <sheet name="Model" sheetId="2" r:id="rId3"/>
    <sheet name="Spikevax" sheetId="3" r:id="rId4"/>
    <sheet name="4157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" i="2" l="1"/>
  <c r="U24" i="2"/>
  <c r="U20" i="2"/>
  <c r="U27" i="2"/>
  <c r="U23" i="2"/>
  <c r="U21" i="2"/>
  <c r="U28" i="2" s="1"/>
  <c r="U19" i="2"/>
  <c r="U18" i="2"/>
  <c r="U15" i="2"/>
  <c r="Z13" i="2"/>
  <c r="Y13" i="2"/>
  <c r="X13" i="2"/>
  <c r="W13" i="2"/>
  <c r="K5" i="1"/>
  <c r="AF12" i="2"/>
  <c r="AF11" i="2"/>
  <c r="AG11" i="2"/>
  <c r="U13" i="2"/>
  <c r="Q20" i="2"/>
  <c r="N20" i="2"/>
  <c r="R20" i="2"/>
  <c r="O20" i="2"/>
  <c r="S20" i="2"/>
  <c r="S18" i="2"/>
  <c r="P20" i="2"/>
  <c r="T20" i="2"/>
  <c r="T18" i="2"/>
  <c r="T43" i="2"/>
  <c r="T50" i="2" s="1"/>
  <c r="T31" i="2"/>
  <c r="T39" i="2" s="1"/>
  <c r="T13" i="2"/>
  <c r="T15" i="2" s="1"/>
  <c r="S13" i="2"/>
  <c r="S15" i="2" s="1"/>
  <c r="S19" i="2" s="1"/>
  <c r="M43" i="2"/>
  <c r="M50" i="2"/>
  <c r="M31" i="2"/>
  <c r="M39" i="2" s="1"/>
  <c r="M20" i="2"/>
  <c r="AE12" i="2"/>
  <c r="AE11" i="2"/>
  <c r="AD12" i="2"/>
  <c r="AD11" i="2"/>
  <c r="AD10" i="2"/>
  <c r="M13" i="2"/>
  <c r="M15" i="2" s="1"/>
  <c r="M18" i="2"/>
  <c r="E20" i="2"/>
  <c r="E18" i="2"/>
  <c r="E13" i="2"/>
  <c r="E15" i="2" s="1"/>
  <c r="E27" i="2" s="1"/>
  <c r="I20" i="2"/>
  <c r="I18" i="2"/>
  <c r="I13" i="2"/>
  <c r="I15" i="2" s="1"/>
  <c r="I27" i="2" s="1"/>
  <c r="F18" i="2"/>
  <c r="F13" i="2"/>
  <c r="F15" i="2" s="1"/>
  <c r="F27" i="2" s="1"/>
  <c r="J20" i="2"/>
  <c r="J18" i="2"/>
  <c r="J13" i="2"/>
  <c r="J15" i="2" s="1"/>
  <c r="J27" i="2" s="1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G20" i="2"/>
  <c r="G18" i="2"/>
  <c r="G13" i="2"/>
  <c r="G15" i="2" s="1"/>
  <c r="K20" i="2"/>
  <c r="K18" i="2"/>
  <c r="K13" i="2"/>
  <c r="K15" i="2" s="1"/>
  <c r="K27" i="2" s="1"/>
  <c r="K43" i="2"/>
  <c r="K50" i="2" s="1"/>
  <c r="K31" i="2"/>
  <c r="K39" i="2" s="1"/>
  <c r="L43" i="2"/>
  <c r="L50" i="2" s="1"/>
  <c r="L31" i="2"/>
  <c r="L39" i="2" s="1"/>
  <c r="H20" i="2"/>
  <c r="H18" i="2"/>
  <c r="L20" i="2"/>
  <c r="L18" i="2"/>
  <c r="H13" i="2"/>
  <c r="H15" i="2" s="1"/>
  <c r="H27" i="2" s="1"/>
  <c r="L13" i="2"/>
  <c r="L15" i="2" s="1"/>
  <c r="K4" i="1"/>
  <c r="T19" i="2" l="1"/>
  <c r="T27" i="2"/>
  <c r="AG10" i="2"/>
  <c r="V12" i="2"/>
  <c r="V13" i="2" s="1"/>
  <c r="T21" i="2"/>
  <c r="S21" i="2"/>
  <c r="S28" i="2" s="1"/>
  <c r="S27" i="2"/>
  <c r="S23" i="2"/>
  <c r="S24" i="2" s="1"/>
  <c r="G19" i="2"/>
  <c r="G21" i="2" s="1"/>
  <c r="AD13" i="2"/>
  <c r="L19" i="2"/>
  <c r="L21" i="2" s="1"/>
  <c r="N18" i="2"/>
  <c r="G27" i="2"/>
  <c r="L27" i="2"/>
  <c r="AE10" i="2"/>
  <c r="AE13" i="2" s="1"/>
  <c r="O18" i="2"/>
  <c r="M27" i="2"/>
  <c r="E19" i="2"/>
  <c r="E21" i="2" s="1"/>
  <c r="I19" i="2"/>
  <c r="I21" i="2" s="1"/>
  <c r="F19" i="2"/>
  <c r="F21" i="2" s="1"/>
  <c r="J19" i="2"/>
  <c r="J21" i="2" s="1"/>
  <c r="K7" i="1"/>
  <c r="K19" i="2"/>
  <c r="K21" i="2" s="1"/>
  <c r="H19" i="2"/>
  <c r="H21" i="2" s="1"/>
  <c r="T23" i="2" l="1"/>
  <c r="T24" i="2" s="1"/>
  <c r="T28" i="2"/>
  <c r="AG12" i="2"/>
  <c r="AG13" i="2" s="1"/>
  <c r="G23" i="2"/>
  <c r="G24" i="2" s="1"/>
  <c r="G28" i="2"/>
  <c r="E23" i="2"/>
  <c r="E24" i="2" s="1"/>
  <c r="E28" i="2"/>
  <c r="J23" i="2"/>
  <c r="J24" i="2" s="1"/>
  <c r="J28" i="2"/>
  <c r="H23" i="2"/>
  <c r="H24" i="2" s="1"/>
  <c r="H28" i="2"/>
  <c r="F23" i="2"/>
  <c r="F24" i="2" s="1"/>
  <c r="F28" i="2"/>
  <c r="L23" i="2"/>
  <c r="L24" i="2" s="1"/>
  <c r="L28" i="2"/>
  <c r="K23" i="2"/>
  <c r="K24" i="2" s="1"/>
  <c r="K28" i="2"/>
  <c r="I23" i="2"/>
  <c r="I24" i="2" s="1"/>
  <c r="I28" i="2"/>
  <c r="N13" i="2"/>
  <c r="N15" i="2" s="1"/>
  <c r="M19" i="2"/>
  <c r="M21" i="2" s="1"/>
  <c r="P18" i="2"/>
  <c r="M28" i="2" l="1"/>
  <c r="O13" i="2"/>
  <c r="O15" i="2" s="1"/>
  <c r="R18" i="2"/>
  <c r="Q18" i="2"/>
  <c r="M23" i="2" l="1"/>
  <c r="M24" i="2" s="1"/>
  <c r="N27" i="2"/>
  <c r="N19" i="2"/>
  <c r="N21" i="2" s="1"/>
  <c r="O27" i="2"/>
  <c r="O19" i="2"/>
  <c r="O21" i="2" s="1"/>
  <c r="P13" i="2"/>
  <c r="P15" i="2" s="1"/>
  <c r="O28" i="2" l="1"/>
  <c r="N28" i="2"/>
  <c r="R13" i="2"/>
  <c r="R15" i="2" s="1"/>
  <c r="Q13" i="2"/>
  <c r="Q15" i="2" s="1"/>
  <c r="P27" i="2"/>
  <c r="P19" i="2"/>
  <c r="P21" i="2" s="1"/>
  <c r="N23" i="2" l="1"/>
  <c r="N24" i="2" s="1"/>
  <c r="P28" i="2"/>
  <c r="O23" i="2"/>
  <c r="O24" i="2" s="1"/>
  <c r="AF10" i="2"/>
  <c r="Q19" i="2"/>
  <c r="Q21" i="2" s="1"/>
  <c r="Q27" i="2"/>
  <c r="R19" i="2"/>
  <c r="R21" i="2" s="1"/>
  <c r="R27" i="2"/>
  <c r="AF13" i="2" l="1"/>
  <c r="P23" i="2"/>
  <c r="P24" i="2" s="1"/>
  <c r="R28" i="2"/>
  <c r="Q28" i="2"/>
  <c r="AI10" i="2" l="1"/>
  <c r="AH13" i="2"/>
  <c r="R23" i="2"/>
  <c r="R24" i="2" s="1"/>
  <c r="Q23" i="2"/>
  <c r="Q24" i="2" s="1"/>
  <c r="AJ10" i="2" l="1"/>
  <c r="AI13" i="2"/>
  <c r="AK10" i="2" l="1"/>
  <c r="AL10" i="2" s="1"/>
  <c r="AM10" i="2" s="1"/>
  <c r="AN10" i="2" s="1"/>
  <c r="AO10" i="2" s="1"/>
  <c r="AP10" i="2" s="1"/>
  <c r="AQ10" i="2" s="1"/>
  <c r="AR10" i="2" s="1"/>
  <c r="AJ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tc={7A88566D-7393-4EDB-9417-9FF15ED60EED}</author>
  </authors>
  <commentList>
    <comment ref="AE10" authorId="0" shapeId="0" xr:uid="{7A88566D-7393-4EDB-9417-9FF15ED60EED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Reiterates 21B expected delivery
Q322 guidance: 18-19B</t>
      </text>
    </comment>
  </commentList>
</comments>
</file>

<file path=xl/sharedStrings.xml><?xml version="1.0" encoding="utf-8"?>
<sst xmlns="http://schemas.openxmlformats.org/spreadsheetml/2006/main" count="173" uniqueCount="147">
  <si>
    <t>Price</t>
  </si>
  <si>
    <t>Shares</t>
  </si>
  <si>
    <t>MC</t>
  </si>
  <si>
    <t>Cash</t>
  </si>
  <si>
    <t>Debt</t>
  </si>
  <si>
    <t>EV</t>
  </si>
  <si>
    <t>Q222</t>
  </si>
  <si>
    <t>Main</t>
  </si>
  <si>
    <t>Product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</si>
  <si>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</si>
  <si>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</si>
  <si>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</si>
  <si>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</si>
  <si>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</si>
  <si>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</si>
  <si>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</si>
  <si>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</si>
  <si>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</si>
  <si>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</si>
  <si>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</si>
  <si>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</si>
  <si>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</si>
  <si>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</si>
  <si>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</si>
  <si>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Grant</t>
  </si>
  <si>
    <t>Collab</t>
  </si>
  <si>
    <t>Revenue</t>
  </si>
  <si>
    <t>EPS</t>
  </si>
  <si>
    <t>Net Income</t>
  </si>
  <si>
    <t>Taxes</t>
  </si>
  <si>
    <t>Pretax Income</t>
  </si>
  <si>
    <t>Interest</t>
  </si>
  <si>
    <t>OpEx</t>
  </si>
  <si>
    <t>OpInc</t>
  </si>
  <si>
    <t>COGS</t>
  </si>
  <si>
    <t>Gross Profit</t>
  </si>
  <si>
    <t>R&amp;D</t>
  </si>
  <si>
    <t>SG&amp;A</t>
  </si>
  <si>
    <t>Assets</t>
  </si>
  <si>
    <t>AR</t>
  </si>
  <si>
    <t>Inventory</t>
  </si>
  <si>
    <t>Prepaids</t>
  </si>
  <si>
    <t>PP&amp;E</t>
  </si>
  <si>
    <t>ROU</t>
  </si>
  <si>
    <t>DT</t>
  </si>
  <si>
    <t>ONCA</t>
  </si>
  <si>
    <t>AP</t>
  </si>
  <si>
    <t>Liabilities</t>
  </si>
  <si>
    <t>DR</t>
  </si>
  <si>
    <t>OCL</t>
  </si>
  <si>
    <t>Lease</t>
  </si>
  <si>
    <t>Financing</t>
  </si>
  <si>
    <t>S/E</t>
  </si>
  <si>
    <t>L+S/E</t>
  </si>
  <si>
    <t>Comirnaty</t>
  </si>
  <si>
    <t>Brand</t>
  </si>
  <si>
    <t>Indication</t>
  </si>
  <si>
    <t>MOA</t>
  </si>
  <si>
    <t>Approved</t>
  </si>
  <si>
    <t>IP</t>
  </si>
  <si>
    <t>Admin</t>
  </si>
  <si>
    <t>Phase</t>
  </si>
  <si>
    <t>mRNA-1010</t>
  </si>
  <si>
    <t>Influenza</t>
  </si>
  <si>
    <t>mRNA-3927</t>
  </si>
  <si>
    <t>Propionic Acidemia</t>
  </si>
  <si>
    <t>mRNA-3745</t>
  </si>
  <si>
    <t>GSD1a</t>
  </si>
  <si>
    <t>CEO: Stephane Bancel</t>
  </si>
  <si>
    <t>mRNA-3705</t>
  </si>
  <si>
    <t>MMA</t>
  </si>
  <si>
    <t>mRNA-3139</t>
  </si>
  <si>
    <t>OTC</t>
  </si>
  <si>
    <t>mRNA-1647</t>
  </si>
  <si>
    <t>CMV</t>
  </si>
  <si>
    <t>CFO: James Mock</t>
  </si>
  <si>
    <t>mRNA-1893</t>
  </si>
  <si>
    <t>Zika</t>
  </si>
  <si>
    <t>mRNA-1215</t>
  </si>
  <si>
    <t>Nipah</t>
  </si>
  <si>
    <t>mRNA-3283</t>
  </si>
  <si>
    <t>PKU</t>
  </si>
  <si>
    <t>PCV</t>
  </si>
  <si>
    <t>Spikevax</t>
  </si>
  <si>
    <t>COVID-19</t>
  </si>
  <si>
    <t>mRNA-1020</t>
  </si>
  <si>
    <t>mRNA-1030</t>
  </si>
  <si>
    <t>mRNA-1011</t>
  </si>
  <si>
    <t>mRNA-1012</t>
  </si>
  <si>
    <t>mRNA-1608</t>
  </si>
  <si>
    <t>HSV</t>
  </si>
  <si>
    <t>mRNA-1468</t>
  </si>
  <si>
    <t>Vaccine</t>
  </si>
  <si>
    <t>VZV</t>
  </si>
  <si>
    <t>VXc-522</t>
  </si>
  <si>
    <t>Cystic Fibrosis</t>
  </si>
  <si>
    <t>Economics</t>
  </si>
  <si>
    <t>VRTX</t>
  </si>
  <si>
    <t>Headcount</t>
  </si>
  <si>
    <t>CCO: Arpa Garay</t>
  </si>
  <si>
    <t>mRNA-1574</t>
  </si>
  <si>
    <t>HIV</t>
  </si>
  <si>
    <t>I</t>
  </si>
  <si>
    <t>III</t>
  </si>
  <si>
    <t>mRNA-1189</t>
  </si>
  <si>
    <t>EBV</t>
  </si>
  <si>
    <t>Gross Margin</t>
  </si>
  <si>
    <t>Tax Rate</t>
  </si>
  <si>
    <t>ONCL</t>
  </si>
  <si>
    <t>Oncology</t>
  </si>
  <si>
    <t>mRNA-4157/V940</t>
  </si>
  <si>
    <t>II</t>
  </si>
  <si>
    <t>Q123: RSV data</t>
  </si>
  <si>
    <t>Q123: influenza p3 immunogenicity data</t>
  </si>
  <si>
    <t>Spikevax, fka mRNA-1273</t>
  </si>
  <si>
    <t>MRK</t>
  </si>
  <si>
    <t>personalized mRNA vaccine</t>
  </si>
  <si>
    <t>Clinical Trials</t>
  </si>
  <si>
    <t>RFS HR=0.56 p=0.0266 (one-sided!)</t>
  </si>
  <si>
    <t>Phase IIb "KEYNOTE-942" n=157 adjuvant melanoma - NCT0389788</t>
  </si>
  <si>
    <t>MRK 50/50 global P&amp;L profit share</t>
  </si>
  <si>
    <t>12/13/22: 4157 Phase II data</t>
  </si>
  <si>
    <t>Q224</t>
  </si>
  <si>
    <t>Q124</t>
  </si>
  <si>
    <t>Q324</t>
  </si>
  <si>
    <t>Q424</t>
  </si>
  <si>
    <t>mRESVIA (mRNA-1345)</t>
  </si>
  <si>
    <t>mRNA-1403</t>
  </si>
  <si>
    <t>Norovirus</t>
  </si>
  <si>
    <t>RSV older adults</t>
  </si>
  <si>
    <t>III, data YE</t>
  </si>
  <si>
    <t>Name</t>
  </si>
  <si>
    <t>mRNA-5671</t>
  </si>
  <si>
    <t>KRAS</t>
  </si>
  <si>
    <t>Fate</t>
  </si>
  <si>
    <t>Discontinued</t>
  </si>
  <si>
    <t>mRNA-0184</t>
  </si>
  <si>
    <t>relaxin</t>
  </si>
  <si>
    <t>mRNA-1345</t>
  </si>
  <si>
    <t>Abrysvo</t>
  </si>
  <si>
    <t>Arvexy</t>
  </si>
  <si>
    <t>mRNA-1083</t>
  </si>
  <si>
    <t>COVID-19+Influenza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</si>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</sst>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3" fillId="0" borderId="0" xfId="1"/>
    <xf numFmtId="4" fontId="0" fillId="0" borderId="0" xfId="0" applyNumberFormat="1"/>
    <xf numFmtId="0" fontId="4" fillId="0" borderId="0" xfId="0" applyFont="1"/>
    <xf numFmtId="0" fontId="3" fillId="0" borderId="1" xfId="1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5BB2248-80F9-44E9-A8DB-CDF8EE0456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4201</xdr:colOff>
      <xdr:row>0</xdr:row>
      <xdr:rowOff>59121</xdr:rowOff>
    </xdr:from>
    <xdr:to>
      <xdr:col>21</xdr:col>
      <xdr:colOff>4201</xdr:colOff>
      <xdr:row>52</xdr:row>
      <xdr:rowOff>17219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D9DD69-49BF-D603-E3E8-06FB37E5F0CA}"/>
            </a:ext>
          </a:extLst>
        </xdr:cNvPr>
        <xdr:cNvCxnSpPr/>
      </xdr:nvCxnSpPr>
      <xdr:spPr>
        <a:xfrm>
          <a:off x="12820253" y="59121"/>
          <a:ext cx="0" cy="84977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0</xdr:row>
      <xdr:rowOff>0</xdr:rowOff>
    </xdr:from>
    <xdr:to>
      <xdr:col>30</xdr:col>
      <xdr:colOff>38100</xdr:colOff>
      <xdr:row>51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F9B6F24-0513-4BD0-B6A8-E691E2057353}"/>
            </a:ext>
          </a:extLst>
        </xdr:cNvPr>
        <xdr:cNvCxnSpPr/>
      </xdr:nvCxnSpPr>
      <xdr:spPr>
        <a:xfrm>
          <a:off x="15268575" y="0"/>
          <a:ext cx="0" cy="773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F1476AF-D443-4543-BE7B-E432FEBB72D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0" dT="2022-09-10T06:51:40.15" personId="{7F1476AF-D443-4543-BE7B-E432FEBB72DB}" id="{7A88566D-7393-4EDB-9417-9FF15ED60EED}">
    <text>Q222 guidance: Reiterates 21B expected delivery
Q322 guidance: 18-19B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A4C7-646C-471C-BC3A-3C06D5B3D5C6}">
  <dimension ref="A6:D9"/>
  <sheetViews>
    <sheetView topLeftCell="A6" zoomScale="205" zoomScaleNormal="205" workbookViewId="0">
      <selection activeCell="B10" sqref="B10"/>
    </sheetView>
  </sheetViews>
  <sheetFormatPr defaultRowHeight="12.75" x14ac:dyDescent="0.2"/>
  <cols>
    <col min="1" max="1" width="5" bestFit="1" customWidth="1"/>
    <col min="2" max="2" width="11.140625" bestFit="1" customWidth="1"/>
  </cols>
  <sheetData>
    <row r="6" spans="1:4" x14ac:dyDescent="0.2">
      <c r="A6" s="19" t="s">
        <v>7</v>
      </c>
    </row>
    <row r="7" spans="1:4" x14ac:dyDescent="0.2">
      <c r="B7" t="s">
        <v>131</v>
      </c>
      <c r="C7" t="s">
        <v>57</v>
      </c>
      <c r="D7" t="s">
        <v>134</v>
      </c>
    </row>
    <row r="8" spans="1:4" x14ac:dyDescent="0.2">
      <c r="B8" t="s">
        <v>132</v>
      </c>
      <c r="C8" t="s">
        <v>133</v>
      </c>
      <c r="D8" t="s">
        <v>135</v>
      </c>
    </row>
    <row r="9" spans="1:4" x14ac:dyDescent="0.2">
      <c r="B9" t="s">
        <v>136</v>
      </c>
      <c r="C9" t="s">
        <v>137</v>
      </c>
      <c r="D9" t="s">
        <v>135</v>
      </c>
    </row>
  </sheetData>
  <hyperlinks>
    <hyperlink ref="A6" location="Main!A1" display="Main" xr:uid="{4A3D7D45-F375-4E89-89FF-4AFD27F5F9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1D1F-1382-40BF-BCB1-9D97F23C48F4}">
  <dimension ref="B2:L30"/>
  <sheetViews>
    <sheetView tabSelected="1" zoomScale="145" zoomScaleNormal="145" workbookViewId="0">
      <selection activeCell="K3" sqref="K3"/>
    </sheetView>
  </sheetViews>
  <sheetFormatPr defaultRowHeight="12.75" x14ac:dyDescent="0.2"/>
  <cols>
    <col min="1" max="1" width="3.85546875" customWidth="1"/>
    <col min="2" max="2" width="16.42578125" customWidth="1"/>
    <col min="3" max="3" width="17.28515625" customWidth="1"/>
    <col min="5" max="5" width="11.7109375" customWidth="1"/>
    <col min="7" max="7" width="10.28515625" customWidth="1"/>
  </cols>
  <sheetData>
    <row r="2" spans="2:12" x14ac:dyDescent="0.2">
      <c r="B2" s="12" t="s">
        <v>131</v>
      </c>
      <c r="C2" s="13" t="s">
        <v>56</v>
      </c>
      <c r="D2" s="13" t="s">
        <v>57</v>
      </c>
      <c r="E2" s="13" t="s">
        <v>58</v>
      </c>
      <c r="F2" s="14" t="s">
        <v>59</v>
      </c>
      <c r="G2" s="14" t="s">
        <v>96</v>
      </c>
      <c r="H2" s="23" t="s">
        <v>60</v>
      </c>
      <c r="J2" t="s">
        <v>0</v>
      </c>
      <c r="K2" s="20">
        <v>33</v>
      </c>
    </row>
    <row r="3" spans="2:12" x14ac:dyDescent="0.2">
      <c r="B3" s="9" t="s">
        <v>83</v>
      </c>
      <c r="C3" t="s">
        <v>84</v>
      </c>
      <c r="F3" s="15"/>
      <c r="G3" s="15"/>
      <c r="H3" s="24"/>
      <c r="J3" t="s">
        <v>1</v>
      </c>
      <c r="K3" s="2">
        <v>384.81781100000001</v>
      </c>
      <c r="L3" s="1" t="s">
        <v>124</v>
      </c>
    </row>
    <row r="4" spans="2:12" x14ac:dyDescent="0.2">
      <c r="B4" s="9" t="s">
        <v>126</v>
      </c>
      <c r="C4" t="s">
        <v>129</v>
      </c>
      <c r="E4" s="15">
        <v>2024</v>
      </c>
      <c r="F4" s="15"/>
      <c r="G4" s="15"/>
      <c r="H4" s="24"/>
      <c r="J4" t="s">
        <v>2</v>
      </c>
      <c r="K4" s="2">
        <f>+K2*K3</f>
        <v>12698.987763000001</v>
      </c>
    </row>
    <row r="5" spans="2:12" x14ac:dyDescent="0.2">
      <c r="B5" s="12"/>
      <c r="C5" s="13"/>
      <c r="D5" s="13"/>
      <c r="E5" s="14" t="s">
        <v>61</v>
      </c>
      <c r="F5" s="14"/>
      <c r="G5" s="14"/>
      <c r="H5" s="23"/>
      <c r="J5" t="s">
        <v>3</v>
      </c>
      <c r="K5" s="2">
        <f>1644+5223+2335</f>
        <v>9202</v>
      </c>
      <c r="L5" s="1" t="s">
        <v>124</v>
      </c>
    </row>
    <row r="6" spans="2:12" x14ac:dyDescent="0.2">
      <c r="B6" s="9" t="s">
        <v>73</v>
      </c>
      <c r="C6" t="s">
        <v>74</v>
      </c>
      <c r="E6" s="15" t="s">
        <v>130</v>
      </c>
      <c r="F6" s="15"/>
      <c r="G6" s="15"/>
      <c r="H6" s="24"/>
      <c r="J6" t="s">
        <v>4</v>
      </c>
      <c r="K6" s="2">
        <v>0</v>
      </c>
      <c r="L6" s="1" t="s">
        <v>124</v>
      </c>
    </row>
    <row r="7" spans="2:12" x14ac:dyDescent="0.2">
      <c r="B7" s="9" t="s">
        <v>62</v>
      </c>
      <c r="C7" t="s">
        <v>63</v>
      </c>
      <c r="E7" s="15"/>
      <c r="F7" s="15"/>
      <c r="G7" s="15"/>
      <c r="H7" s="24"/>
      <c r="J7" t="s">
        <v>5</v>
      </c>
      <c r="K7" s="2">
        <f>+K4-K5+K6</f>
        <v>3496.987763000001</v>
      </c>
    </row>
    <row r="8" spans="2:12" x14ac:dyDescent="0.2">
      <c r="B8" s="9" t="s">
        <v>85</v>
      </c>
      <c r="C8" t="s">
        <v>63</v>
      </c>
      <c r="E8" s="15"/>
      <c r="F8" s="15"/>
      <c r="G8" s="15"/>
      <c r="H8" s="24"/>
    </row>
    <row r="9" spans="2:12" x14ac:dyDescent="0.2">
      <c r="B9" s="9" t="s">
        <v>86</v>
      </c>
      <c r="C9" t="s">
        <v>63</v>
      </c>
      <c r="E9" s="15"/>
      <c r="F9" s="15"/>
      <c r="G9" s="15"/>
      <c r="H9" s="24"/>
    </row>
    <row r="10" spans="2:12" x14ac:dyDescent="0.2">
      <c r="B10" s="9" t="s">
        <v>87</v>
      </c>
      <c r="C10" t="s">
        <v>63</v>
      </c>
      <c r="E10" s="15"/>
      <c r="F10" s="15"/>
      <c r="G10" s="15"/>
      <c r="H10" s="24"/>
    </row>
    <row r="11" spans="2:12" x14ac:dyDescent="0.2">
      <c r="B11" s="9" t="s">
        <v>141</v>
      </c>
      <c r="C11" t="s">
        <v>142</v>
      </c>
      <c r="E11" s="15" t="s">
        <v>103</v>
      </c>
      <c r="F11" s="15"/>
      <c r="G11" s="15"/>
      <c r="H11" s="24"/>
    </row>
    <row r="12" spans="2:12" x14ac:dyDescent="0.2">
      <c r="B12" s="9" t="s">
        <v>88</v>
      </c>
      <c r="C12" t="s">
        <v>63</v>
      </c>
      <c r="E12" s="15"/>
      <c r="F12" s="15"/>
      <c r="G12" s="15"/>
      <c r="H12" s="24"/>
      <c r="J12" t="s">
        <v>68</v>
      </c>
    </row>
    <row r="13" spans="2:12" x14ac:dyDescent="0.2">
      <c r="B13" s="9" t="s">
        <v>64</v>
      </c>
      <c r="C13" t="s">
        <v>65</v>
      </c>
      <c r="E13" s="15"/>
      <c r="F13" s="15"/>
      <c r="G13" s="15"/>
      <c r="H13" s="24"/>
      <c r="J13" t="s">
        <v>75</v>
      </c>
    </row>
    <row r="14" spans="2:12" x14ac:dyDescent="0.2">
      <c r="B14" s="9" t="s">
        <v>127</v>
      </c>
      <c r="C14" t="s">
        <v>128</v>
      </c>
      <c r="E14" s="15" t="s">
        <v>103</v>
      </c>
      <c r="F14" s="15"/>
      <c r="G14" s="15"/>
      <c r="H14" s="24"/>
    </row>
    <row r="15" spans="2:12" x14ac:dyDescent="0.2">
      <c r="B15" s="9" t="s">
        <v>66</v>
      </c>
      <c r="C15" t="s">
        <v>67</v>
      </c>
      <c r="E15" s="15"/>
      <c r="F15" s="15"/>
      <c r="G15" s="15"/>
      <c r="H15" s="24"/>
      <c r="J15" t="s">
        <v>99</v>
      </c>
    </row>
    <row r="16" spans="2:12" x14ac:dyDescent="0.2">
      <c r="B16" s="9" t="s">
        <v>69</v>
      </c>
      <c r="C16" t="s">
        <v>70</v>
      </c>
      <c r="E16" s="15"/>
      <c r="F16" s="15"/>
      <c r="G16" s="15"/>
      <c r="H16" s="24"/>
    </row>
    <row r="17" spans="2:8" x14ac:dyDescent="0.2">
      <c r="B17" s="9" t="s">
        <v>71</v>
      </c>
      <c r="C17" t="s">
        <v>72</v>
      </c>
      <c r="E17" s="15"/>
      <c r="F17" s="15"/>
      <c r="G17" s="15"/>
      <c r="H17" s="24"/>
    </row>
    <row r="18" spans="2:8" x14ac:dyDescent="0.2">
      <c r="B18" s="9" t="s">
        <v>76</v>
      </c>
      <c r="C18" t="s">
        <v>77</v>
      </c>
      <c r="E18" s="15"/>
      <c r="F18" s="15"/>
      <c r="G18" s="15"/>
      <c r="H18" s="24"/>
    </row>
    <row r="19" spans="2:8" x14ac:dyDescent="0.2">
      <c r="B19" s="9" t="s">
        <v>78</v>
      </c>
      <c r="C19" t="s">
        <v>79</v>
      </c>
      <c r="D19" t="s">
        <v>92</v>
      </c>
      <c r="E19" s="15"/>
      <c r="F19" s="15"/>
      <c r="G19" s="15"/>
      <c r="H19" s="24"/>
    </row>
    <row r="20" spans="2:8" x14ac:dyDescent="0.2">
      <c r="B20" s="22" t="s">
        <v>110</v>
      </c>
      <c r="C20" t="s">
        <v>109</v>
      </c>
      <c r="D20" t="s">
        <v>82</v>
      </c>
      <c r="E20" s="15" t="s">
        <v>111</v>
      </c>
      <c r="F20" s="15"/>
      <c r="G20" s="15" t="s">
        <v>115</v>
      </c>
      <c r="H20" s="24"/>
    </row>
    <row r="21" spans="2:8" x14ac:dyDescent="0.2">
      <c r="B21" s="9" t="s">
        <v>89</v>
      </c>
      <c r="C21" t="s">
        <v>90</v>
      </c>
      <c r="E21" s="15"/>
      <c r="F21" s="15"/>
      <c r="G21" s="15"/>
      <c r="H21" s="24"/>
    </row>
    <row r="22" spans="2:8" x14ac:dyDescent="0.2">
      <c r="B22" s="9" t="s">
        <v>100</v>
      </c>
      <c r="C22" t="s">
        <v>101</v>
      </c>
      <c r="D22" t="s">
        <v>92</v>
      </c>
      <c r="E22" s="15" t="s">
        <v>102</v>
      </c>
      <c r="F22" s="15"/>
      <c r="G22" s="15"/>
      <c r="H22" s="24"/>
    </row>
    <row r="23" spans="2:8" x14ac:dyDescent="0.2">
      <c r="B23" s="9" t="s">
        <v>91</v>
      </c>
      <c r="C23" t="s">
        <v>93</v>
      </c>
      <c r="E23" s="15"/>
      <c r="F23" s="15"/>
      <c r="G23" s="15"/>
      <c r="H23" s="24"/>
    </row>
    <row r="24" spans="2:8" x14ac:dyDescent="0.2">
      <c r="B24" s="9" t="s">
        <v>104</v>
      </c>
      <c r="C24" t="s">
        <v>105</v>
      </c>
      <c r="D24" t="s">
        <v>92</v>
      </c>
      <c r="E24" s="15" t="s">
        <v>102</v>
      </c>
      <c r="F24" s="15"/>
      <c r="G24" s="15"/>
      <c r="H24" s="24"/>
    </row>
    <row r="25" spans="2:8" x14ac:dyDescent="0.2">
      <c r="B25" s="9" t="s">
        <v>94</v>
      </c>
      <c r="C25" t="s">
        <v>95</v>
      </c>
      <c r="E25" s="15"/>
      <c r="F25" s="15"/>
      <c r="G25" s="15" t="s">
        <v>97</v>
      </c>
      <c r="H25" s="24"/>
    </row>
    <row r="26" spans="2:8" x14ac:dyDescent="0.2">
      <c r="B26" s="10" t="s">
        <v>80</v>
      </c>
      <c r="C26" s="11" t="s">
        <v>81</v>
      </c>
      <c r="D26" s="11"/>
      <c r="E26" s="16"/>
      <c r="F26" s="16"/>
      <c r="G26" s="16"/>
      <c r="H26" s="25"/>
    </row>
    <row r="28" spans="2:8" x14ac:dyDescent="0.2">
      <c r="E28" t="s">
        <v>121</v>
      </c>
    </row>
    <row r="29" spans="2:8" x14ac:dyDescent="0.2">
      <c r="E29" t="s">
        <v>112</v>
      </c>
    </row>
    <row r="30" spans="2:8" x14ac:dyDescent="0.2">
      <c r="E30" t="s">
        <v>113</v>
      </c>
    </row>
  </sheetData>
  <hyperlinks>
    <hyperlink ref="B20" location="'4157'!A1" display="mRNA-4157/V940" xr:uid="{D955C29F-0D73-4368-B48E-9F918E568DFA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93C8-90F0-44F5-B32B-73F90FF84785}">
  <dimension ref="A1:AR53"/>
  <sheetViews>
    <sheetView zoomScale="145" zoomScaleNormal="145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W10" sqref="W10"/>
    </sheetView>
  </sheetViews>
  <sheetFormatPr defaultRowHeight="12.75" x14ac:dyDescent="0.2"/>
  <cols>
    <col min="1" max="1" width="5" bestFit="1" customWidth="1"/>
    <col min="2" max="2" width="13.140625" bestFit="1" customWidth="1"/>
    <col min="3" max="14" width="9.140625" style="1"/>
  </cols>
  <sheetData>
    <row r="1" spans="1:44" x14ac:dyDescent="0.2">
      <c r="A1" s="19" t="s">
        <v>7</v>
      </c>
    </row>
    <row r="2" spans="1:44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123</v>
      </c>
      <c r="T2" s="1" t="s">
        <v>122</v>
      </c>
      <c r="U2" s="1" t="s">
        <v>124</v>
      </c>
      <c r="V2" s="1" t="s">
        <v>125</v>
      </c>
      <c r="W2" s="1" t="s">
        <v>143</v>
      </c>
      <c r="X2" s="1" t="s">
        <v>144</v>
      </c>
      <c r="Y2" s="1" t="s">
        <v>145</v>
      </c>
      <c r="Z2" s="1" t="s">
        <v>146</v>
      </c>
      <c r="AB2">
        <v>2019</v>
      </c>
      <c r="AC2">
        <f>+AB2+1</f>
        <v>2020</v>
      </c>
      <c r="AD2">
        <f t="shared" ref="AD2:AI2" si="0">+AC2+1</f>
        <v>2021</v>
      </c>
      <c r="AE2">
        <f t="shared" si="0"/>
        <v>2022</v>
      </c>
      <c r="AF2">
        <f t="shared" si="0"/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>+AI2+1</f>
        <v>2027</v>
      </c>
      <c r="AK2">
        <f t="shared" ref="AK2:AR2" si="1">+AJ2+1</f>
        <v>2028</v>
      </c>
      <c r="AL2">
        <f t="shared" si="1"/>
        <v>2029</v>
      </c>
      <c r="AM2">
        <f t="shared" si="1"/>
        <v>2030</v>
      </c>
      <c r="AN2">
        <f t="shared" si="1"/>
        <v>2031</v>
      </c>
      <c r="AO2">
        <f t="shared" si="1"/>
        <v>2032</v>
      </c>
      <c r="AP2">
        <f t="shared" si="1"/>
        <v>2033</v>
      </c>
      <c r="AQ2">
        <f t="shared" si="1"/>
        <v>2034</v>
      </c>
      <c r="AR2">
        <f t="shared" si="1"/>
        <v>2035</v>
      </c>
    </row>
    <row r="3" spans="1:44" s="7" customFormat="1" x14ac:dyDescent="0.2">
      <c r="B3" s="7" t="s">
        <v>54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44" x14ac:dyDescent="0.2">
      <c r="B4" t="s">
        <v>139</v>
      </c>
      <c r="O4" s="1"/>
      <c r="P4" s="1"/>
      <c r="Q4" s="1"/>
      <c r="R4" s="1"/>
      <c r="S4" s="1"/>
      <c r="T4" s="1"/>
      <c r="U4" s="1"/>
      <c r="AF4">
        <v>0</v>
      </c>
      <c r="AG4" s="2">
        <v>1100</v>
      </c>
      <c r="AH4" s="2"/>
    </row>
    <row r="5" spans="1:44" x14ac:dyDescent="0.2">
      <c r="B5" t="s">
        <v>140</v>
      </c>
      <c r="O5" s="1"/>
      <c r="P5" s="1"/>
      <c r="Q5" s="1"/>
      <c r="R5" s="1"/>
      <c r="S5" s="1"/>
      <c r="T5" s="1"/>
      <c r="U5" s="1"/>
      <c r="AG5" s="2">
        <v>1500</v>
      </c>
      <c r="AH5" s="2"/>
    </row>
    <row r="6" spans="1:44" x14ac:dyDescent="0.2">
      <c r="O6" s="1"/>
      <c r="P6" s="1"/>
      <c r="Q6" s="1"/>
      <c r="R6" s="1"/>
      <c r="S6" s="1"/>
      <c r="T6" s="1"/>
      <c r="U6" s="1"/>
      <c r="AG6" s="2"/>
      <c r="AH6" s="2"/>
    </row>
    <row r="7" spans="1:44" x14ac:dyDescent="0.2">
      <c r="B7" t="s">
        <v>138</v>
      </c>
      <c r="O7" s="1"/>
      <c r="P7" s="1"/>
      <c r="Q7" s="1"/>
      <c r="R7" s="1"/>
      <c r="S7" s="1"/>
      <c r="T7" s="1"/>
      <c r="U7" s="1"/>
      <c r="AG7" s="2">
        <v>50</v>
      </c>
      <c r="AH7" s="2">
        <v>600</v>
      </c>
    </row>
    <row r="8" spans="1:44" x14ac:dyDescent="0.2">
      <c r="B8" t="s">
        <v>73</v>
      </c>
      <c r="O8" s="1"/>
      <c r="P8" s="1"/>
      <c r="Q8" s="1"/>
      <c r="R8" s="1"/>
      <c r="S8" s="1"/>
      <c r="T8" s="1"/>
      <c r="U8" s="1"/>
      <c r="AH8" s="2">
        <v>1000</v>
      </c>
    </row>
    <row r="9" spans="1:44" x14ac:dyDescent="0.2">
      <c r="B9" t="s">
        <v>63</v>
      </c>
      <c r="O9" s="1"/>
      <c r="P9" s="1"/>
      <c r="Q9" s="1"/>
      <c r="R9" s="1"/>
      <c r="S9" s="1"/>
      <c r="T9" s="1"/>
      <c r="U9" s="1"/>
      <c r="AH9" s="2">
        <v>600</v>
      </c>
    </row>
    <row r="10" spans="1:44" s="2" customFormat="1" x14ac:dyDescent="0.2">
      <c r="B10" s="2" t="s">
        <v>8</v>
      </c>
      <c r="C10" s="3"/>
      <c r="D10" s="3"/>
      <c r="E10" s="3">
        <v>0</v>
      </c>
      <c r="F10" s="3">
        <v>200</v>
      </c>
      <c r="G10" s="3">
        <v>1733</v>
      </c>
      <c r="H10" s="3">
        <v>4197</v>
      </c>
      <c r="I10" s="3">
        <v>4810</v>
      </c>
      <c r="J10" s="3">
        <v>6935</v>
      </c>
      <c r="K10" s="3">
        <v>5925</v>
      </c>
      <c r="L10" s="3">
        <v>4531</v>
      </c>
      <c r="M10" s="3">
        <v>3120</v>
      </c>
      <c r="N10" s="3">
        <v>4859</v>
      </c>
      <c r="O10" s="3">
        <v>1828</v>
      </c>
      <c r="P10" s="3">
        <v>293</v>
      </c>
      <c r="Q10" s="3">
        <v>1757</v>
      </c>
      <c r="R10" s="3">
        <v>2793</v>
      </c>
      <c r="S10" s="3">
        <v>167</v>
      </c>
      <c r="T10" s="3">
        <v>184</v>
      </c>
      <c r="U10" s="3">
        <v>1820</v>
      </c>
      <c r="V10" s="2">
        <f>3050-U10-T10-S10</f>
        <v>879</v>
      </c>
      <c r="AD10" s="2">
        <f>SUM(G10:J10)</f>
        <v>17675</v>
      </c>
      <c r="AE10" s="2">
        <f>SUM(K10:N10)</f>
        <v>18435</v>
      </c>
      <c r="AF10" s="2">
        <f>SUM(O10:R10)</f>
        <v>6671</v>
      </c>
      <c r="AG10" s="2">
        <f>SUM(S10:V10)</f>
        <v>3050</v>
      </c>
      <c r="AH10" s="2">
        <v>500</v>
      </c>
      <c r="AI10" s="2">
        <f t="shared" ref="AI10:AR10" si="2">+AH10*0.2</f>
        <v>100</v>
      </c>
      <c r="AJ10" s="2">
        <f t="shared" si="2"/>
        <v>20</v>
      </c>
      <c r="AK10" s="2">
        <f t="shared" si="2"/>
        <v>4</v>
      </c>
      <c r="AL10" s="2">
        <f t="shared" si="2"/>
        <v>0.8</v>
      </c>
      <c r="AM10" s="2">
        <f t="shared" si="2"/>
        <v>0.16000000000000003</v>
      </c>
      <c r="AN10" s="2">
        <f t="shared" si="2"/>
        <v>3.2000000000000008E-2</v>
      </c>
      <c r="AO10" s="2">
        <f t="shared" si="2"/>
        <v>6.400000000000002E-3</v>
      </c>
      <c r="AP10" s="2">
        <f t="shared" si="2"/>
        <v>1.2800000000000005E-3</v>
      </c>
      <c r="AQ10" s="2">
        <f t="shared" si="2"/>
        <v>2.560000000000001E-4</v>
      </c>
      <c r="AR10" s="2">
        <f t="shared" si="2"/>
        <v>5.1200000000000025E-5</v>
      </c>
    </row>
    <row r="11" spans="1:44" s="2" customFormat="1" x14ac:dyDescent="0.2">
      <c r="B11" s="2" t="s">
        <v>24</v>
      </c>
      <c r="C11" s="3"/>
      <c r="D11" s="3"/>
      <c r="E11" s="3">
        <v>145</v>
      </c>
      <c r="F11" s="3">
        <v>341</v>
      </c>
      <c r="G11" s="3">
        <v>194</v>
      </c>
      <c r="H11" s="3">
        <v>139</v>
      </c>
      <c r="I11" s="3">
        <v>140</v>
      </c>
      <c r="J11" s="3">
        <v>262</v>
      </c>
      <c r="K11" s="3">
        <v>126</v>
      </c>
      <c r="L11" s="3">
        <v>183</v>
      </c>
      <c r="M11" s="3">
        <v>144</v>
      </c>
      <c r="N11" s="3"/>
      <c r="AD11" s="2">
        <f>SUM(G11:J11)</f>
        <v>735</v>
      </c>
      <c r="AE11" s="2">
        <f>SUM(K11:N11)</f>
        <v>453</v>
      </c>
      <c r="AF11" s="2">
        <f>SUM(O11:R11)</f>
        <v>0</v>
      </c>
      <c r="AG11" s="2">
        <f>SUM(S11:V11)</f>
        <v>0</v>
      </c>
    </row>
    <row r="12" spans="1:44" s="2" customFormat="1" x14ac:dyDescent="0.2">
      <c r="B12" s="2" t="s">
        <v>25</v>
      </c>
      <c r="C12" s="3"/>
      <c r="D12" s="3"/>
      <c r="E12" s="3">
        <v>12</v>
      </c>
      <c r="F12" s="3">
        <v>30</v>
      </c>
      <c r="G12" s="3">
        <v>10</v>
      </c>
      <c r="H12" s="3">
        <v>18</v>
      </c>
      <c r="I12" s="3">
        <v>19</v>
      </c>
      <c r="J12" s="3">
        <v>14</v>
      </c>
      <c r="K12" s="3">
        <v>15</v>
      </c>
      <c r="L12" s="3">
        <v>35</v>
      </c>
      <c r="M12" s="3">
        <v>100</v>
      </c>
      <c r="N12" s="3">
        <v>225</v>
      </c>
      <c r="O12" s="2">
        <v>34</v>
      </c>
      <c r="P12" s="2">
        <v>51</v>
      </c>
      <c r="Q12" s="2">
        <v>74</v>
      </c>
      <c r="R12" s="2">
        <v>18</v>
      </c>
      <c r="S12" s="2">
        <v>0</v>
      </c>
      <c r="T12" s="2">
        <v>57</v>
      </c>
      <c r="U12" s="2">
        <v>42</v>
      </c>
      <c r="V12" s="2">
        <f>+U12</f>
        <v>42</v>
      </c>
      <c r="AD12" s="2">
        <f>SUM(G12:J12)</f>
        <v>61</v>
      </c>
      <c r="AE12" s="2">
        <f>SUM(K12:N12)</f>
        <v>375</v>
      </c>
      <c r="AF12" s="2">
        <f>SUM(O12:R12)</f>
        <v>177</v>
      </c>
      <c r="AG12" s="2">
        <f>SUM(S12:V12)</f>
        <v>141</v>
      </c>
    </row>
    <row r="13" spans="1:44" s="4" customFormat="1" x14ac:dyDescent="0.2">
      <c r="B13" s="4" t="s">
        <v>26</v>
      </c>
      <c r="C13" s="5"/>
      <c r="D13" s="5"/>
      <c r="E13" s="5">
        <f t="shared" ref="E13:L13" si="3">SUM(E10:E12)</f>
        <v>157</v>
      </c>
      <c r="F13" s="5">
        <f t="shared" si="3"/>
        <v>571</v>
      </c>
      <c r="G13" s="5">
        <f t="shared" si="3"/>
        <v>1937</v>
      </c>
      <c r="H13" s="5">
        <f t="shared" si="3"/>
        <v>4354</v>
      </c>
      <c r="I13" s="5">
        <f t="shared" si="3"/>
        <v>4969</v>
      </c>
      <c r="J13" s="5">
        <f t="shared" si="3"/>
        <v>7211</v>
      </c>
      <c r="K13" s="5">
        <f t="shared" si="3"/>
        <v>6066</v>
      </c>
      <c r="L13" s="5">
        <f t="shared" si="3"/>
        <v>4749</v>
      </c>
      <c r="M13" s="5">
        <f t="shared" ref="M13:N13" si="4">SUM(M10:M12)</f>
        <v>3364</v>
      </c>
      <c r="N13" s="5">
        <f t="shared" si="4"/>
        <v>5084</v>
      </c>
      <c r="O13" s="5">
        <f t="shared" ref="O13" si="5">SUM(O10:O12)</f>
        <v>1862</v>
      </c>
      <c r="P13" s="5">
        <f t="shared" ref="P13" si="6">SUM(P10:P12)</f>
        <v>344</v>
      </c>
      <c r="Q13" s="5">
        <f t="shared" ref="Q13" si="7">SUM(Q10:Q12)</f>
        <v>1831</v>
      </c>
      <c r="R13" s="5">
        <f t="shared" ref="R13:Z13" si="8">SUM(R10:R12)</f>
        <v>2811</v>
      </c>
      <c r="S13" s="5">
        <f t="shared" si="8"/>
        <v>167</v>
      </c>
      <c r="T13" s="5">
        <f t="shared" si="8"/>
        <v>241</v>
      </c>
      <c r="U13" s="5">
        <f t="shared" si="8"/>
        <v>1862</v>
      </c>
      <c r="V13" s="5">
        <f t="shared" si="8"/>
        <v>921</v>
      </c>
      <c r="W13" s="5">
        <f t="shared" si="8"/>
        <v>0</v>
      </c>
      <c r="X13" s="5">
        <f t="shared" si="8"/>
        <v>0</v>
      </c>
      <c r="Y13" s="5">
        <f t="shared" si="8"/>
        <v>0</v>
      </c>
      <c r="Z13" s="5">
        <f t="shared" si="8"/>
        <v>0</v>
      </c>
      <c r="AD13" s="4">
        <f>SUM(AD10:AD12)</f>
        <v>18471</v>
      </c>
      <c r="AE13" s="4">
        <f>SUM(AE10:AE12)</f>
        <v>19263</v>
      </c>
      <c r="AF13" s="4">
        <f>SUM(AF10:AF12)</f>
        <v>6848</v>
      </c>
      <c r="AG13" s="4">
        <f>SUM(AG7:AG12)</f>
        <v>3241</v>
      </c>
      <c r="AH13" s="4">
        <f>SUM(AH7:AH12)</f>
        <v>2700</v>
      </c>
      <c r="AI13" s="4">
        <f>SUM(AI7:AI12)</f>
        <v>100</v>
      </c>
      <c r="AJ13" s="4">
        <f>SUM(AJ7:AJ12)</f>
        <v>20</v>
      </c>
    </row>
    <row r="14" spans="1:44" s="2" customFormat="1" x14ac:dyDescent="0.2">
      <c r="B14" s="2" t="s">
        <v>34</v>
      </c>
      <c r="C14" s="3"/>
      <c r="D14" s="3"/>
      <c r="E14" s="3">
        <v>0</v>
      </c>
      <c r="F14" s="3">
        <v>8</v>
      </c>
      <c r="G14" s="3">
        <v>193</v>
      </c>
      <c r="H14" s="3">
        <v>750</v>
      </c>
      <c r="I14" s="3">
        <v>722</v>
      </c>
      <c r="J14" s="3">
        <v>952</v>
      </c>
      <c r="K14" s="3">
        <v>1017</v>
      </c>
      <c r="L14" s="3">
        <v>1381</v>
      </c>
      <c r="M14" s="3">
        <v>1100</v>
      </c>
      <c r="N14" s="3">
        <v>1918</v>
      </c>
      <c r="O14" s="3">
        <v>792</v>
      </c>
      <c r="P14" s="3">
        <v>731</v>
      </c>
      <c r="Q14" s="3">
        <v>2241</v>
      </c>
      <c r="R14" s="3">
        <v>929</v>
      </c>
      <c r="S14" s="3">
        <v>96</v>
      </c>
      <c r="T14" s="3">
        <v>115</v>
      </c>
      <c r="U14" s="3">
        <v>514</v>
      </c>
    </row>
    <row r="15" spans="1:44" x14ac:dyDescent="0.2">
      <c r="B15" s="2" t="s">
        <v>35</v>
      </c>
      <c r="E15" s="3">
        <f t="shared" ref="E15:L15" si="9">+E13-E14</f>
        <v>157</v>
      </c>
      <c r="F15" s="3">
        <f t="shared" si="9"/>
        <v>563</v>
      </c>
      <c r="G15" s="3">
        <f t="shared" si="9"/>
        <v>1744</v>
      </c>
      <c r="H15" s="3">
        <f t="shared" si="9"/>
        <v>3604</v>
      </c>
      <c r="I15" s="3">
        <f t="shared" si="9"/>
        <v>4247</v>
      </c>
      <c r="J15" s="3">
        <f t="shared" si="9"/>
        <v>6259</v>
      </c>
      <c r="K15" s="3">
        <f t="shared" si="9"/>
        <v>5049</v>
      </c>
      <c r="L15" s="3">
        <f t="shared" si="9"/>
        <v>3368</v>
      </c>
      <c r="M15" s="3">
        <f t="shared" ref="M15:T15" si="10">+M13-M14</f>
        <v>2264</v>
      </c>
      <c r="N15" s="3">
        <f t="shared" si="10"/>
        <v>3166</v>
      </c>
      <c r="O15" s="3">
        <f t="shared" si="10"/>
        <v>1070</v>
      </c>
      <c r="P15" s="3">
        <f t="shared" si="10"/>
        <v>-387</v>
      </c>
      <c r="Q15" s="3">
        <f t="shared" si="10"/>
        <v>-410</v>
      </c>
      <c r="R15" s="3">
        <f t="shared" si="10"/>
        <v>1882</v>
      </c>
      <c r="S15" s="3">
        <f t="shared" si="10"/>
        <v>71</v>
      </c>
      <c r="T15" s="3">
        <f t="shared" si="10"/>
        <v>126</v>
      </c>
      <c r="U15" s="3">
        <f>+U13-U14</f>
        <v>1348</v>
      </c>
    </row>
    <row r="16" spans="1:44" x14ac:dyDescent="0.2">
      <c r="B16" s="2" t="s">
        <v>36</v>
      </c>
      <c r="E16" s="1">
        <v>344</v>
      </c>
      <c r="F16" s="1">
        <v>759</v>
      </c>
      <c r="G16" s="1">
        <v>401</v>
      </c>
      <c r="H16" s="1">
        <v>421</v>
      </c>
      <c r="I16" s="1">
        <v>521</v>
      </c>
      <c r="J16" s="1">
        <v>648</v>
      </c>
      <c r="K16" s="1">
        <v>554</v>
      </c>
      <c r="L16" s="1">
        <v>710</v>
      </c>
      <c r="M16" s="3">
        <v>820</v>
      </c>
      <c r="N16" s="3">
        <v>1211</v>
      </c>
      <c r="O16" s="3">
        <v>1131</v>
      </c>
      <c r="P16" s="3">
        <v>1148</v>
      </c>
      <c r="Q16" s="3">
        <v>1160</v>
      </c>
      <c r="R16" s="3">
        <v>1406</v>
      </c>
      <c r="S16" s="3">
        <v>1063</v>
      </c>
      <c r="T16" s="3">
        <v>1221</v>
      </c>
      <c r="U16" s="3">
        <v>1137</v>
      </c>
    </row>
    <row r="17" spans="2:21" x14ac:dyDescent="0.2">
      <c r="B17" s="2" t="s">
        <v>37</v>
      </c>
      <c r="E17" s="1">
        <v>48</v>
      </c>
      <c r="F17" s="1">
        <v>79</v>
      </c>
      <c r="G17" s="1">
        <v>77</v>
      </c>
      <c r="H17" s="1">
        <v>121</v>
      </c>
      <c r="I17" s="1">
        <v>168</v>
      </c>
      <c r="J17" s="1">
        <v>201</v>
      </c>
      <c r="K17" s="1">
        <v>268</v>
      </c>
      <c r="L17" s="1">
        <v>211</v>
      </c>
      <c r="M17" s="3">
        <v>278</v>
      </c>
      <c r="N17" s="3">
        <v>375</v>
      </c>
      <c r="O17" s="3">
        <v>305</v>
      </c>
      <c r="P17" s="3">
        <v>332</v>
      </c>
      <c r="Q17" s="3">
        <v>442</v>
      </c>
      <c r="R17" s="3">
        <v>470</v>
      </c>
      <c r="S17" s="3">
        <v>274</v>
      </c>
      <c r="T17" s="3">
        <v>268</v>
      </c>
      <c r="U17" s="3">
        <v>281</v>
      </c>
    </row>
    <row r="18" spans="2:21" x14ac:dyDescent="0.2">
      <c r="B18" t="s">
        <v>32</v>
      </c>
      <c r="E18" s="1">
        <f t="shared" ref="E18:L18" si="11">+E16+E17</f>
        <v>392</v>
      </c>
      <c r="F18" s="1">
        <f t="shared" si="11"/>
        <v>838</v>
      </c>
      <c r="G18" s="1">
        <f t="shared" si="11"/>
        <v>478</v>
      </c>
      <c r="H18" s="1">
        <f t="shared" si="11"/>
        <v>542</v>
      </c>
      <c r="I18" s="1">
        <f t="shared" si="11"/>
        <v>689</v>
      </c>
      <c r="J18" s="1">
        <f t="shared" si="11"/>
        <v>849</v>
      </c>
      <c r="K18" s="1">
        <f t="shared" si="11"/>
        <v>822</v>
      </c>
      <c r="L18" s="1">
        <f t="shared" si="11"/>
        <v>921</v>
      </c>
      <c r="M18" s="3">
        <f t="shared" ref="M18:O18" si="12">+M16+M17</f>
        <v>1098</v>
      </c>
      <c r="N18" s="3">
        <f t="shared" si="12"/>
        <v>1586</v>
      </c>
      <c r="O18" s="3">
        <f t="shared" si="12"/>
        <v>1436</v>
      </c>
      <c r="P18" s="3">
        <f t="shared" ref="P18" si="13">+P16+P17</f>
        <v>1480</v>
      </c>
      <c r="Q18" s="3">
        <f t="shared" ref="Q18" si="14">+Q16+Q17</f>
        <v>1602</v>
      </c>
      <c r="R18" s="3">
        <f t="shared" ref="R18:S18" si="15">+R16+R17</f>
        <v>1876</v>
      </c>
      <c r="S18" s="3">
        <f t="shared" si="15"/>
        <v>1337</v>
      </c>
      <c r="T18" s="3">
        <f>+T17+T16</f>
        <v>1489</v>
      </c>
      <c r="U18" s="3">
        <f>+U17+U16</f>
        <v>1418</v>
      </c>
    </row>
    <row r="19" spans="2:21" x14ac:dyDescent="0.2">
      <c r="B19" t="s">
        <v>33</v>
      </c>
      <c r="E19" s="3">
        <f t="shared" ref="E19:L19" si="16">+E15-E18</f>
        <v>-235</v>
      </c>
      <c r="F19" s="3">
        <f t="shared" si="16"/>
        <v>-275</v>
      </c>
      <c r="G19" s="3">
        <f t="shared" si="16"/>
        <v>1266</v>
      </c>
      <c r="H19" s="3">
        <f t="shared" si="16"/>
        <v>3062</v>
      </c>
      <c r="I19" s="3">
        <f t="shared" si="16"/>
        <v>3558</v>
      </c>
      <c r="J19" s="3">
        <f t="shared" si="16"/>
        <v>5410</v>
      </c>
      <c r="K19" s="3">
        <f t="shared" si="16"/>
        <v>4227</v>
      </c>
      <c r="L19" s="3">
        <f t="shared" si="16"/>
        <v>2447</v>
      </c>
      <c r="M19" s="3">
        <f t="shared" ref="M19:O19" si="17">+M15-M18</f>
        <v>1166</v>
      </c>
      <c r="N19" s="3">
        <f t="shared" si="17"/>
        <v>1580</v>
      </c>
      <c r="O19" s="3">
        <f t="shared" si="17"/>
        <v>-366</v>
      </c>
      <c r="P19" s="3">
        <f t="shared" ref="P19" si="18">+P15-P18</f>
        <v>-1867</v>
      </c>
      <c r="Q19" s="3">
        <f t="shared" ref="Q19" si="19">+Q15-Q18</f>
        <v>-2012</v>
      </c>
      <c r="R19" s="3">
        <f t="shared" ref="R19:S19" si="20">+R15-R18</f>
        <v>6</v>
      </c>
      <c r="S19" s="3">
        <f t="shared" si="20"/>
        <v>-1266</v>
      </c>
      <c r="T19" s="3">
        <f>+T15-T18</f>
        <v>-1363</v>
      </c>
      <c r="U19" s="3">
        <f>+U15-U18</f>
        <v>-70</v>
      </c>
    </row>
    <row r="20" spans="2:21" x14ac:dyDescent="0.2">
      <c r="B20" t="s">
        <v>31</v>
      </c>
      <c r="E20" s="1">
        <f>6-3</f>
        <v>3</v>
      </c>
      <c r="F20" s="1">
        <v>4</v>
      </c>
      <c r="G20" s="1">
        <f>4-10</f>
        <v>-6</v>
      </c>
      <c r="H20" s="1">
        <f>3-2</f>
        <v>1</v>
      </c>
      <c r="I20" s="1">
        <f>4-10</f>
        <v>-6</v>
      </c>
      <c r="J20" s="1">
        <f>7-7</f>
        <v>0</v>
      </c>
      <c r="K20" s="1">
        <f>15-13</f>
        <v>2</v>
      </c>
      <c r="L20" s="1">
        <f>40-13</f>
        <v>27</v>
      </c>
      <c r="M20" s="1">
        <f>58-7</f>
        <v>51</v>
      </c>
      <c r="N20" s="1">
        <f>87-12</f>
        <v>75</v>
      </c>
      <c r="O20">
        <f>109-48</f>
        <v>61</v>
      </c>
      <c r="P20">
        <f>104+14</f>
        <v>118</v>
      </c>
      <c r="Q20">
        <f>105-51</f>
        <v>54</v>
      </c>
      <c r="R20">
        <f>103-39</f>
        <v>64</v>
      </c>
      <c r="S20">
        <f>120-19</f>
        <v>101</v>
      </c>
      <c r="T20">
        <f>111-27</f>
        <v>84</v>
      </c>
      <c r="U20">
        <f>103-12</f>
        <v>91</v>
      </c>
    </row>
    <row r="21" spans="2:21" x14ac:dyDescent="0.2">
      <c r="B21" t="s">
        <v>30</v>
      </c>
      <c r="E21" s="3">
        <f t="shared" ref="E21:L21" si="21">+E19+E20</f>
        <v>-232</v>
      </c>
      <c r="F21" s="3">
        <f t="shared" si="21"/>
        <v>-271</v>
      </c>
      <c r="G21" s="3">
        <f t="shared" si="21"/>
        <v>1260</v>
      </c>
      <c r="H21" s="3">
        <f t="shared" si="21"/>
        <v>3063</v>
      </c>
      <c r="I21" s="3">
        <f t="shared" si="21"/>
        <v>3552</v>
      </c>
      <c r="J21" s="3">
        <f t="shared" si="21"/>
        <v>5410</v>
      </c>
      <c r="K21" s="3">
        <f t="shared" si="21"/>
        <v>4229</v>
      </c>
      <c r="L21" s="3">
        <f t="shared" si="21"/>
        <v>2474</v>
      </c>
      <c r="M21" s="3">
        <f t="shared" ref="M21:S21" si="22">+M19+M20</f>
        <v>1217</v>
      </c>
      <c r="N21" s="3">
        <f t="shared" si="22"/>
        <v>1655</v>
      </c>
      <c r="O21" s="3">
        <f t="shared" si="22"/>
        <v>-305</v>
      </c>
      <c r="P21" s="3">
        <f t="shared" si="22"/>
        <v>-1749</v>
      </c>
      <c r="Q21" s="3">
        <f t="shared" si="22"/>
        <v>-1958</v>
      </c>
      <c r="R21" s="3">
        <f t="shared" si="22"/>
        <v>70</v>
      </c>
      <c r="S21" s="3">
        <f t="shared" si="22"/>
        <v>-1165</v>
      </c>
      <c r="T21" s="3">
        <f>+T19+T20</f>
        <v>-1279</v>
      </c>
      <c r="U21" s="3">
        <f>+U19+U20</f>
        <v>21</v>
      </c>
    </row>
    <row r="22" spans="2:21" x14ac:dyDescent="0.2">
      <c r="B22" t="s">
        <v>29</v>
      </c>
      <c r="E22" s="1">
        <v>1</v>
      </c>
      <c r="F22" s="1">
        <v>1</v>
      </c>
      <c r="G22" s="1">
        <v>39</v>
      </c>
      <c r="H22" s="1">
        <v>283</v>
      </c>
      <c r="I22" s="1">
        <v>219</v>
      </c>
      <c r="J22" s="1">
        <v>542</v>
      </c>
      <c r="K22" s="1">
        <v>572</v>
      </c>
      <c r="L22" s="1">
        <v>277</v>
      </c>
      <c r="M22" s="3">
        <v>174</v>
      </c>
      <c r="N22" s="3">
        <v>190</v>
      </c>
      <c r="O22" s="3">
        <v>-384</v>
      </c>
      <c r="P22" s="3">
        <v>-369</v>
      </c>
      <c r="Q22" s="3">
        <v>1672</v>
      </c>
      <c r="R22" s="3">
        <v>-147</v>
      </c>
      <c r="S22" s="3">
        <v>10</v>
      </c>
      <c r="T22" s="3">
        <v>0</v>
      </c>
      <c r="U22" s="3">
        <v>8</v>
      </c>
    </row>
    <row r="23" spans="2:21" x14ac:dyDescent="0.2">
      <c r="B23" t="s">
        <v>28</v>
      </c>
      <c r="E23" s="3">
        <f t="shared" ref="E23:L23" si="23">+E21-E22</f>
        <v>-233</v>
      </c>
      <c r="F23" s="3">
        <f t="shared" si="23"/>
        <v>-272</v>
      </c>
      <c r="G23" s="3">
        <f t="shared" si="23"/>
        <v>1221</v>
      </c>
      <c r="H23" s="3">
        <f t="shared" si="23"/>
        <v>2780</v>
      </c>
      <c r="I23" s="3">
        <f t="shared" si="23"/>
        <v>3333</v>
      </c>
      <c r="J23" s="3">
        <f t="shared" si="23"/>
        <v>4868</v>
      </c>
      <c r="K23" s="3">
        <f t="shared" si="23"/>
        <v>3657</v>
      </c>
      <c r="L23" s="3">
        <f t="shared" si="23"/>
        <v>2197</v>
      </c>
      <c r="M23" s="3">
        <f t="shared" ref="M23:S23" si="24">+M21-M22</f>
        <v>1043</v>
      </c>
      <c r="N23" s="3">
        <f t="shared" si="24"/>
        <v>1465</v>
      </c>
      <c r="O23" s="3">
        <f t="shared" si="24"/>
        <v>79</v>
      </c>
      <c r="P23" s="3">
        <f t="shared" si="24"/>
        <v>-1380</v>
      </c>
      <c r="Q23" s="3">
        <f t="shared" si="24"/>
        <v>-3630</v>
      </c>
      <c r="R23" s="3">
        <f t="shared" si="24"/>
        <v>217</v>
      </c>
      <c r="S23" s="3">
        <f t="shared" si="24"/>
        <v>-1175</v>
      </c>
      <c r="T23" s="3">
        <f>+T21-T22</f>
        <v>-1279</v>
      </c>
      <c r="U23" s="3">
        <f>+U21-U22</f>
        <v>13</v>
      </c>
    </row>
    <row r="24" spans="2:21" x14ac:dyDescent="0.2">
      <c r="B24" t="s">
        <v>27</v>
      </c>
      <c r="E24" s="6">
        <f t="shared" ref="E24:L24" si="25">+E23/E25</f>
        <v>-0.58987341772151902</v>
      </c>
      <c r="F24" s="6">
        <f t="shared" si="25"/>
        <v>-0.68513853904282118</v>
      </c>
      <c r="G24" s="6">
        <f t="shared" si="25"/>
        <v>2.8395348837209302</v>
      </c>
      <c r="H24" s="6">
        <f t="shared" si="25"/>
        <v>6.4501160092807428</v>
      </c>
      <c r="I24" s="6">
        <f t="shared" si="25"/>
        <v>7.6797235023041477</v>
      </c>
      <c r="J24" s="6">
        <f t="shared" si="25"/>
        <v>11.294663573085847</v>
      </c>
      <c r="K24" s="6">
        <f t="shared" si="25"/>
        <v>8.5845070422535219</v>
      </c>
      <c r="L24" s="6">
        <f t="shared" si="25"/>
        <v>5.2434367541766109</v>
      </c>
      <c r="M24" s="6">
        <f t="shared" ref="M24:S24" si="26">+M23/M25</f>
        <v>2.5315533980582523</v>
      </c>
      <c r="N24" s="6">
        <f t="shared" si="26"/>
        <v>3.617283950617284</v>
      </c>
      <c r="O24" s="6">
        <f t="shared" si="26"/>
        <v>0.19506172839506172</v>
      </c>
      <c r="P24" s="6">
        <f t="shared" si="26"/>
        <v>-3.622047244094488</v>
      </c>
      <c r="Q24" s="6">
        <f t="shared" si="26"/>
        <v>-9.5275590551181111</v>
      </c>
      <c r="R24" s="6">
        <f t="shared" si="26"/>
        <v>0.54936708860759498</v>
      </c>
      <c r="S24" s="6">
        <f t="shared" si="26"/>
        <v>-3.075916230366492</v>
      </c>
      <c r="T24" s="6">
        <f>+T23/T25</f>
        <v>-3.3307291666666665</v>
      </c>
      <c r="U24" s="6">
        <f>+U23/U25</f>
        <v>3.2581453634085211E-2</v>
      </c>
    </row>
    <row r="25" spans="2:21" x14ac:dyDescent="0.2">
      <c r="B25" t="s">
        <v>1</v>
      </c>
      <c r="E25" s="1">
        <v>395</v>
      </c>
      <c r="F25" s="1">
        <v>397</v>
      </c>
      <c r="G25" s="1">
        <v>430</v>
      </c>
      <c r="H25" s="1">
        <v>431</v>
      </c>
      <c r="I25" s="1">
        <v>434</v>
      </c>
      <c r="J25" s="1">
        <v>431</v>
      </c>
      <c r="K25" s="1">
        <v>426</v>
      </c>
      <c r="L25" s="1">
        <v>419</v>
      </c>
      <c r="M25" s="1">
        <v>412</v>
      </c>
      <c r="N25" s="1">
        <v>405</v>
      </c>
      <c r="O25" s="1">
        <v>405</v>
      </c>
      <c r="P25" s="1">
        <v>381</v>
      </c>
      <c r="Q25" s="1">
        <v>381</v>
      </c>
      <c r="R25" s="1">
        <v>395</v>
      </c>
      <c r="S25" s="1">
        <v>382</v>
      </c>
      <c r="T25" s="1">
        <v>384</v>
      </c>
      <c r="U25" s="1">
        <v>399</v>
      </c>
    </row>
    <row r="27" spans="2:21" x14ac:dyDescent="0.2">
      <c r="B27" t="s">
        <v>106</v>
      </c>
      <c r="E27" s="17">
        <f>E15/E13</f>
        <v>1</v>
      </c>
      <c r="F27" s="17">
        <f t="shared" ref="F27:R27" si="27">F15/F13</f>
        <v>0.98598949211908937</v>
      </c>
      <c r="G27" s="17">
        <f t="shared" si="27"/>
        <v>0.90036138358286011</v>
      </c>
      <c r="H27" s="17">
        <f t="shared" si="27"/>
        <v>0.82774460266421679</v>
      </c>
      <c r="I27" s="17">
        <f t="shared" si="27"/>
        <v>0.85469913463473535</v>
      </c>
      <c r="J27" s="17">
        <f t="shared" si="27"/>
        <v>0.86797947580085977</v>
      </c>
      <c r="K27" s="17">
        <f t="shared" si="27"/>
        <v>0.83234421364985167</v>
      </c>
      <c r="L27" s="17">
        <f t="shared" si="27"/>
        <v>0.7092019372499474</v>
      </c>
      <c r="M27" s="17">
        <f t="shared" si="27"/>
        <v>0.67300832342449468</v>
      </c>
      <c r="N27" s="17">
        <f t="shared" si="27"/>
        <v>0.62273800157356407</v>
      </c>
      <c r="O27" s="17">
        <f t="shared" si="27"/>
        <v>0.57465091299677762</v>
      </c>
      <c r="P27" s="17">
        <f t="shared" si="27"/>
        <v>-1.125</v>
      </c>
      <c r="Q27" s="17">
        <f t="shared" si="27"/>
        <v>-0.2239213544511196</v>
      </c>
      <c r="R27" s="17">
        <f t="shared" si="27"/>
        <v>0.66951262895766628</v>
      </c>
      <c r="S27" s="17">
        <f t="shared" ref="S27:U27" si="28">S15/S13</f>
        <v>0.42514970059880242</v>
      </c>
      <c r="T27" s="17">
        <f t="shared" si="28"/>
        <v>0.52282157676348551</v>
      </c>
      <c r="U27" s="17">
        <f t="shared" si="28"/>
        <v>0.72395273899033297</v>
      </c>
    </row>
    <row r="28" spans="2:21" x14ac:dyDescent="0.2">
      <c r="B28" s="18" t="s">
        <v>107</v>
      </c>
      <c r="E28" s="17">
        <f>E22/E21</f>
        <v>-4.3103448275862068E-3</v>
      </c>
      <c r="F28" s="17">
        <f t="shared" ref="F28:R28" si="29">F22/F21</f>
        <v>-3.6900369003690036E-3</v>
      </c>
      <c r="G28" s="17">
        <f t="shared" si="29"/>
        <v>3.0952380952380953E-2</v>
      </c>
      <c r="H28" s="17">
        <f t="shared" si="29"/>
        <v>9.2393078681031665E-2</v>
      </c>
      <c r="I28" s="17">
        <f t="shared" si="29"/>
        <v>6.1655405405405407E-2</v>
      </c>
      <c r="J28" s="17">
        <f t="shared" si="29"/>
        <v>0.10018484288354898</v>
      </c>
      <c r="K28" s="17">
        <f t="shared" si="29"/>
        <v>0.13525656183494916</v>
      </c>
      <c r="L28" s="17">
        <f t="shared" si="29"/>
        <v>0.11196443007275667</v>
      </c>
      <c r="M28" s="17">
        <f t="shared" si="29"/>
        <v>0.142974527526705</v>
      </c>
      <c r="N28" s="17">
        <f t="shared" si="29"/>
        <v>0.11480362537764351</v>
      </c>
      <c r="O28" s="17">
        <f t="shared" si="29"/>
        <v>1.2590163934426231</v>
      </c>
      <c r="P28" s="17">
        <f t="shared" si="29"/>
        <v>0.21097770154373929</v>
      </c>
      <c r="Q28" s="17">
        <f t="shared" si="29"/>
        <v>-0.8539325842696629</v>
      </c>
      <c r="R28" s="17">
        <f t="shared" si="29"/>
        <v>-2.1</v>
      </c>
      <c r="S28" s="17">
        <f t="shared" ref="S28:U28" si="30">S22/S21</f>
        <v>-8.5836909871244635E-3</v>
      </c>
      <c r="T28" s="17">
        <f t="shared" si="30"/>
        <v>0</v>
      </c>
      <c r="U28" s="17">
        <f t="shared" si="30"/>
        <v>0.38095238095238093</v>
      </c>
    </row>
    <row r="31" spans="2:21" s="2" customFormat="1" x14ac:dyDescent="0.2">
      <c r="B31" s="2" t="s">
        <v>3</v>
      </c>
      <c r="C31" s="3"/>
      <c r="D31" s="3"/>
      <c r="E31" s="3"/>
      <c r="F31" s="3"/>
      <c r="G31" s="3"/>
      <c r="H31" s="3"/>
      <c r="I31" s="3"/>
      <c r="J31" s="3"/>
      <c r="K31" s="3">
        <f>5048+5067+9171+12</f>
        <v>19298</v>
      </c>
      <c r="L31" s="3">
        <f>2873+5024+10162+12</f>
        <v>18071</v>
      </c>
      <c r="M31" s="3">
        <f>3027+5321+8655+14</f>
        <v>17017</v>
      </c>
      <c r="N31" s="3"/>
      <c r="T31" s="2">
        <f>2478+6010+2326</f>
        <v>10814</v>
      </c>
    </row>
    <row r="32" spans="2:21" s="2" customFormat="1" x14ac:dyDescent="0.2">
      <c r="B32" s="2" t="s">
        <v>39</v>
      </c>
      <c r="C32" s="3"/>
      <c r="D32" s="3"/>
      <c r="E32" s="3"/>
      <c r="F32" s="3"/>
      <c r="G32" s="3"/>
      <c r="H32" s="3"/>
      <c r="I32" s="3"/>
      <c r="J32" s="3"/>
      <c r="K32" s="3">
        <v>3173</v>
      </c>
      <c r="L32" s="3">
        <v>2691</v>
      </c>
      <c r="M32" s="3">
        <v>2695</v>
      </c>
      <c r="N32" s="3"/>
      <c r="T32" s="2">
        <v>163</v>
      </c>
    </row>
    <row r="33" spans="2:20" s="2" customFormat="1" x14ac:dyDescent="0.2">
      <c r="B33" s="2" t="s">
        <v>40</v>
      </c>
      <c r="C33" s="3"/>
      <c r="D33" s="3"/>
      <c r="E33" s="3"/>
      <c r="F33" s="3"/>
      <c r="G33" s="3"/>
      <c r="H33" s="3"/>
      <c r="I33" s="3"/>
      <c r="J33" s="3"/>
      <c r="K33" s="3">
        <v>1942</v>
      </c>
      <c r="L33" s="3">
        <v>1921</v>
      </c>
      <c r="M33" s="3">
        <v>2077</v>
      </c>
      <c r="N33" s="3"/>
      <c r="T33" s="2">
        <v>399</v>
      </c>
    </row>
    <row r="34" spans="2:20" s="2" customFormat="1" x14ac:dyDescent="0.2">
      <c r="B34" s="2" t="s">
        <v>41</v>
      </c>
      <c r="C34" s="3"/>
      <c r="D34" s="3"/>
      <c r="E34" s="3"/>
      <c r="F34" s="3"/>
      <c r="G34" s="3"/>
      <c r="H34" s="3"/>
      <c r="I34" s="3"/>
      <c r="J34" s="3"/>
      <c r="K34" s="3">
        <v>1120</v>
      </c>
      <c r="L34" s="3">
        <v>1054</v>
      </c>
      <c r="M34" s="3">
        <v>1177</v>
      </c>
      <c r="N34" s="3"/>
      <c r="T34" s="2">
        <v>611</v>
      </c>
    </row>
    <row r="35" spans="2:20" s="2" customFormat="1" x14ac:dyDescent="0.2">
      <c r="B35" s="2" t="s">
        <v>42</v>
      </c>
      <c r="C35" s="3"/>
      <c r="D35" s="3"/>
      <c r="E35" s="3"/>
      <c r="F35" s="3"/>
      <c r="G35" s="3"/>
      <c r="H35" s="3"/>
      <c r="I35" s="3"/>
      <c r="J35" s="3"/>
      <c r="K35" s="3">
        <v>1341</v>
      </c>
      <c r="L35" s="3">
        <v>1324</v>
      </c>
      <c r="M35" s="3">
        <v>2019</v>
      </c>
      <c r="N35" s="3"/>
      <c r="T35" s="2">
        <v>2196</v>
      </c>
    </row>
    <row r="36" spans="2:20" s="2" customFormat="1" x14ac:dyDescent="0.2">
      <c r="B36" s="2" t="s">
        <v>43</v>
      </c>
      <c r="C36" s="3"/>
      <c r="D36" s="3"/>
      <c r="E36" s="3"/>
      <c r="F36" s="3"/>
      <c r="G36" s="3"/>
      <c r="H36" s="3"/>
      <c r="I36" s="3"/>
      <c r="J36" s="3"/>
      <c r="K36" s="3">
        <v>132</v>
      </c>
      <c r="L36" s="3">
        <v>122</v>
      </c>
      <c r="M36" s="3">
        <v>113</v>
      </c>
      <c r="N36" s="3"/>
      <c r="T36" s="2">
        <v>775</v>
      </c>
    </row>
    <row r="37" spans="2:20" s="2" customFormat="1" x14ac:dyDescent="0.2">
      <c r="B37" s="2" t="s">
        <v>44</v>
      </c>
      <c r="C37" s="3"/>
      <c r="D37" s="3"/>
      <c r="E37" s="3"/>
      <c r="F37" s="3"/>
      <c r="G37" s="3"/>
      <c r="H37" s="3"/>
      <c r="I37" s="3"/>
      <c r="J37" s="3"/>
      <c r="K37" s="3">
        <v>521</v>
      </c>
      <c r="L37" s="3">
        <v>785</v>
      </c>
      <c r="M37" s="3">
        <v>920</v>
      </c>
      <c r="N37" s="3"/>
      <c r="T37" s="2">
        <v>81</v>
      </c>
    </row>
    <row r="38" spans="2:20" s="2" customFormat="1" x14ac:dyDescent="0.2">
      <c r="B38" s="2" t="s">
        <v>45</v>
      </c>
      <c r="C38" s="3"/>
      <c r="D38" s="3"/>
      <c r="E38" s="3"/>
      <c r="F38" s="3"/>
      <c r="G38" s="3"/>
      <c r="H38" s="3"/>
      <c r="I38" s="3"/>
      <c r="J38" s="3"/>
      <c r="K38" s="3">
        <v>82</v>
      </c>
      <c r="L38" s="3">
        <v>75</v>
      </c>
      <c r="M38" s="3">
        <v>38</v>
      </c>
      <c r="N38" s="3"/>
      <c r="T38" s="2">
        <v>641</v>
      </c>
    </row>
    <row r="39" spans="2:20" s="2" customFormat="1" x14ac:dyDescent="0.2">
      <c r="B39" s="2" t="s">
        <v>38</v>
      </c>
      <c r="C39" s="3"/>
      <c r="D39" s="3"/>
      <c r="E39" s="3"/>
      <c r="F39" s="3"/>
      <c r="G39" s="3"/>
      <c r="H39" s="3"/>
      <c r="I39" s="3"/>
      <c r="J39" s="3"/>
      <c r="K39" s="3">
        <f>SUM(K31:K38)</f>
        <v>27609</v>
      </c>
      <c r="L39" s="3">
        <f>SUM(L31:L38)</f>
        <v>26043</v>
      </c>
      <c r="M39" s="3">
        <f>SUM(M31:M38)</f>
        <v>26056</v>
      </c>
      <c r="N39" s="3"/>
      <c r="T39" s="2">
        <f>SUM(T31:T38)</f>
        <v>15680</v>
      </c>
    </row>
    <row r="41" spans="2:20" s="2" customFormat="1" x14ac:dyDescent="0.2">
      <c r="B41" s="2" t="s">
        <v>46</v>
      </c>
      <c r="C41" s="3"/>
      <c r="D41" s="3"/>
      <c r="E41" s="3"/>
      <c r="F41" s="3"/>
      <c r="G41" s="3"/>
      <c r="H41" s="3"/>
      <c r="I41" s="3"/>
      <c r="J41" s="3"/>
      <c r="K41" s="3">
        <v>199</v>
      </c>
      <c r="L41" s="3">
        <v>181</v>
      </c>
      <c r="M41" s="3">
        <v>330</v>
      </c>
      <c r="N41" s="3"/>
      <c r="T41" s="2">
        <v>279</v>
      </c>
    </row>
    <row r="42" spans="2:20" s="2" customFormat="1" x14ac:dyDescent="0.2">
      <c r="B42" s="2" t="s">
        <v>47</v>
      </c>
      <c r="C42" s="3"/>
      <c r="D42" s="3"/>
      <c r="E42" s="3"/>
      <c r="F42" s="3"/>
      <c r="G42" s="3"/>
      <c r="H42" s="3"/>
      <c r="I42" s="3"/>
      <c r="J42" s="3"/>
      <c r="K42" s="3">
        <v>1608</v>
      </c>
      <c r="L42" s="3">
        <v>1780</v>
      </c>
      <c r="M42" s="3">
        <v>1856</v>
      </c>
      <c r="N42" s="3"/>
      <c r="T42" s="2">
        <v>1333</v>
      </c>
    </row>
    <row r="43" spans="2:20" s="2" customFormat="1" x14ac:dyDescent="0.2">
      <c r="B43" s="2" t="s">
        <v>48</v>
      </c>
      <c r="C43" s="3"/>
      <c r="D43" s="3"/>
      <c r="E43" s="3"/>
      <c r="F43" s="3"/>
      <c r="G43" s="3"/>
      <c r="H43" s="3"/>
      <c r="I43" s="3"/>
      <c r="J43" s="3"/>
      <c r="K43" s="3">
        <f>5599+464</f>
        <v>6063</v>
      </c>
      <c r="L43" s="3">
        <f>4093+405</f>
        <v>4498</v>
      </c>
      <c r="M43" s="3">
        <f>175+4002</f>
        <v>4177</v>
      </c>
      <c r="N43" s="3"/>
      <c r="T43" s="2">
        <f>702+95</f>
        <v>797</v>
      </c>
    </row>
    <row r="44" spans="2:20" s="2" customFormat="1" x14ac:dyDescent="0.2">
      <c r="B44" s="2" t="s">
        <v>29</v>
      </c>
      <c r="C44" s="3"/>
      <c r="D44" s="3"/>
      <c r="E44" s="3"/>
      <c r="F44" s="3"/>
      <c r="G44" s="3"/>
      <c r="H44" s="3"/>
      <c r="I44" s="3"/>
      <c r="J44" s="3"/>
      <c r="K44" s="3">
        <v>1592</v>
      </c>
      <c r="L44" s="3">
        <v>349</v>
      </c>
      <c r="M44" s="3">
        <v>66</v>
      </c>
      <c r="N44" s="3"/>
      <c r="T44" s="2">
        <v>7</v>
      </c>
    </row>
    <row r="45" spans="2:20" s="2" customFormat="1" x14ac:dyDescent="0.2">
      <c r="B45" s="2" t="s">
        <v>49</v>
      </c>
      <c r="C45" s="3"/>
      <c r="D45" s="3"/>
      <c r="E45" s="3"/>
      <c r="F45" s="3"/>
      <c r="G45" s="3"/>
      <c r="H45" s="3"/>
      <c r="I45" s="3"/>
      <c r="J45" s="3"/>
      <c r="K45" s="3">
        <v>240</v>
      </c>
      <c r="L45" s="3">
        <v>409</v>
      </c>
      <c r="M45" s="3">
        <v>553</v>
      </c>
      <c r="N45" s="3"/>
      <c r="T45" s="2">
        <v>42</v>
      </c>
    </row>
    <row r="46" spans="2:20" s="2" customFormat="1" x14ac:dyDescent="0.2">
      <c r="B46" s="2" t="s">
        <v>50</v>
      </c>
      <c r="C46" s="3"/>
      <c r="D46" s="3"/>
      <c r="E46" s="3"/>
      <c r="F46" s="3"/>
      <c r="G46" s="3"/>
      <c r="H46" s="3"/>
      <c r="I46" s="3"/>
      <c r="J46" s="3"/>
      <c r="K46" s="3">
        <v>95</v>
      </c>
      <c r="L46" s="3">
        <v>87</v>
      </c>
      <c r="M46" s="3">
        <v>79</v>
      </c>
      <c r="N46" s="3"/>
      <c r="T46" s="2">
        <v>668</v>
      </c>
    </row>
    <row r="47" spans="2:20" s="2" customFormat="1" x14ac:dyDescent="0.2">
      <c r="B47" s="2" t="s">
        <v>51</v>
      </c>
      <c r="C47" s="3"/>
      <c r="D47" s="3"/>
      <c r="E47" s="3"/>
      <c r="F47" s="3"/>
      <c r="G47" s="3"/>
      <c r="H47" s="3"/>
      <c r="I47" s="3"/>
      <c r="J47" s="3"/>
      <c r="K47" s="3">
        <v>646</v>
      </c>
      <c r="L47" s="3">
        <v>641</v>
      </c>
      <c r="M47" s="3">
        <v>922</v>
      </c>
      <c r="N47" s="3"/>
      <c r="T47" s="2">
        <v>576</v>
      </c>
    </row>
    <row r="48" spans="2:20" s="2" customFormat="1" x14ac:dyDescent="0.2">
      <c r="B48" s="2" t="s">
        <v>108</v>
      </c>
      <c r="C48" s="3"/>
      <c r="D48" s="3"/>
      <c r="E48" s="3"/>
      <c r="F48" s="3"/>
      <c r="G48" s="3"/>
      <c r="H48" s="3"/>
      <c r="I48" s="3"/>
      <c r="J48" s="3"/>
      <c r="K48" s="3">
        <v>91</v>
      </c>
      <c r="L48" s="3">
        <v>113</v>
      </c>
      <c r="M48" s="3">
        <v>81</v>
      </c>
      <c r="N48" s="3"/>
      <c r="T48" s="2">
        <v>266</v>
      </c>
    </row>
    <row r="49" spans="2:20" s="2" customFormat="1" x14ac:dyDescent="0.2">
      <c r="B49" s="2" t="s">
        <v>52</v>
      </c>
      <c r="C49" s="3"/>
      <c r="D49" s="3"/>
      <c r="E49" s="3"/>
      <c r="F49" s="3"/>
      <c r="G49" s="3"/>
      <c r="H49" s="3"/>
      <c r="I49" s="3"/>
      <c r="J49" s="3"/>
      <c r="K49" s="3">
        <v>17075</v>
      </c>
      <c r="L49" s="3">
        <v>17985</v>
      </c>
      <c r="M49" s="3">
        <v>17992</v>
      </c>
      <c r="N49" s="3"/>
      <c r="T49" s="2">
        <v>11712</v>
      </c>
    </row>
    <row r="50" spans="2:20" s="2" customFormat="1" x14ac:dyDescent="0.2">
      <c r="B50" s="2" t="s">
        <v>53</v>
      </c>
      <c r="C50" s="3"/>
      <c r="D50" s="3"/>
      <c r="E50" s="3"/>
      <c r="F50" s="3"/>
      <c r="G50" s="3"/>
      <c r="H50" s="3"/>
      <c r="I50" s="3"/>
      <c r="J50" s="3"/>
      <c r="K50" s="3">
        <f>SUM(K41:K49)</f>
        <v>27609</v>
      </c>
      <c r="L50" s="3">
        <f>SUM(L41:L49)</f>
        <v>26043</v>
      </c>
      <c r="M50" s="3">
        <f>SUM(M41:M49)</f>
        <v>26056</v>
      </c>
      <c r="N50" s="3"/>
      <c r="T50" s="2">
        <f>SUM(T41:T49)</f>
        <v>15680</v>
      </c>
    </row>
    <row r="53" spans="2:20" s="2" customFormat="1" x14ac:dyDescent="0.2">
      <c r="B53" s="2" t="s">
        <v>98</v>
      </c>
      <c r="C53" s="3"/>
      <c r="D53" s="3"/>
      <c r="E53" s="3"/>
      <c r="F53" s="3"/>
      <c r="G53" s="3"/>
      <c r="H53" s="3">
        <v>1800</v>
      </c>
      <c r="I53" s="3"/>
      <c r="J53" s="3"/>
      <c r="K53" s="3"/>
      <c r="L53" s="3">
        <v>3400</v>
      </c>
      <c r="M53" s="3">
        <v>3700</v>
      </c>
      <c r="N53" s="3"/>
    </row>
  </sheetData>
  <hyperlinks>
    <hyperlink ref="A1" location="Main!A1" display="Main" xr:uid="{DB90B18F-E33E-46EE-878C-F69A84A89155}"/>
  </hyperlink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4E3C-71B5-4048-B117-3278C772E1BF}">
  <dimension ref="A1:C2"/>
  <sheetViews>
    <sheetView zoomScale="175" zoomScaleNormal="175" workbookViewId="0"/>
  </sheetViews>
  <sheetFormatPr defaultRowHeight="12.75" x14ac:dyDescent="0.2"/>
  <cols>
    <col min="1" max="1" width="5" bestFit="1" customWidth="1"/>
  </cols>
  <sheetData>
    <row r="1" spans="1:3" x14ac:dyDescent="0.2">
      <c r="A1" s="19" t="s">
        <v>7</v>
      </c>
    </row>
    <row r="2" spans="1:3" x14ac:dyDescent="0.2">
      <c r="B2" t="s">
        <v>55</v>
      </c>
      <c r="C2" t="s">
        <v>114</v>
      </c>
    </row>
  </sheetData>
  <hyperlinks>
    <hyperlink ref="A1" location="Main!A1" display="Main" xr:uid="{6CB10CB8-6C09-45F1-B4FB-08DC5B4E751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A87B-AEA3-4FAB-8F81-CC20E0ED2CA0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9" t="s">
        <v>7</v>
      </c>
    </row>
    <row r="2" spans="1:3" x14ac:dyDescent="0.2">
      <c r="B2" t="s">
        <v>55</v>
      </c>
      <c r="C2" t="s">
        <v>110</v>
      </c>
    </row>
    <row r="3" spans="1:3" x14ac:dyDescent="0.2">
      <c r="B3" t="s">
        <v>96</v>
      </c>
      <c r="C3" t="s">
        <v>120</v>
      </c>
    </row>
    <row r="4" spans="1:3" x14ac:dyDescent="0.2">
      <c r="B4" t="s">
        <v>57</v>
      </c>
      <c r="C4" t="s">
        <v>116</v>
      </c>
    </row>
    <row r="5" spans="1:3" x14ac:dyDescent="0.2">
      <c r="B5" t="s">
        <v>117</v>
      </c>
    </row>
    <row r="6" spans="1:3" x14ac:dyDescent="0.2">
      <c r="C6" s="21" t="s">
        <v>119</v>
      </c>
    </row>
    <row r="7" spans="1:3" x14ac:dyDescent="0.2">
      <c r="C7" t="s">
        <v>118</v>
      </c>
    </row>
  </sheetData>
  <hyperlinks>
    <hyperlink ref="A1" location="Main!A1" display="Main" xr:uid="{9BD2B3A6-7328-4643-A4E3-83B7BE45E6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Main</vt:lpstr>
      <vt:lpstr>Model</vt:lpstr>
      <vt:lpstr>Spikevax</vt:lpstr>
      <vt:lpstr>4157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2022-09-10T06:32:44Z</dcterms:created>
  <dcterms:modified xsi:type="dcterms:W3CDTF">2025-01-13T16:25:28Z</dcterms:modified>
</cp:coreProperties>
</file>