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C107AE8-FD24-4B8D-A18D-10278D1714B9}" xr6:coauthVersionLast="47" xr6:coauthVersionMax="47" xr10:uidLastSave="{00000000-0000-0000-0000-000000000000}"/>
  <bookViews>
    <workbookView xWindow="-36195" yWindow="810" windowWidth="24255" windowHeight="19950" activeTab="5" xr2:uid="{409249CC-86EB-47D2-8A0E-5D085FBE782F}"/>
  </bookViews>
  <sheets>
    <sheet name="Main" sheetId="1" r:id="rId1"/>
    <sheet name="Model" sheetId="2" r:id="rId2"/>
    <sheet name="Ingrezza" sheetId="3" r:id="rId3"/>
    <sheet name="1065845" sheetId="4" r:id="rId4"/>
    <sheet name="crinecerfont" sheetId="5" r:id="rId5"/>
    <sheet name="111756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9" i="2" l="1"/>
  <c r="AP28" i="2"/>
  <c r="AO28" i="2"/>
  <c r="AN28" i="2"/>
  <c r="AM28" i="2"/>
  <c r="AL28" i="2"/>
  <c r="AK28" i="2"/>
  <c r="AJ28" i="2"/>
  <c r="AI28" i="2"/>
  <c r="W19" i="2"/>
  <c r="V19" i="2"/>
  <c r="W17" i="2"/>
  <c r="V17" i="2"/>
  <c r="W14" i="2"/>
  <c r="V14" i="2"/>
  <c r="AJ17" i="2"/>
  <c r="AC21" i="2"/>
  <c r="AC17" i="2"/>
  <c r="AC6" i="2"/>
  <c r="AC24" i="2" s="1"/>
  <c r="AD26" i="2"/>
  <c r="AB26" i="2"/>
  <c r="AB12" i="2"/>
  <c r="AA12" i="2"/>
  <c r="AB16" i="2"/>
  <c r="AB18" i="2" s="1"/>
  <c r="AB20" i="2" s="1"/>
  <c r="AA16" i="2"/>
  <c r="AA18" i="2" s="1"/>
  <c r="AA20" i="2" s="1"/>
  <c r="AC15" i="2"/>
  <c r="AB15" i="2"/>
  <c r="AA15" i="2"/>
  <c r="AA10" i="2"/>
  <c r="AB10" i="2"/>
  <c r="AE24" i="2"/>
  <c r="AD15" i="2"/>
  <c r="AD16" i="2" s="1"/>
  <c r="AD18" i="2" s="1"/>
  <c r="AD20" i="2" s="1"/>
  <c r="AD21" i="2" s="1"/>
  <c r="W15" i="2"/>
  <c r="W16" i="2" s="1"/>
  <c r="AD12" i="2"/>
  <c r="AF9" i="2"/>
  <c r="AF10" i="2" s="1"/>
  <c r="AF12" i="2" s="1"/>
  <c r="AE10" i="2"/>
  <c r="AE9" i="2"/>
  <c r="AD10" i="2"/>
  <c r="AD9" i="2"/>
  <c r="AD6" i="2"/>
  <c r="AE6" i="2"/>
  <c r="AF6" i="2"/>
  <c r="AE17" i="2"/>
  <c r="AE15" i="2"/>
  <c r="AF17" i="2"/>
  <c r="AF15" i="2"/>
  <c r="R17" i="2"/>
  <c r="R12" i="2"/>
  <c r="P17" i="2"/>
  <c r="P15" i="2"/>
  <c r="P12" i="2"/>
  <c r="P16" i="2" s="1"/>
  <c r="P18" i="2" s="1"/>
  <c r="P20" i="2" s="1"/>
  <c r="P21" i="2" s="1"/>
  <c r="T17" i="2"/>
  <c r="T12" i="2"/>
  <c r="AH22" i="2"/>
  <c r="AG22" i="2"/>
  <c r="AI19" i="2"/>
  <c r="AH19" i="2"/>
  <c r="AG19" i="2"/>
  <c r="AI14" i="2"/>
  <c r="AH14" i="2"/>
  <c r="AG14" i="2"/>
  <c r="AI13" i="2"/>
  <c r="AH13" i="2"/>
  <c r="AG13" i="2"/>
  <c r="V22" i="2"/>
  <c r="W22" i="2" s="1"/>
  <c r="AI22" i="2" s="1"/>
  <c r="V15" i="2"/>
  <c r="AH11" i="2"/>
  <c r="AG11" i="2"/>
  <c r="AI9" i="2"/>
  <c r="AH9" i="2"/>
  <c r="AG9" i="2"/>
  <c r="AH6" i="2"/>
  <c r="W6" i="2"/>
  <c r="W10" i="2" s="1"/>
  <c r="V6" i="2"/>
  <c r="V10" i="2" s="1"/>
  <c r="S17" i="2"/>
  <c r="O17" i="2"/>
  <c r="AG17" i="2" s="1"/>
  <c r="U44" i="2"/>
  <c r="U28" i="2"/>
  <c r="U37" i="2" s="1"/>
  <c r="U24" i="2"/>
  <c r="T24" i="2"/>
  <c r="S24" i="2"/>
  <c r="R24" i="2"/>
  <c r="Q24" i="2"/>
  <c r="P24" i="2"/>
  <c r="U15" i="2"/>
  <c r="T15" i="2"/>
  <c r="S15" i="2"/>
  <c r="R15" i="2"/>
  <c r="Q15" i="2"/>
  <c r="L5" i="1"/>
  <c r="U10" i="2"/>
  <c r="U12" i="2" s="1"/>
  <c r="U26" i="2" s="1"/>
  <c r="T10" i="2"/>
  <c r="S10" i="2"/>
  <c r="R10" i="2"/>
  <c r="Q10" i="2"/>
  <c r="Q12" i="2" s="1"/>
  <c r="Q26" i="2" s="1"/>
  <c r="P10" i="2"/>
  <c r="N15" i="2"/>
  <c r="M28" i="2"/>
  <c r="AO9" i="2"/>
  <c r="AN9" i="2"/>
  <c r="AM9" i="2"/>
  <c r="AL9" i="2"/>
  <c r="AK9" i="2"/>
  <c r="AE12" i="2"/>
  <c r="AE26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O15" i="2"/>
  <c r="AG6" i="2"/>
  <c r="N24" i="2"/>
  <c r="N10" i="2"/>
  <c r="N12" i="2" s="1"/>
  <c r="C15" i="2"/>
  <c r="C10" i="2"/>
  <c r="C12" i="2" s="1"/>
  <c r="H24" i="2"/>
  <c r="D15" i="2"/>
  <c r="D10" i="2"/>
  <c r="D12" i="2" s="1"/>
  <c r="M24" i="2"/>
  <c r="L24" i="2"/>
  <c r="K24" i="2"/>
  <c r="J24" i="2"/>
  <c r="I24" i="2"/>
  <c r="E15" i="2"/>
  <c r="E10" i="2"/>
  <c r="E12" i="2" s="1"/>
  <c r="F15" i="2"/>
  <c r="F10" i="2"/>
  <c r="F12" i="2" s="1"/>
  <c r="F26" i="2" s="1"/>
  <c r="J15" i="2"/>
  <c r="J10" i="2"/>
  <c r="J12" i="2" s="1"/>
  <c r="G15" i="2"/>
  <c r="G10" i="2"/>
  <c r="G12" i="2" s="1"/>
  <c r="K15" i="2"/>
  <c r="K10" i="2"/>
  <c r="K12" i="2" s="1"/>
  <c r="K16" i="2" s="1"/>
  <c r="K18" i="2" s="1"/>
  <c r="K20" i="2" s="1"/>
  <c r="K21" i="2" s="1"/>
  <c r="H10" i="2"/>
  <c r="H15" i="2"/>
  <c r="H12" i="2"/>
  <c r="H26" i="2" s="1"/>
  <c r="L15" i="2"/>
  <c r="L10" i="2"/>
  <c r="L12" i="2" s="1"/>
  <c r="L26" i="2" s="1"/>
  <c r="I15" i="2"/>
  <c r="M15" i="2"/>
  <c r="M10" i="2"/>
  <c r="M12" i="2" s="1"/>
  <c r="I10" i="2"/>
  <c r="I12" i="2" s="1"/>
  <c r="I26" i="2" s="1"/>
  <c r="L4" i="1"/>
  <c r="L7" i="1" s="1"/>
  <c r="AI17" i="2" l="1"/>
  <c r="AD24" i="2"/>
  <c r="AC10" i="2"/>
  <c r="AC12" i="2" s="1"/>
  <c r="AC16" i="2" s="1"/>
  <c r="AC18" i="2" s="1"/>
  <c r="AC20" i="2" s="1"/>
  <c r="AP9" i="2"/>
  <c r="R16" i="2"/>
  <c r="AF16" i="2"/>
  <c r="AF26" i="2"/>
  <c r="V11" i="2"/>
  <c r="U16" i="2"/>
  <c r="U18" i="2" s="1"/>
  <c r="U20" i="2" s="1"/>
  <c r="U21" i="2" s="1"/>
  <c r="Q16" i="2"/>
  <c r="Q18" i="2" s="1"/>
  <c r="Q20" i="2" s="1"/>
  <c r="Q21" i="2" s="1"/>
  <c r="T16" i="2"/>
  <c r="T18" i="2" s="1"/>
  <c r="T20" i="2" s="1"/>
  <c r="T21" i="2" s="1"/>
  <c r="R26" i="2"/>
  <c r="W11" i="2"/>
  <c r="W12" i="2" s="1"/>
  <c r="AI6" i="2"/>
  <c r="V24" i="2"/>
  <c r="W24" i="2"/>
  <c r="AH17" i="2"/>
  <c r="T26" i="2"/>
  <c r="S12" i="2"/>
  <c r="S16" i="2" s="1"/>
  <c r="S18" i="2" s="1"/>
  <c r="S20" i="2" s="1"/>
  <c r="S21" i="2" s="1"/>
  <c r="AE16" i="2"/>
  <c r="AE18" i="2" s="1"/>
  <c r="AE20" i="2" s="1"/>
  <c r="AE21" i="2" s="1"/>
  <c r="AF18" i="2"/>
  <c r="AF20" i="2" s="1"/>
  <c r="AF21" i="2" s="1"/>
  <c r="R18" i="2"/>
  <c r="R20" i="2" s="1"/>
  <c r="R21" i="2" s="1"/>
  <c r="P26" i="2"/>
  <c r="AJ22" i="2"/>
  <c r="AK22" i="2" s="1"/>
  <c r="J16" i="2"/>
  <c r="J18" i="2" s="1"/>
  <c r="J20" i="2" s="1"/>
  <c r="J21" i="2" s="1"/>
  <c r="N16" i="2"/>
  <c r="O10" i="2"/>
  <c r="O12" i="2" s="1"/>
  <c r="O16" i="2" s="1"/>
  <c r="AF24" i="2"/>
  <c r="K26" i="2"/>
  <c r="AG24" i="2"/>
  <c r="O24" i="2"/>
  <c r="G16" i="2"/>
  <c r="G18" i="2" s="1"/>
  <c r="G20" i="2" s="1"/>
  <c r="G21" i="2" s="1"/>
  <c r="AJ9" i="2"/>
  <c r="AH10" i="2"/>
  <c r="AH12" i="2" s="1"/>
  <c r="AG10" i="2"/>
  <c r="AH24" i="2"/>
  <c r="C26" i="2"/>
  <c r="C16" i="2"/>
  <c r="C18" i="2" s="1"/>
  <c r="C20" i="2" s="1"/>
  <c r="C21" i="2" s="1"/>
  <c r="M26" i="2"/>
  <c r="M16" i="2"/>
  <c r="M18" i="2" s="1"/>
  <c r="M20" i="2" s="1"/>
  <c r="M21" i="2" s="1"/>
  <c r="I16" i="2"/>
  <c r="I18" i="2" s="1"/>
  <c r="I20" i="2" s="1"/>
  <c r="I21" i="2" s="1"/>
  <c r="J26" i="2"/>
  <c r="G26" i="2"/>
  <c r="D26" i="2"/>
  <c r="D16" i="2"/>
  <c r="D18" i="2" s="1"/>
  <c r="D20" i="2" s="1"/>
  <c r="D21" i="2" s="1"/>
  <c r="E26" i="2"/>
  <c r="E16" i="2"/>
  <c r="E18" i="2" s="1"/>
  <c r="E20" i="2" s="1"/>
  <c r="E21" i="2" s="1"/>
  <c r="F16" i="2"/>
  <c r="F18" i="2" s="1"/>
  <c r="F20" i="2" s="1"/>
  <c r="F21" i="2" s="1"/>
  <c r="H16" i="2"/>
  <c r="H18" i="2" s="1"/>
  <c r="H20" i="2" s="1"/>
  <c r="H21" i="2" s="1"/>
  <c r="L16" i="2"/>
  <c r="L18" i="2" s="1"/>
  <c r="L20" i="2" s="1"/>
  <c r="L21" i="2" s="1"/>
  <c r="AC26" i="2" l="1"/>
  <c r="O26" i="2"/>
  <c r="W18" i="2"/>
  <c r="W20" i="2" s="1"/>
  <c r="W21" i="2" s="1"/>
  <c r="W26" i="2"/>
  <c r="S26" i="2"/>
  <c r="AI11" i="2"/>
  <c r="V12" i="2"/>
  <c r="AG12" i="2"/>
  <c r="AG26" i="2" s="1"/>
  <c r="AG15" i="2"/>
  <c r="N26" i="2"/>
  <c r="AH26" i="2"/>
  <c r="AI10" i="2"/>
  <c r="AJ6" i="2"/>
  <c r="AI24" i="2"/>
  <c r="AL22" i="2"/>
  <c r="V26" i="2" l="1"/>
  <c r="V16" i="2"/>
  <c r="V18" i="2" s="1"/>
  <c r="V20" i="2" s="1"/>
  <c r="AG16" i="2"/>
  <c r="AG18" i="2" s="1"/>
  <c r="AG20" i="2" s="1"/>
  <c r="AG21" i="2" s="1"/>
  <c r="AH15" i="2"/>
  <c r="AH16" i="2" s="1"/>
  <c r="AK6" i="2"/>
  <c r="AJ24" i="2"/>
  <c r="AJ10" i="2"/>
  <c r="AI12" i="2"/>
  <c r="AM22" i="2"/>
  <c r="V21" i="2" l="1"/>
  <c r="V28" i="2"/>
  <c r="W28" i="2" s="1"/>
  <c r="AI15" i="2"/>
  <c r="AI16" i="2" s="1"/>
  <c r="AJ14" i="2"/>
  <c r="AI26" i="2"/>
  <c r="AJ11" i="2"/>
  <c r="AJ12" i="2" s="1"/>
  <c r="AL6" i="2"/>
  <c r="AK24" i="2"/>
  <c r="AK10" i="2"/>
  <c r="AK11" i="2" s="1"/>
  <c r="AK12" i="2" s="1"/>
  <c r="AN22" i="2"/>
  <c r="AJ15" i="2" l="1"/>
  <c r="AJ16" i="2" s="1"/>
  <c r="AK14" i="2"/>
  <c r="AJ26" i="2"/>
  <c r="AK26" i="2"/>
  <c r="AL10" i="2"/>
  <c r="AL11" i="2" s="1"/>
  <c r="AL12" i="2" s="1"/>
  <c r="AL24" i="2"/>
  <c r="AM6" i="2"/>
  <c r="AO22" i="2"/>
  <c r="AL14" i="2" l="1"/>
  <c r="AK15" i="2"/>
  <c r="AK16" i="2" s="1"/>
  <c r="AN6" i="2"/>
  <c r="AM24" i="2"/>
  <c r="AM10" i="2"/>
  <c r="AM11" i="2" s="1"/>
  <c r="AM12" i="2" s="1"/>
  <c r="AL26" i="2"/>
  <c r="AP22" i="2"/>
  <c r="AL15" i="2" l="1"/>
  <c r="AL16" i="2" s="1"/>
  <c r="AM14" i="2"/>
  <c r="AM26" i="2"/>
  <c r="AO6" i="2"/>
  <c r="AN10" i="2"/>
  <c r="AN11" i="2" s="1"/>
  <c r="AN12" i="2" s="1"/>
  <c r="AN24" i="2"/>
  <c r="AM15" i="2" l="1"/>
  <c r="AM16" i="2" s="1"/>
  <c r="AN14" i="2"/>
  <c r="AN26" i="2"/>
  <c r="AP6" i="2"/>
  <c r="AO24" i="2"/>
  <c r="AO10" i="2"/>
  <c r="AO11" i="2" s="1"/>
  <c r="AO12" i="2" s="1"/>
  <c r="AN15" i="2" l="1"/>
  <c r="AN16" i="2" s="1"/>
  <c r="AO14" i="2"/>
  <c r="AO26" i="2"/>
  <c r="AP24" i="2"/>
  <c r="AP10" i="2"/>
  <c r="AP11" i="2" s="1"/>
  <c r="AP12" i="2" s="1"/>
  <c r="AP14" i="2" l="1"/>
  <c r="AP15" i="2" s="1"/>
  <c r="AP16" i="2" s="1"/>
  <c r="AO15" i="2"/>
  <c r="AO16" i="2" s="1"/>
  <c r="AP26" i="2"/>
  <c r="N18" i="2" l="1"/>
  <c r="N20" i="2" s="1"/>
  <c r="O18" i="2"/>
  <c r="N21" i="2" l="1"/>
  <c r="O20" i="2"/>
  <c r="O21" i="2" s="1"/>
  <c r="AH18" i="2" l="1"/>
  <c r="AH20" i="2" s="1"/>
  <c r="AI18" i="2" l="1"/>
  <c r="AI20" i="2" s="1"/>
  <c r="AI21" i="2" s="1"/>
  <c r="AH21" i="2"/>
  <c r="AJ18" i="2" l="1"/>
  <c r="AJ19" i="2" l="1"/>
  <c r="AJ20" i="2"/>
  <c r="AK17" i="2"/>
  <c r="AK18" i="2" s="1"/>
  <c r="AJ21" i="2"/>
  <c r="AK19" i="2" l="1"/>
  <c r="AK20" i="2" s="1"/>
  <c r="AK21" i="2" l="1"/>
  <c r="AL17" i="2" l="1"/>
  <c r="AL18" i="2" s="1"/>
  <c r="AL19" i="2" l="1"/>
  <c r="AL20" i="2" s="1"/>
  <c r="AL21" i="2" l="1"/>
  <c r="AM17" i="2" l="1"/>
  <c r="AM18" i="2" s="1"/>
  <c r="AM19" i="2" l="1"/>
  <c r="AM20" i="2" s="1"/>
  <c r="AM21" i="2" l="1"/>
  <c r="AN17" i="2" l="1"/>
  <c r="AN18" i="2" s="1"/>
  <c r="AN19" i="2" s="1"/>
  <c r="AN20" i="2" s="1"/>
  <c r="AN21" i="2" s="1"/>
  <c r="AO17" i="2" l="1"/>
  <c r="AO18" i="2" s="1"/>
  <c r="AO19" i="2" s="1"/>
  <c r="AO20" i="2" s="1"/>
  <c r="AO21" i="2" s="1"/>
  <c r="AP17" i="2" l="1"/>
  <c r="AP18" i="2" s="1"/>
  <c r="AP19" i="2" l="1"/>
  <c r="AP20" i="2"/>
  <c r="AS30" i="2" s="1"/>
  <c r="AP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tc={3069B2B6-6AE1-4411-A9B6-C363B5550C85}</author>
    <author>tc={E76A3321-30D1-474A-816C-3601963F366F}</author>
    <author>tc={98D11F55-839D-450A-B2B9-0C3B07A81771}</author>
  </authors>
  <commentList>
    <comment ref="AG4" authorId="0" shapeId="0" xr:uid="{3069B2B6-6AE1-4411-A9B6-C363B5550C85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1400-1425</t>
      </text>
    </comment>
    <comment ref="AI4" authorId="1" shapeId="0" xr:uid="{E76A3321-30D1-474A-816C-3601963F366F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guidance to 2.25-2.30B</t>
      </text>
    </comment>
    <comment ref="AW4" authorId="2" shapeId="0" xr:uid="{98D11F55-839D-450A-B2B9-0C3B07A81771}">
      <text>
        <t>[Threaded comment]
Your version of Excel allows you to read this threaded comment; however, any edits to it will get removed if the file is opened in a newer version of Excel. Learn more: https://go.microsoft.com/fwlink/?linkid=870924
Comment:
    Settlement with generics</t>
      </text>
    </comment>
  </commentList>
</comments>
</file>

<file path=xl/sharedStrings.xml><?xml version="1.0" encoding="utf-8"?>
<sst xmlns="http://schemas.openxmlformats.org/spreadsheetml/2006/main" count="184" uniqueCount="139">
  <si>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</si>
  <si>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</si>
  <si>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</si>
  <si>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</si>
  <si>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</si>
  <si>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</si>
  <si>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</si>
  <si>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</si>
  <si>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</si>
  <si>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</si>
  <si>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</si>
  <si>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</si>
  <si>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</si>
  <si>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</si>
  <si>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</si>
  <si>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</si>
  <si>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</si>
  <si>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</si>
  <si>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</si>
  <si>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</si>
  <si>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Product</t>
  </si>
  <si>
    <t>Collab</t>
  </si>
  <si>
    <t>Brand</t>
  </si>
  <si>
    <t>Ingrezza (valbenazine)</t>
  </si>
  <si>
    <t>Indication</t>
  </si>
  <si>
    <t>TD</t>
  </si>
  <si>
    <t>Ongentys (opicapone)</t>
  </si>
  <si>
    <t>Parkinson's</t>
  </si>
  <si>
    <t>Ingrezza</t>
  </si>
  <si>
    <t>CEO</t>
  </si>
  <si>
    <t>Ingrezza Rx</t>
  </si>
  <si>
    <t>IP</t>
  </si>
  <si>
    <t>Economics</t>
  </si>
  <si>
    <t>Mitsubishi Tanabe in Japan</t>
  </si>
  <si>
    <t>NBI-1117568</t>
  </si>
  <si>
    <t>Schizophrenia</t>
  </si>
  <si>
    <t>MOA</t>
  </si>
  <si>
    <t>VMAT2</t>
  </si>
  <si>
    <t>COGS</t>
  </si>
  <si>
    <t>Gross Profit</t>
  </si>
  <si>
    <t>OpEx</t>
  </si>
  <si>
    <t>OpInc</t>
  </si>
  <si>
    <t>R&amp;D</t>
  </si>
  <si>
    <t>SG&amp;A</t>
  </si>
  <si>
    <t>Interest</t>
  </si>
  <si>
    <t>Pretax</t>
  </si>
  <si>
    <t>Taxes</t>
  </si>
  <si>
    <t>Net Income</t>
  </si>
  <si>
    <t>EPS</t>
  </si>
  <si>
    <t>NBI-827104</t>
  </si>
  <si>
    <t>IDIA</t>
  </si>
  <si>
    <t>Epilepsy</t>
  </si>
  <si>
    <t>T-type Ca channel blocker</t>
  </si>
  <si>
    <t>M4 agonist</t>
  </si>
  <si>
    <t>Sosei</t>
  </si>
  <si>
    <t>NBI-1070770</t>
  </si>
  <si>
    <t>Psychiatric</t>
  </si>
  <si>
    <t>crinecerfont</t>
  </si>
  <si>
    <t>CRF1 antagonist</t>
  </si>
  <si>
    <t>CAH</t>
  </si>
  <si>
    <t>Approved</t>
  </si>
  <si>
    <t>Phase</t>
  </si>
  <si>
    <t>I</t>
  </si>
  <si>
    <t>II</t>
  </si>
  <si>
    <t>NBI-1065846</t>
  </si>
  <si>
    <t>GPR139 agonist</t>
  </si>
  <si>
    <t>MDD</t>
  </si>
  <si>
    <t>NBI-1065845</t>
  </si>
  <si>
    <t>AMPA</t>
  </si>
  <si>
    <t>TAK</t>
  </si>
  <si>
    <t>NBI-921352</t>
  </si>
  <si>
    <t>Nav1.6</t>
  </si>
  <si>
    <t>XENE</t>
  </si>
  <si>
    <t>Ingrezza y/y</t>
  </si>
  <si>
    <t>Gross Margin</t>
  </si>
  <si>
    <t>Q419</t>
  </si>
  <si>
    <t>Generic</t>
  </si>
  <si>
    <t>valbenazine</t>
  </si>
  <si>
    <t>VMAT2 inhibitor</t>
  </si>
  <si>
    <t>8357697 - MOU for hyperkinetic disorder - expires 11/08/2027</t>
  </si>
  <si>
    <t>NPV</t>
  </si>
  <si>
    <t>Discount</t>
  </si>
  <si>
    <t>Share</t>
  </si>
  <si>
    <t>ROIC</t>
  </si>
  <si>
    <t>8038627 - COM - expires 2031 (adjusted for H-W)</t>
  </si>
  <si>
    <t>12/6/22: NBI-827104 "STEAMBOAT" study fails</t>
  </si>
  <si>
    <t>Q123</t>
  </si>
  <si>
    <t>Q223</t>
  </si>
  <si>
    <t>Q323</t>
  </si>
  <si>
    <t>Q423</t>
  </si>
  <si>
    <t>Q124</t>
  </si>
  <si>
    <t>Q224</t>
  </si>
  <si>
    <t>Q324</t>
  </si>
  <si>
    <t>Q424</t>
  </si>
  <si>
    <t>AR</t>
  </si>
  <si>
    <t>Inventory</t>
  </si>
  <si>
    <t>OCA</t>
  </si>
  <si>
    <t>DT</t>
  </si>
  <si>
    <t>ROU</t>
  </si>
  <si>
    <t>PPE</t>
  </si>
  <si>
    <t>Goodwill</t>
  </si>
  <si>
    <t>ONCA</t>
  </si>
  <si>
    <t>Assets</t>
  </si>
  <si>
    <t>L+SE</t>
  </si>
  <si>
    <t>SE</t>
  </si>
  <si>
    <t>AP</t>
  </si>
  <si>
    <t>OCL</t>
  </si>
  <si>
    <t>Lease</t>
  </si>
  <si>
    <t>ONCL</t>
  </si>
  <si>
    <t>Tardive Dyskinesia, Huntington's chorea</t>
  </si>
  <si>
    <t>Ingrezza, Dysval in Japan, Remleas in other Asian markets.</t>
  </si>
  <si>
    <t>Orilissa (elagolix)</t>
  </si>
  <si>
    <t>Endometriosis</t>
  </si>
  <si>
    <t>Kyle Gano succeeding Kevin Gorman</t>
  </si>
  <si>
    <t>Clinical Trials</t>
  </si>
  <si>
    <t>AMPA PAM</t>
  </si>
  <si>
    <t>NMDA NR2B nam</t>
  </si>
  <si>
    <t>NBI-1076968</t>
  </si>
  <si>
    <t>M4 antagonist</t>
  </si>
  <si>
    <t>luvadaxistat</t>
  </si>
  <si>
    <t>12/29/24 PDUFA</t>
  </si>
  <si>
    <t>Phase III "CAHtalyst"</t>
  </si>
  <si>
    <t>DAAO inhibitor</t>
  </si>
  <si>
    <t>NBI-1065890</t>
  </si>
  <si>
    <t>NBI-1076986</t>
  </si>
  <si>
    <t>VYGR</t>
  </si>
  <si>
    <t>day 28: -4.3 MADRS, p=0.0159 for one dose, -3.0 p=0.0873 for another dose</t>
  </si>
  <si>
    <t>day 56: -7.5 MADRS, p=0.0016 for one dose, -3.6, p=0.1082 for another dose.</t>
  </si>
  <si>
    <t>Takeda</t>
  </si>
  <si>
    <t>Phase II "SAVITRI" n=183 MDD</t>
  </si>
  <si>
    <t>Ongentys</t>
  </si>
  <si>
    <t>Elagolix</t>
  </si>
  <si>
    <t>Other</t>
  </si>
  <si>
    <t>Phase III - initiate early 2025</t>
  </si>
  <si>
    <t>Phase II "SCZ2028"</t>
  </si>
  <si>
    <t>placebo -10.7 from baseline</t>
  </si>
  <si>
    <t>Week 6 PANSS 7.5point (18.2 from baseline) vs placebo, p=0.011</t>
  </si>
  <si>
    <t>Cobenfy separation ~11.3 points in EMERGENT-3, 8.4 in EMERGENT-2</t>
  </si>
  <si>
    <t>III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</si>
</sst>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  <xf numFmtId="0" fontId="2" fillId="0" borderId="1" xfId="1" applyBorder="1"/>
    <xf numFmtId="14" fontId="0" fillId="0" borderId="0" xfId="0" applyNumberFormat="1"/>
    <xf numFmtId="0" fontId="3" fillId="0" borderId="1" xfId="1" applyFont="1" applyBorder="1"/>
    <xf numFmtId="0" fontId="4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950530C-830D-4EC2-A396-8EDC8806AA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35092</xdr:colOff>
      <xdr:row>0</xdr:row>
      <xdr:rowOff>0</xdr:rowOff>
    </xdr:from>
    <xdr:to>
      <xdr:col>21</xdr:col>
      <xdr:colOff>35092</xdr:colOff>
      <xdr:row>37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3A3322E-D197-A03F-2D9F-49C281DED272}"/>
            </a:ext>
          </a:extLst>
        </xdr:cNvPr>
        <xdr:cNvCxnSpPr/>
      </xdr:nvCxnSpPr>
      <xdr:spPr>
        <a:xfrm>
          <a:off x="12868776" y="0"/>
          <a:ext cx="0" cy="5594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20052</xdr:colOff>
      <xdr:row>0</xdr:row>
      <xdr:rowOff>0</xdr:rowOff>
    </xdr:from>
    <xdr:to>
      <xdr:col>34</xdr:col>
      <xdr:colOff>20052</xdr:colOff>
      <xdr:row>37</xdr:row>
      <xdr:rowOff>140368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7B373B-A381-4163-A44A-2D59B1DF6CAC}"/>
            </a:ext>
          </a:extLst>
        </xdr:cNvPr>
        <xdr:cNvCxnSpPr/>
      </xdr:nvCxnSpPr>
      <xdr:spPr>
        <a:xfrm>
          <a:off x="20804605" y="0"/>
          <a:ext cx="0" cy="5594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507174</xdr:colOff>
      <xdr:row>11</xdr:row>
      <xdr:rowOff>144036</xdr:rowOff>
    </xdr:from>
    <xdr:to>
      <xdr:col>10</xdr:col>
      <xdr:colOff>543622</xdr:colOff>
      <xdr:row>30</xdr:row>
      <xdr:rowOff>18713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1416C-AC32-BC3D-D25F-A1C4A2A53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4772" y="1932877"/>
          <a:ext cx="3079801" cy="29644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5E69EB5-F007-4D3F-81A1-66A29F1E36E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" dT="2023-01-04T02:46:47.21" personId="{45E69EB5-F007-4D3F-81A1-66A29F1E36ED}" id="{3069B2B6-6AE1-4411-A9B6-C363B5550C85}">
    <text>Q3 guidance: 1400-1425</text>
  </threadedComment>
  <threadedComment ref="AI4" dT="2024-09-03T12:13:42.48" personId="{45E69EB5-F007-4D3F-81A1-66A29F1E36ED}" id="{E76A3321-30D1-474A-816C-3601963F366F}">
    <text>Raised guidance to 2.25-2.30B</text>
  </threadedComment>
  <threadedComment ref="AW4" dT="2024-09-03T12:31:23.19" personId="{45E69EB5-F007-4D3F-81A1-66A29F1E36ED}" id="{98D11F55-839D-450A-B2B9-0C3B07A81771}">
    <text>Settlement with generics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A1F6-F911-40A6-8644-267FAD055F12}">
  <dimension ref="B2:M22"/>
  <sheetViews>
    <sheetView zoomScale="160" zoomScaleNormal="160" workbookViewId="0">
      <selection activeCell="B7" sqref="B7"/>
    </sheetView>
  </sheetViews>
  <sheetFormatPr defaultRowHeight="12.75" x14ac:dyDescent="0.2"/>
  <cols>
    <col min="1" max="1" width="4.7109375" customWidth="1"/>
    <col min="2" max="2" width="21.42578125" customWidth="1"/>
    <col min="3" max="3" width="15.5703125" customWidth="1"/>
    <col min="4" max="4" width="18.7109375" customWidth="1"/>
    <col min="5" max="5" width="9.42578125" bestFit="1" customWidth="1"/>
    <col min="6" max="6" width="12.7109375" customWidth="1"/>
  </cols>
  <sheetData>
    <row r="2" spans="2:13" x14ac:dyDescent="0.2">
      <c r="B2" s="13" t="s">
        <v>22</v>
      </c>
      <c r="C2" s="14" t="s">
        <v>24</v>
      </c>
      <c r="D2" s="14" t="s">
        <v>36</v>
      </c>
      <c r="E2" s="14" t="s">
        <v>60</v>
      </c>
      <c r="F2" s="14" t="s">
        <v>32</v>
      </c>
      <c r="G2" s="15" t="s">
        <v>31</v>
      </c>
      <c r="K2" t="s">
        <v>0</v>
      </c>
      <c r="L2" s="1">
        <v>113</v>
      </c>
    </row>
    <row r="3" spans="2:13" x14ac:dyDescent="0.2">
      <c r="B3" s="19" t="s">
        <v>23</v>
      </c>
      <c r="C3" t="s">
        <v>25</v>
      </c>
      <c r="D3" t="s">
        <v>37</v>
      </c>
      <c r="E3" s="20">
        <v>42836</v>
      </c>
      <c r="F3" t="s">
        <v>33</v>
      </c>
      <c r="G3" s="9"/>
      <c r="K3" t="s">
        <v>1</v>
      </c>
      <c r="L3" s="3">
        <v>100.976249</v>
      </c>
      <c r="M3" s="2" t="s">
        <v>91</v>
      </c>
    </row>
    <row r="4" spans="2:13" x14ac:dyDescent="0.2">
      <c r="B4" s="21" t="s">
        <v>111</v>
      </c>
      <c r="C4" t="s">
        <v>112</v>
      </c>
      <c r="E4" s="20"/>
      <c r="G4" s="9"/>
      <c r="K4" t="s">
        <v>2</v>
      </c>
      <c r="L4" s="3">
        <f>+L2*L3</f>
        <v>11410.316137</v>
      </c>
    </row>
    <row r="5" spans="2:13" x14ac:dyDescent="0.2">
      <c r="B5" s="8" t="s">
        <v>26</v>
      </c>
      <c r="C5" t="s">
        <v>27</v>
      </c>
      <c r="G5" s="9"/>
      <c r="K5" t="s">
        <v>3</v>
      </c>
      <c r="L5" s="3">
        <f>139.7+899.2+637.8+143.6</f>
        <v>1820.3</v>
      </c>
      <c r="M5" s="2" t="s">
        <v>91</v>
      </c>
    </row>
    <row r="6" spans="2:13" x14ac:dyDescent="0.2">
      <c r="B6" s="13"/>
      <c r="C6" s="14"/>
      <c r="D6" s="14"/>
      <c r="E6" s="14" t="s">
        <v>61</v>
      </c>
      <c r="F6" s="14"/>
      <c r="G6" s="15"/>
      <c r="K6" t="s">
        <v>4</v>
      </c>
      <c r="L6" s="3">
        <v>0</v>
      </c>
      <c r="M6" s="2" t="s">
        <v>91</v>
      </c>
    </row>
    <row r="7" spans="2:13" x14ac:dyDescent="0.2">
      <c r="B7" s="19" t="s">
        <v>34</v>
      </c>
      <c r="C7" t="s">
        <v>35</v>
      </c>
      <c r="D7" t="s">
        <v>53</v>
      </c>
      <c r="E7" t="s">
        <v>138</v>
      </c>
      <c r="F7" t="s">
        <v>54</v>
      </c>
      <c r="G7" s="9"/>
      <c r="K7" t="s">
        <v>5</v>
      </c>
      <c r="L7" s="3">
        <f>+L4-L5+L6</f>
        <v>9590.0161370000005</v>
      </c>
    </row>
    <row r="8" spans="2:13" x14ac:dyDescent="0.2">
      <c r="B8" s="8" t="s">
        <v>49</v>
      </c>
      <c r="C8" t="s">
        <v>51</v>
      </c>
      <c r="D8" t="s">
        <v>52</v>
      </c>
      <c r="E8" t="s">
        <v>63</v>
      </c>
      <c r="F8" t="s">
        <v>50</v>
      </c>
      <c r="G8" s="9"/>
    </row>
    <row r="9" spans="2:13" x14ac:dyDescent="0.2">
      <c r="B9" s="8" t="s">
        <v>55</v>
      </c>
      <c r="C9" t="s">
        <v>56</v>
      </c>
      <c r="E9" t="s">
        <v>62</v>
      </c>
      <c r="G9" s="9"/>
      <c r="K9" t="s">
        <v>29</v>
      </c>
      <c r="L9" t="s">
        <v>113</v>
      </c>
    </row>
    <row r="10" spans="2:13" x14ac:dyDescent="0.2">
      <c r="B10" s="19" t="s">
        <v>57</v>
      </c>
      <c r="C10" t="s">
        <v>59</v>
      </c>
      <c r="D10" t="s">
        <v>58</v>
      </c>
      <c r="E10" t="s">
        <v>120</v>
      </c>
      <c r="G10" s="9"/>
    </row>
    <row r="11" spans="2:13" x14ac:dyDescent="0.2">
      <c r="B11" s="8" t="s">
        <v>64</v>
      </c>
      <c r="C11" t="s">
        <v>66</v>
      </c>
      <c r="D11" t="s">
        <v>65</v>
      </c>
      <c r="E11" t="s">
        <v>63</v>
      </c>
      <c r="F11" t="s">
        <v>69</v>
      </c>
      <c r="G11" s="9"/>
    </row>
    <row r="12" spans="2:13" x14ac:dyDescent="0.2">
      <c r="B12" s="8" t="s">
        <v>117</v>
      </c>
      <c r="D12" t="s">
        <v>118</v>
      </c>
      <c r="G12" s="9"/>
    </row>
    <row r="13" spans="2:13" x14ac:dyDescent="0.2">
      <c r="B13" s="8" t="s">
        <v>119</v>
      </c>
      <c r="D13" t="s">
        <v>122</v>
      </c>
      <c r="G13" s="9"/>
    </row>
    <row r="14" spans="2:13" x14ac:dyDescent="0.2">
      <c r="B14" s="8" t="s">
        <v>123</v>
      </c>
      <c r="D14" t="s">
        <v>78</v>
      </c>
      <c r="G14" s="9"/>
    </row>
    <row r="15" spans="2:13" x14ac:dyDescent="0.2">
      <c r="B15" s="8" t="s">
        <v>124</v>
      </c>
      <c r="D15" t="s">
        <v>118</v>
      </c>
      <c r="G15" s="9"/>
    </row>
    <row r="16" spans="2:13" x14ac:dyDescent="0.2">
      <c r="B16" s="8"/>
      <c r="F16" t="s">
        <v>125</v>
      </c>
      <c r="G16" s="9"/>
    </row>
    <row r="17" spans="2:7" x14ac:dyDescent="0.2">
      <c r="B17" s="8" t="s">
        <v>55</v>
      </c>
      <c r="C17" t="s">
        <v>66</v>
      </c>
      <c r="D17" t="s">
        <v>116</v>
      </c>
      <c r="F17" t="s">
        <v>69</v>
      </c>
      <c r="G17" s="9"/>
    </row>
    <row r="18" spans="2:7" x14ac:dyDescent="0.2">
      <c r="B18" s="19" t="s">
        <v>67</v>
      </c>
      <c r="C18" t="s">
        <v>66</v>
      </c>
      <c r="D18" t="s">
        <v>68</v>
      </c>
      <c r="E18" t="s">
        <v>63</v>
      </c>
      <c r="F18" t="s">
        <v>69</v>
      </c>
      <c r="G18" s="9"/>
    </row>
    <row r="19" spans="2:7" x14ac:dyDescent="0.2">
      <c r="B19" s="10" t="s">
        <v>70</v>
      </c>
      <c r="C19" s="11" t="s">
        <v>51</v>
      </c>
      <c r="D19" s="11" t="s">
        <v>71</v>
      </c>
      <c r="E19" s="11" t="s">
        <v>63</v>
      </c>
      <c r="F19" s="11" t="s">
        <v>72</v>
      </c>
      <c r="G19" s="12"/>
    </row>
    <row r="22" spans="2:7" x14ac:dyDescent="0.2">
      <c r="F22" t="s">
        <v>85</v>
      </c>
    </row>
  </sheetData>
  <hyperlinks>
    <hyperlink ref="B3" location="Ingrezza!A1" display="Ingrezza (valbenazine)" xr:uid="{A3DCB05F-467A-49D9-BDFF-0F9C96F16A9F}"/>
    <hyperlink ref="B10" location="crinecerfont!A1" display="crinecerfont" xr:uid="{7A8087B6-C265-401A-978F-A93E99DCCDEE}"/>
    <hyperlink ref="B18" location="'1065845'!A1" display="NBI-1065845" xr:uid="{6C6A8A42-AED5-4204-B4CB-F292C8E12385}"/>
    <hyperlink ref="B7" location="'1117568'!A1" display="NBI-1117568" xr:uid="{EB14CADC-5E3F-40B1-A298-788FF9E76F3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B0C7-1B6F-4C96-9B91-E9D8930F8C52}">
  <dimension ref="A1:AY44"/>
  <sheetViews>
    <sheetView zoomScale="175" zoomScaleNormal="175" workbookViewId="0">
      <pane xSplit="2" ySplit="2" topLeftCell="AH6" activePane="bottomRight" state="frozen"/>
      <selection pane="topRight" activeCell="C1" sqref="C1"/>
      <selection pane="bottomLeft" activeCell="A3" sqref="A3"/>
      <selection pane="bottomRight" activeCell="AT29" sqref="AT29"/>
    </sheetView>
  </sheetViews>
  <sheetFormatPr defaultRowHeight="12.75" x14ac:dyDescent="0.2"/>
  <cols>
    <col min="1" max="1" width="5" bestFit="1" customWidth="1"/>
    <col min="2" max="2" width="13.140625" customWidth="1"/>
    <col min="3" max="23" width="9.140625" style="2"/>
    <col min="49" max="49" width="11" bestFit="1" customWidth="1"/>
  </cols>
  <sheetData>
    <row r="1" spans="1:51" x14ac:dyDescent="0.2">
      <c r="A1" t="s">
        <v>7</v>
      </c>
    </row>
    <row r="2" spans="1:51" x14ac:dyDescent="0.2">
      <c r="C2" s="2" t="s">
        <v>75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19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Z2">
        <v>2015</v>
      </c>
      <c r="AA2">
        <f>+Z2+1</f>
        <v>2016</v>
      </c>
      <c r="AB2">
        <f t="shared" ref="AB2:AY2" si="0">+AA2+1</f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  <c r="AP2">
        <f t="shared" si="0"/>
        <v>2031</v>
      </c>
      <c r="AQ2">
        <f t="shared" si="0"/>
        <v>2032</v>
      </c>
      <c r="AR2">
        <f t="shared" si="0"/>
        <v>2033</v>
      </c>
      <c r="AS2">
        <f t="shared" si="0"/>
        <v>2034</v>
      </c>
      <c r="AT2">
        <f t="shared" si="0"/>
        <v>2035</v>
      </c>
      <c r="AU2">
        <f t="shared" si="0"/>
        <v>2036</v>
      </c>
      <c r="AV2">
        <f t="shared" si="0"/>
        <v>2037</v>
      </c>
      <c r="AW2">
        <f t="shared" si="0"/>
        <v>2038</v>
      </c>
      <c r="AX2">
        <f t="shared" si="0"/>
        <v>2039</v>
      </c>
      <c r="AY2">
        <f t="shared" si="0"/>
        <v>2040</v>
      </c>
    </row>
    <row r="3" spans="1:51" x14ac:dyDescent="0.2">
      <c r="B3" t="s">
        <v>30</v>
      </c>
      <c r="N3" s="2">
        <v>68600</v>
      </c>
    </row>
    <row r="4" spans="1:51" x14ac:dyDescent="0.2">
      <c r="B4" t="s">
        <v>28</v>
      </c>
      <c r="J4" s="5"/>
      <c r="K4" s="5"/>
      <c r="L4" s="2">
        <v>303</v>
      </c>
      <c r="M4" s="2">
        <v>350</v>
      </c>
      <c r="N4" s="2">
        <v>376</v>
      </c>
      <c r="Q4" s="5">
        <v>439.7</v>
      </c>
      <c r="R4" s="5">
        <v>486</v>
      </c>
      <c r="S4" s="5">
        <v>500</v>
      </c>
      <c r="T4" s="5">
        <v>506</v>
      </c>
      <c r="U4" s="5">
        <v>579.5</v>
      </c>
      <c r="AC4" s="3">
        <v>409.6</v>
      </c>
      <c r="AD4" s="3">
        <v>752.9</v>
      </c>
      <c r="AE4" s="3">
        <v>993.1</v>
      </c>
      <c r="AF4" s="3">
        <v>1081.9000000000001</v>
      </c>
    </row>
    <row r="5" spans="1:51" x14ac:dyDescent="0.2">
      <c r="B5" t="s">
        <v>130</v>
      </c>
      <c r="J5" s="5"/>
      <c r="K5" s="5"/>
      <c r="Q5" s="5"/>
      <c r="R5" s="5"/>
      <c r="S5" s="5"/>
      <c r="T5" s="5"/>
      <c r="U5" s="5"/>
      <c r="AC5">
        <v>0</v>
      </c>
      <c r="AD5">
        <v>0</v>
      </c>
      <c r="AE5" s="3">
        <v>1</v>
      </c>
      <c r="AF5" s="3">
        <v>8.1999999999999993</v>
      </c>
    </row>
    <row r="6" spans="1:51" s="3" customFormat="1" x14ac:dyDescent="0.2">
      <c r="B6" s="3" t="s">
        <v>20</v>
      </c>
      <c r="C6" s="5">
        <v>237.9</v>
      </c>
      <c r="D6" s="5">
        <v>231.1</v>
      </c>
      <c r="E6" s="5">
        <v>267.60000000000002</v>
      </c>
      <c r="F6" s="5">
        <v>254.1</v>
      </c>
      <c r="G6" s="5">
        <v>241.3</v>
      </c>
      <c r="H6" s="5">
        <v>231</v>
      </c>
      <c r="I6" s="5">
        <v>266.8</v>
      </c>
      <c r="J6" s="5">
        <v>288.8</v>
      </c>
      <c r="K6" s="5">
        <v>303.5</v>
      </c>
      <c r="L6" s="5">
        <v>305</v>
      </c>
      <c r="M6" s="5">
        <v>352</v>
      </c>
      <c r="N6" s="5">
        <v>379.3</v>
      </c>
      <c r="O6" s="5">
        <v>404.6</v>
      </c>
      <c r="P6" s="5">
        <v>415.3</v>
      </c>
      <c r="Q6" s="5">
        <v>446.3</v>
      </c>
      <c r="R6" s="5">
        <v>491.8</v>
      </c>
      <c r="S6" s="5">
        <v>507.2</v>
      </c>
      <c r="T6" s="5">
        <v>509</v>
      </c>
      <c r="U6" s="5">
        <v>583.79999999999995</v>
      </c>
      <c r="V6" s="5">
        <f>+Q6*1.3</f>
        <v>580.19000000000005</v>
      </c>
      <c r="W6" s="5">
        <f>+R6*1.3</f>
        <v>639.34</v>
      </c>
      <c r="AA6" s="3">
        <v>0</v>
      </c>
      <c r="AB6" s="3">
        <v>116.6</v>
      </c>
      <c r="AC6" s="3">
        <f>+AC4+AC5</f>
        <v>409.6</v>
      </c>
      <c r="AD6" s="3">
        <f>+AD4+AD5</f>
        <v>752.9</v>
      </c>
      <c r="AE6" s="3">
        <f>+AE4+AE5</f>
        <v>994.1</v>
      </c>
      <c r="AF6" s="3">
        <f>+AF4+AF5</f>
        <v>1090.1000000000001</v>
      </c>
      <c r="AG6" s="3">
        <f>SUM(L6:O6)</f>
        <v>1440.9</v>
      </c>
      <c r="AH6" s="3">
        <f>SUM(P6:S6)</f>
        <v>1860.6000000000001</v>
      </c>
      <c r="AI6" s="3">
        <f>SUM(T6:W6)</f>
        <v>2312.33</v>
      </c>
      <c r="AJ6" s="3">
        <f>+AI6*1.05</f>
        <v>2427.9465</v>
      </c>
      <c r="AK6" s="3">
        <f>+AJ6*1.05</f>
        <v>2549.3438249999999</v>
      </c>
      <c r="AL6" s="3">
        <f t="shared" ref="AL6:AM6" si="1">+AK6*1.05</f>
        <v>2676.8110162500002</v>
      </c>
      <c r="AM6" s="3">
        <f t="shared" si="1"/>
        <v>2810.6515670625004</v>
      </c>
      <c r="AN6" s="3">
        <f>+AM6*1.01</f>
        <v>2838.7580827331253</v>
      </c>
      <c r="AO6" s="3">
        <f t="shared" ref="AO6:AP6" si="2">+AN6*1.01</f>
        <v>2867.1456635604568</v>
      </c>
      <c r="AP6" s="3">
        <f t="shared" si="2"/>
        <v>2895.8171201960613</v>
      </c>
    </row>
    <row r="7" spans="1:51" s="3" customFormat="1" x14ac:dyDescent="0.2">
      <c r="B7" s="3" t="s">
        <v>131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AD7" s="3">
        <v>14.3</v>
      </c>
      <c r="AE7" s="3">
        <v>19.2</v>
      </c>
      <c r="AF7" s="3">
        <v>22.3</v>
      </c>
    </row>
    <row r="8" spans="1:51" s="3" customFormat="1" x14ac:dyDescent="0.2">
      <c r="B8" s="3" t="s">
        <v>132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AD8" s="3">
        <v>20.9</v>
      </c>
      <c r="AE8" s="3">
        <v>32.6</v>
      </c>
      <c r="AF8" s="3">
        <v>21.1</v>
      </c>
    </row>
    <row r="9" spans="1:51" s="3" customFormat="1" x14ac:dyDescent="0.2">
      <c r="B9" s="3" t="s">
        <v>21</v>
      </c>
      <c r="C9" s="5">
        <v>6.2</v>
      </c>
      <c r="D9" s="5">
        <v>6</v>
      </c>
      <c r="E9" s="5">
        <v>34.799999999999997</v>
      </c>
      <c r="F9" s="5">
        <v>4.4000000000000004</v>
      </c>
      <c r="G9" s="5">
        <v>6.6</v>
      </c>
      <c r="H9" s="5">
        <v>5.6</v>
      </c>
      <c r="I9" s="5">
        <v>22.1</v>
      </c>
      <c r="J9" s="5">
        <v>7.2</v>
      </c>
      <c r="K9" s="5">
        <v>8.5</v>
      </c>
      <c r="L9" s="5">
        <v>5.6</v>
      </c>
      <c r="M9" s="5">
        <v>26.2</v>
      </c>
      <c r="N9" s="5">
        <v>8.6</v>
      </c>
      <c r="O9" s="5">
        <v>7.4</v>
      </c>
      <c r="P9" s="5">
        <v>5.0999999999999996</v>
      </c>
      <c r="Q9" s="5">
        <v>6.4</v>
      </c>
      <c r="R9" s="5">
        <v>7</v>
      </c>
      <c r="S9" s="5">
        <v>7.4</v>
      </c>
      <c r="T9" s="5">
        <v>6.3</v>
      </c>
      <c r="U9" s="5">
        <v>6.4</v>
      </c>
      <c r="V9" s="5"/>
      <c r="W9" s="5"/>
      <c r="AC9" s="3">
        <v>41.6</v>
      </c>
      <c r="AD9" s="3">
        <f>+AD7+AD8</f>
        <v>35.200000000000003</v>
      </c>
      <c r="AE9" s="3">
        <f>+AE7+AE8</f>
        <v>51.8</v>
      </c>
      <c r="AF9" s="3">
        <f>+AF7+AF8</f>
        <v>43.400000000000006</v>
      </c>
      <c r="AG9" s="3">
        <f t="shared" ref="AG9" si="3">SUM(L9:O9)</f>
        <v>47.8</v>
      </c>
      <c r="AH9" s="3">
        <f t="shared" ref="AH9" si="4">SUM(P9:S9)</f>
        <v>25.9</v>
      </c>
      <c r="AI9" s="3">
        <f t="shared" ref="AI9" si="5">SUM(T9:W9)</f>
        <v>12.7</v>
      </c>
      <c r="AJ9" s="3">
        <f>SUM(O9:Z9)</f>
        <v>45.999999999999993</v>
      </c>
      <c r="AK9" s="3">
        <f t="shared" ref="AK9" si="6">SUM(X9:AA9)</f>
        <v>0</v>
      </c>
      <c r="AL9" s="3">
        <f t="shared" ref="AL9" si="7">SUM(Y9:AB9)</f>
        <v>0</v>
      </c>
      <c r="AM9" s="3">
        <f t="shared" ref="AM9" si="8">SUM(Z9:AC9)</f>
        <v>41.6</v>
      </c>
      <c r="AN9" s="3">
        <f t="shared" ref="AN9" si="9">SUM(AA9:AD9)</f>
        <v>76.800000000000011</v>
      </c>
      <c r="AO9" s="3">
        <f t="shared" ref="AO9" si="10">SUM(AB9:AE9)</f>
        <v>128.60000000000002</v>
      </c>
      <c r="AP9" s="3">
        <f t="shared" ref="AP9" si="11">SUM(AC9:AF9)</f>
        <v>172.00000000000003</v>
      </c>
    </row>
    <row r="10" spans="1:51" s="6" customFormat="1" x14ac:dyDescent="0.2">
      <c r="B10" s="6" t="s">
        <v>8</v>
      </c>
      <c r="C10" s="7">
        <f t="shared" ref="C10" si="12">+C6+C9</f>
        <v>244.1</v>
      </c>
      <c r="D10" s="7">
        <f t="shared" ref="D10" si="13">+D6+D9</f>
        <v>237.1</v>
      </c>
      <c r="E10" s="7">
        <f t="shared" ref="E10" si="14">+E6+E9</f>
        <v>302.40000000000003</v>
      </c>
      <c r="F10" s="7">
        <f>+F6+F9</f>
        <v>258.5</v>
      </c>
      <c r="G10" s="7">
        <f>+G6+G9</f>
        <v>247.9</v>
      </c>
      <c r="H10" s="7">
        <f>+H6+H9</f>
        <v>236.6</v>
      </c>
      <c r="I10" s="7">
        <f>+I6+I9</f>
        <v>288.90000000000003</v>
      </c>
      <c r="J10" s="7">
        <f t="shared" ref="J10" si="15">+J6+J9</f>
        <v>296</v>
      </c>
      <c r="K10" s="7">
        <f>+K6+K9</f>
        <v>312</v>
      </c>
      <c r="L10" s="7">
        <f>+L6+L9</f>
        <v>310.60000000000002</v>
      </c>
      <c r="M10" s="7">
        <f>+M6+M9</f>
        <v>378.2</v>
      </c>
      <c r="N10" s="7">
        <f t="shared" ref="N10:W10" si="16">+N6+N9</f>
        <v>387.90000000000003</v>
      </c>
      <c r="O10" s="7">
        <f t="shared" si="16"/>
        <v>412</v>
      </c>
      <c r="P10" s="7">
        <f t="shared" si="16"/>
        <v>420.40000000000003</v>
      </c>
      <c r="Q10" s="7">
        <f t="shared" si="16"/>
        <v>452.7</v>
      </c>
      <c r="R10" s="7">
        <f t="shared" si="16"/>
        <v>498.8</v>
      </c>
      <c r="S10" s="7">
        <f t="shared" si="16"/>
        <v>514.6</v>
      </c>
      <c r="T10" s="7">
        <f t="shared" si="16"/>
        <v>515.29999999999995</v>
      </c>
      <c r="U10" s="7">
        <f t="shared" si="16"/>
        <v>590.19999999999993</v>
      </c>
      <c r="V10" s="7">
        <f t="shared" si="16"/>
        <v>580.19000000000005</v>
      </c>
      <c r="W10" s="7">
        <f t="shared" si="16"/>
        <v>639.34</v>
      </c>
      <c r="AA10" s="6">
        <f t="shared" ref="AA10:AG10" si="17">+AA6+AA9</f>
        <v>0</v>
      </c>
      <c r="AB10" s="6">
        <f t="shared" si="17"/>
        <v>116.6</v>
      </c>
      <c r="AC10" s="6">
        <f t="shared" si="17"/>
        <v>451.20000000000005</v>
      </c>
      <c r="AD10" s="6">
        <f t="shared" si="17"/>
        <v>788.1</v>
      </c>
      <c r="AE10" s="6">
        <f t="shared" si="17"/>
        <v>1045.9000000000001</v>
      </c>
      <c r="AF10" s="6">
        <f t="shared" si="17"/>
        <v>1133.5000000000002</v>
      </c>
      <c r="AG10" s="6">
        <f t="shared" si="17"/>
        <v>1488.7</v>
      </c>
      <c r="AH10" s="6">
        <f t="shared" ref="AH10:AK10" si="18">+AH6+AH9</f>
        <v>1886.5000000000002</v>
      </c>
      <c r="AI10" s="6">
        <f t="shared" si="18"/>
        <v>2325.0299999999997</v>
      </c>
      <c r="AJ10" s="6">
        <f t="shared" si="18"/>
        <v>2473.9465</v>
      </c>
      <c r="AK10" s="6">
        <f t="shared" si="18"/>
        <v>2549.3438249999999</v>
      </c>
      <c r="AL10" s="6">
        <f t="shared" ref="AL10" si="19">+AL6+AL9</f>
        <v>2676.8110162500002</v>
      </c>
      <c r="AM10" s="6">
        <f t="shared" ref="AM10" si="20">+AM6+AM9</f>
        <v>2852.2515670625003</v>
      </c>
      <c r="AN10" s="6">
        <f t="shared" ref="AN10" si="21">+AN6+AN9</f>
        <v>2915.5580827331255</v>
      </c>
      <c r="AO10" s="6">
        <f t="shared" ref="AO10" si="22">+AO6+AO9</f>
        <v>2995.7456635604567</v>
      </c>
      <c r="AP10" s="6">
        <f t="shared" ref="AP10" si="23">+AP6+AP9</f>
        <v>3067.8171201960613</v>
      </c>
    </row>
    <row r="11" spans="1:51" s="3" customFormat="1" x14ac:dyDescent="0.2">
      <c r="B11" s="3" t="s">
        <v>38</v>
      </c>
      <c r="C11" s="5">
        <v>2.5</v>
      </c>
      <c r="D11" s="5">
        <v>2.1</v>
      </c>
      <c r="E11" s="5">
        <v>2.4</v>
      </c>
      <c r="F11" s="5">
        <v>2.9</v>
      </c>
      <c r="G11" s="5">
        <v>2.9</v>
      </c>
      <c r="H11" s="5">
        <v>2.9</v>
      </c>
      <c r="I11" s="5">
        <v>3.1</v>
      </c>
      <c r="J11" s="5">
        <v>4.2</v>
      </c>
      <c r="K11" s="5">
        <v>4.0999999999999996</v>
      </c>
      <c r="L11" s="5">
        <v>4.5999999999999996</v>
      </c>
      <c r="M11" s="5">
        <v>4.8</v>
      </c>
      <c r="N11" s="5">
        <v>6.1</v>
      </c>
      <c r="O11" s="5">
        <v>7.7</v>
      </c>
      <c r="P11" s="5">
        <v>8.5</v>
      </c>
      <c r="Q11" s="5">
        <v>11.5</v>
      </c>
      <c r="R11" s="5">
        <v>11.2</v>
      </c>
      <c r="S11" s="5">
        <v>8.5</v>
      </c>
      <c r="T11" s="5">
        <v>7.5</v>
      </c>
      <c r="U11" s="5">
        <v>9.1999999999999993</v>
      </c>
      <c r="V11" s="5">
        <f>+V10*0.02</f>
        <v>11.603800000000001</v>
      </c>
      <c r="W11" s="5">
        <f>+W10*0.02</f>
        <v>12.786800000000001</v>
      </c>
      <c r="AC11" s="3">
        <v>4.9000000000000004</v>
      </c>
      <c r="AD11" s="3">
        <v>7.4</v>
      </c>
      <c r="AE11" s="3">
        <v>10.1</v>
      </c>
      <c r="AF11" s="3">
        <v>14.3</v>
      </c>
      <c r="AG11" s="3">
        <f t="shared" ref="AG11" si="24">SUM(L11:O11)</f>
        <v>23.2</v>
      </c>
      <c r="AH11" s="3">
        <f t="shared" ref="AH11" si="25">SUM(P11:S11)</f>
        <v>39.700000000000003</v>
      </c>
      <c r="AI11" s="3">
        <f t="shared" ref="AI11" si="26">SUM(T11:W11)</f>
        <v>41.090600000000002</v>
      </c>
      <c r="AJ11" s="3">
        <f t="shared" ref="AJ11:AK11" si="27">+AJ10*0.01</f>
        <v>24.739464999999999</v>
      </c>
      <c r="AK11" s="3">
        <f t="shared" si="27"/>
        <v>25.493438250000001</v>
      </c>
      <c r="AL11" s="3">
        <f t="shared" ref="AL11" si="28">+AL10*0.01</f>
        <v>26.768110162500001</v>
      </c>
      <c r="AM11" s="3">
        <f t="shared" ref="AM11" si="29">+AM10*0.01</f>
        <v>28.522515670625005</v>
      </c>
      <c r="AN11" s="3">
        <f t="shared" ref="AN11" si="30">+AN10*0.01</f>
        <v>29.155580827331256</v>
      </c>
      <c r="AO11" s="3">
        <f t="shared" ref="AO11" si="31">+AO10*0.01</f>
        <v>29.957456635604569</v>
      </c>
      <c r="AP11" s="3">
        <f t="shared" ref="AP11" si="32">+AP10*0.01</f>
        <v>30.678171201960613</v>
      </c>
    </row>
    <row r="12" spans="1:51" s="3" customFormat="1" x14ac:dyDescent="0.2">
      <c r="B12" s="3" t="s">
        <v>39</v>
      </c>
      <c r="C12" s="5">
        <f t="shared" ref="C12" si="33">+C10-C11</f>
        <v>241.6</v>
      </c>
      <c r="D12" s="5">
        <f t="shared" ref="D12" si="34">+D10-D11</f>
        <v>235</v>
      </c>
      <c r="E12" s="5">
        <f t="shared" ref="E12" si="35">+E10-E11</f>
        <v>300.00000000000006</v>
      </c>
      <c r="F12" s="5">
        <f>+F10-F11</f>
        <v>255.6</v>
      </c>
      <c r="G12" s="5">
        <f>+G10-G11</f>
        <v>245</v>
      </c>
      <c r="H12" s="5">
        <f>+H10-H11</f>
        <v>233.7</v>
      </c>
      <c r="I12" s="5">
        <f>+I10-I11</f>
        <v>285.8</v>
      </c>
      <c r="J12" s="5">
        <f t="shared" ref="J12" si="36">+J10-J11</f>
        <v>291.8</v>
      </c>
      <c r="K12" s="5">
        <f t="shared" ref="K12:W12" si="37">+K10-K11</f>
        <v>307.89999999999998</v>
      </c>
      <c r="L12" s="5">
        <f t="shared" si="37"/>
        <v>306</v>
      </c>
      <c r="M12" s="5">
        <f t="shared" si="37"/>
        <v>373.4</v>
      </c>
      <c r="N12" s="5">
        <f t="shared" si="37"/>
        <v>381.8</v>
      </c>
      <c r="O12" s="5">
        <f t="shared" si="37"/>
        <v>404.3</v>
      </c>
      <c r="P12" s="5">
        <f t="shared" si="37"/>
        <v>411.90000000000003</v>
      </c>
      <c r="Q12" s="5">
        <f t="shared" si="37"/>
        <v>441.2</v>
      </c>
      <c r="R12" s="5">
        <f t="shared" si="37"/>
        <v>487.6</v>
      </c>
      <c r="S12" s="5">
        <f t="shared" si="37"/>
        <v>506.1</v>
      </c>
      <c r="T12" s="5">
        <f t="shared" si="37"/>
        <v>507.79999999999995</v>
      </c>
      <c r="U12" s="5">
        <f t="shared" si="37"/>
        <v>580.99999999999989</v>
      </c>
      <c r="V12" s="5">
        <f t="shared" si="37"/>
        <v>568.58620000000008</v>
      </c>
      <c r="W12" s="5">
        <f t="shared" si="37"/>
        <v>626.55320000000006</v>
      </c>
      <c r="AA12" s="3">
        <f t="shared" ref="AA12:AC12" si="38">+AA10-AA11</f>
        <v>0</v>
      </c>
      <c r="AB12" s="3">
        <f t="shared" si="38"/>
        <v>116.6</v>
      </c>
      <c r="AC12" s="3">
        <f t="shared" si="38"/>
        <v>446.30000000000007</v>
      </c>
      <c r="AD12" s="3">
        <f>+AD10-AD11</f>
        <v>780.7</v>
      </c>
      <c r="AE12" s="3">
        <f>+AE10-AE11</f>
        <v>1035.8000000000002</v>
      </c>
      <c r="AF12" s="3">
        <f>+AF10-AF11</f>
        <v>1119.2000000000003</v>
      </c>
      <c r="AG12" s="3">
        <f>+AG10-AG11</f>
        <v>1465.5</v>
      </c>
      <c r="AH12" s="3">
        <f t="shared" ref="AH12:AK12" si="39">+AH10-AH11</f>
        <v>1846.8000000000002</v>
      </c>
      <c r="AI12" s="3">
        <f t="shared" si="39"/>
        <v>2283.9393999999998</v>
      </c>
      <c r="AJ12" s="3">
        <f t="shared" si="39"/>
        <v>2449.2070349999999</v>
      </c>
      <c r="AK12" s="3">
        <f t="shared" si="39"/>
        <v>2523.8503867499999</v>
      </c>
      <c r="AL12" s="3">
        <f t="shared" ref="AL12" si="40">+AL10-AL11</f>
        <v>2650.0429060875003</v>
      </c>
      <c r="AM12" s="3">
        <f t="shared" ref="AM12" si="41">+AM10-AM11</f>
        <v>2823.7290513918751</v>
      </c>
      <c r="AN12" s="3">
        <f t="shared" ref="AN12" si="42">+AN10-AN11</f>
        <v>2886.4025019057945</v>
      </c>
      <c r="AO12" s="3">
        <f t="shared" ref="AO12" si="43">+AO10-AO11</f>
        <v>2965.7882069248521</v>
      </c>
      <c r="AP12" s="3">
        <f t="shared" ref="AP12" si="44">+AP10-AP11</f>
        <v>3037.1389489941007</v>
      </c>
    </row>
    <row r="13" spans="1:51" s="3" customFormat="1" x14ac:dyDescent="0.2">
      <c r="B13" s="3" t="s">
        <v>42</v>
      </c>
      <c r="C13" s="5">
        <v>55.3</v>
      </c>
      <c r="D13" s="5">
        <v>58.3</v>
      </c>
      <c r="E13" s="5">
        <v>80.900000000000006</v>
      </c>
      <c r="F13" s="5">
        <v>69.099999999999994</v>
      </c>
      <c r="G13" s="5">
        <v>66.7</v>
      </c>
      <c r="H13" s="5">
        <v>73.2</v>
      </c>
      <c r="I13" s="5">
        <v>74.8</v>
      </c>
      <c r="J13" s="5">
        <v>92.7</v>
      </c>
      <c r="K13" s="5">
        <v>87.4</v>
      </c>
      <c r="L13" s="5">
        <v>102.2</v>
      </c>
      <c r="M13" s="5">
        <v>135.9</v>
      </c>
      <c r="N13" s="5">
        <v>107.7</v>
      </c>
      <c r="O13" s="5">
        <v>118</v>
      </c>
      <c r="P13" s="5">
        <v>139.5</v>
      </c>
      <c r="Q13" s="5">
        <v>145.80000000000001</v>
      </c>
      <c r="R13" s="5">
        <v>142.19999999999999</v>
      </c>
      <c r="S13" s="5">
        <v>137.5</v>
      </c>
      <c r="T13" s="5">
        <v>159.4</v>
      </c>
      <c r="U13" s="5">
        <v>191.1</v>
      </c>
      <c r="V13" s="5"/>
      <c r="W13" s="5"/>
      <c r="AC13" s="3">
        <v>155.80000000000001</v>
      </c>
      <c r="AD13" s="3">
        <v>200</v>
      </c>
      <c r="AE13" s="3">
        <v>275</v>
      </c>
      <c r="AF13" s="3">
        <v>328.1</v>
      </c>
      <c r="AG13" s="3">
        <f t="shared" ref="AG13:AG14" si="45">SUM(L13:O13)</f>
        <v>463.8</v>
      </c>
      <c r="AH13" s="3">
        <f t="shared" ref="AH13:AH14" si="46">SUM(P13:S13)</f>
        <v>565</v>
      </c>
      <c r="AI13" s="3">
        <f t="shared" ref="AI13:AI14" si="47">SUM(T13:W13)</f>
        <v>350.5</v>
      </c>
    </row>
    <row r="14" spans="1:51" s="3" customFormat="1" x14ac:dyDescent="0.2">
      <c r="B14" s="3" t="s">
        <v>43</v>
      </c>
      <c r="C14" s="5">
        <v>101.3</v>
      </c>
      <c r="D14" s="5">
        <v>117.8</v>
      </c>
      <c r="E14" s="5">
        <v>96.5</v>
      </c>
      <c r="F14" s="5">
        <v>112.5</v>
      </c>
      <c r="G14" s="5">
        <v>106.5</v>
      </c>
      <c r="H14" s="5">
        <v>129</v>
      </c>
      <c r="I14" s="5">
        <v>143.19999999999999</v>
      </c>
      <c r="J14" s="5">
        <v>154.6</v>
      </c>
      <c r="K14" s="5">
        <v>156.5</v>
      </c>
      <c r="L14" s="5">
        <v>200.7</v>
      </c>
      <c r="M14" s="5">
        <v>182.8</v>
      </c>
      <c r="N14" s="5">
        <v>186.3</v>
      </c>
      <c r="O14" s="5">
        <v>182.9</v>
      </c>
      <c r="P14" s="5">
        <v>143.9</v>
      </c>
      <c r="Q14" s="5">
        <v>221.8</v>
      </c>
      <c r="R14" s="5">
        <v>204.2</v>
      </c>
      <c r="S14" s="5">
        <v>218.9</v>
      </c>
      <c r="T14" s="5">
        <v>243.1</v>
      </c>
      <c r="U14" s="5">
        <v>242</v>
      </c>
      <c r="V14" s="5">
        <f>+R14</f>
        <v>204.2</v>
      </c>
      <c r="W14" s="5">
        <f>+S14</f>
        <v>218.9</v>
      </c>
      <c r="AC14" s="3">
        <v>248.9</v>
      </c>
      <c r="AD14" s="3">
        <v>354.1</v>
      </c>
      <c r="AE14" s="3">
        <v>433.3</v>
      </c>
      <c r="AF14" s="3">
        <v>583.29999999999995</v>
      </c>
      <c r="AG14" s="3">
        <f t="shared" si="45"/>
        <v>752.69999999999993</v>
      </c>
      <c r="AH14" s="3">
        <f t="shared" si="46"/>
        <v>788.80000000000007</v>
      </c>
      <c r="AI14" s="3">
        <f t="shared" si="47"/>
        <v>908.19999999999993</v>
      </c>
      <c r="AJ14" s="3">
        <f>+AI14*0.9</f>
        <v>817.38</v>
      </c>
      <c r="AK14" s="3">
        <f>+AJ14</f>
        <v>817.38</v>
      </c>
      <c r="AL14" s="3">
        <f t="shared" ref="AL14:AM14" si="48">+AK14</f>
        <v>817.38</v>
      </c>
      <c r="AM14" s="3">
        <f t="shared" si="48"/>
        <v>817.38</v>
      </c>
      <c r="AN14" s="3">
        <f t="shared" ref="AN14:AP14" si="49">+AM14</f>
        <v>817.38</v>
      </c>
      <c r="AO14" s="3">
        <f t="shared" si="49"/>
        <v>817.38</v>
      </c>
      <c r="AP14" s="3">
        <f t="shared" si="49"/>
        <v>817.38</v>
      </c>
    </row>
    <row r="15" spans="1:51" s="3" customFormat="1" x14ac:dyDescent="0.2">
      <c r="B15" s="3" t="s">
        <v>40</v>
      </c>
      <c r="C15" s="5">
        <f t="shared" ref="C15" si="50">+C13+C14</f>
        <v>156.6</v>
      </c>
      <c r="D15" s="5">
        <f t="shared" ref="D15" si="51">+D13+D14</f>
        <v>176.1</v>
      </c>
      <c r="E15" s="5">
        <f t="shared" ref="E15" si="52">+E13+E14</f>
        <v>177.4</v>
      </c>
      <c r="F15" s="5">
        <f>+F13+F14</f>
        <v>181.6</v>
      </c>
      <c r="G15" s="5">
        <f>+G13+G14</f>
        <v>173.2</v>
      </c>
      <c r="H15" s="5">
        <f>+H13+H14</f>
        <v>202.2</v>
      </c>
      <c r="I15" s="5">
        <f>+I13+I14</f>
        <v>218</v>
      </c>
      <c r="J15" s="5">
        <f t="shared" ref="J15" si="53">+J13+J14</f>
        <v>247.3</v>
      </c>
      <c r="K15" s="5">
        <f>+K13+K14</f>
        <v>243.9</v>
      </c>
      <c r="L15" s="5">
        <f>+L13+L14</f>
        <v>302.89999999999998</v>
      </c>
      <c r="M15" s="5">
        <f>+M13+M14</f>
        <v>318.70000000000005</v>
      </c>
      <c r="N15" s="5">
        <f>+N13+N14</f>
        <v>294</v>
      </c>
      <c r="O15" s="5">
        <f t="shared" ref="O15:P15" si="54">+O13+O14</f>
        <v>300.89999999999998</v>
      </c>
      <c r="P15" s="5">
        <f t="shared" si="54"/>
        <v>283.39999999999998</v>
      </c>
      <c r="Q15" s="5">
        <f>+Q13+Q14</f>
        <v>367.6</v>
      </c>
      <c r="R15" s="5">
        <f t="shared" ref="R15:W15" si="55">+R13+R14</f>
        <v>346.4</v>
      </c>
      <c r="S15" s="5">
        <f t="shared" si="55"/>
        <v>356.4</v>
      </c>
      <c r="T15" s="5">
        <f t="shared" si="55"/>
        <v>402.5</v>
      </c>
      <c r="U15" s="5">
        <f t="shared" si="55"/>
        <v>433.1</v>
      </c>
      <c r="V15" s="5">
        <f t="shared" si="55"/>
        <v>204.2</v>
      </c>
      <c r="W15" s="5">
        <f t="shared" si="55"/>
        <v>218.9</v>
      </c>
      <c r="AA15" s="3">
        <f t="shared" ref="AA15:AC15" si="56">+AA13+AA14</f>
        <v>0</v>
      </c>
      <c r="AB15" s="3">
        <f t="shared" si="56"/>
        <v>0</v>
      </c>
      <c r="AC15" s="3">
        <f t="shared" si="56"/>
        <v>404.70000000000005</v>
      </c>
      <c r="AD15" s="3">
        <f>+AD13+AD14</f>
        <v>554.1</v>
      </c>
      <c r="AE15" s="3">
        <f>+AE13+AE14</f>
        <v>708.3</v>
      </c>
      <c r="AF15" s="3">
        <f>+AF13+AF14</f>
        <v>911.4</v>
      </c>
      <c r="AG15" s="3">
        <f>+AG13+AG14</f>
        <v>1216.5</v>
      </c>
      <c r="AH15" s="3">
        <f t="shared" ref="AH15:AK15" si="57">+AH13+AH14</f>
        <v>1353.8000000000002</v>
      </c>
      <c r="AI15" s="3">
        <f t="shared" si="57"/>
        <v>1258.6999999999998</v>
      </c>
      <c r="AJ15" s="3">
        <f t="shared" si="57"/>
        <v>817.38</v>
      </c>
      <c r="AK15" s="3">
        <f t="shared" si="57"/>
        <v>817.38</v>
      </c>
      <c r="AL15" s="3">
        <f t="shared" ref="AL15" si="58">+AL13+AL14</f>
        <v>817.38</v>
      </c>
      <c r="AM15" s="3">
        <f t="shared" ref="AM15" si="59">+AM13+AM14</f>
        <v>817.38</v>
      </c>
      <c r="AN15" s="3">
        <f t="shared" ref="AN15" si="60">+AN13+AN14</f>
        <v>817.38</v>
      </c>
      <c r="AO15" s="3">
        <f t="shared" ref="AO15" si="61">+AO13+AO14</f>
        <v>817.38</v>
      </c>
      <c r="AP15" s="3">
        <f t="shared" ref="AP15" si="62">+AP13+AP14</f>
        <v>817.38</v>
      </c>
    </row>
    <row r="16" spans="1:51" s="3" customFormat="1" x14ac:dyDescent="0.2">
      <c r="B16" s="3" t="s">
        <v>41</v>
      </c>
      <c r="C16" s="5">
        <f t="shared" ref="C16" si="63">+C12-C15</f>
        <v>85</v>
      </c>
      <c r="D16" s="5">
        <f t="shared" ref="D16" si="64">+D12-D15</f>
        <v>58.900000000000006</v>
      </c>
      <c r="E16" s="5">
        <f t="shared" ref="E16" si="65">+E12-E15</f>
        <v>122.60000000000005</v>
      </c>
      <c r="F16" s="5">
        <f>+F12-F15</f>
        <v>74</v>
      </c>
      <c r="G16" s="5">
        <f>+G12-G15</f>
        <v>71.800000000000011</v>
      </c>
      <c r="H16" s="5">
        <f>+H12-H15</f>
        <v>31.5</v>
      </c>
      <c r="I16" s="5">
        <f>+I12-I15</f>
        <v>67.800000000000011</v>
      </c>
      <c r="J16" s="5">
        <f t="shared" ref="J16" si="66">+J12-J15</f>
        <v>44.5</v>
      </c>
      <c r="K16" s="5">
        <f>+K12-K15</f>
        <v>63.999999999999972</v>
      </c>
      <c r="L16" s="5">
        <f>+L12-L15</f>
        <v>3.1000000000000227</v>
      </c>
      <c r="M16" s="5">
        <f>+M12-M15</f>
        <v>54.699999999999932</v>
      </c>
      <c r="N16" s="5">
        <f>+N12-N15</f>
        <v>87.800000000000011</v>
      </c>
      <c r="O16" s="5">
        <f t="shared" ref="O16:P16" si="67">+O12-O15</f>
        <v>103.40000000000003</v>
      </c>
      <c r="P16" s="5">
        <f t="shared" si="67"/>
        <v>128.50000000000006</v>
      </c>
      <c r="Q16" s="5">
        <f>+Q12-Q15</f>
        <v>73.599999999999966</v>
      </c>
      <c r="R16" s="5">
        <f t="shared" ref="R16:W16" si="68">+R12-R15</f>
        <v>141.20000000000005</v>
      </c>
      <c r="S16" s="5">
        <f t="shared" si="68"/>
        <v>149.70000000000005</v>
      </c>
      <c r="T16" s="5">
        <f t="shared" si="68"/>
        <v>105.29999999999995</v>
      </c>
      <c r="U16" s="5">
        <f t="shared" si="68"/>
        <v>147.89999999999986</v>
      </c>
      <c r="V16" s="5">
        <f t="shared" si="68"/>
        <v>364.38620000000009</v>
      </c>
      <c r="W16" s="5">
        <f t="shared" si="68"/>
        <v>407.65320000000008</v>
      </c>
      <c r="AA16" s="3">
        <f t="shared" ref="AA16:AC16" si="69">+AA12-AA15</f>
        <v>0</v>
      </c>
      <c r="AB16" s="3">
        <f t="shared" si="69"/>
        <v>116.6</v>
      </c>
      <c r="AC16" s="3">
        <f t="shared" si="69"/>
        <v>41.600000000000023</v>
      </c>
      <c r="AD16" s="3">
        <f>+AD12-AD15</f>
        <v>226.60000000000002</v>
      </c>
      <c r="AE16" s="3">
        <f>+AE12-AE15</f>
        <v>327.50000000000023</v>
      </c>
      <c r="AF16" s="3">
        <f>+AF12-AF15</f>
        <v>207.8000000000003</v>
      </c>
      <c r="AG16" s="3">
        <f>+AG12-AG15</f>
        <v>249</v>
      </c>
      <c r="AH16" s="3">
        <f t="shared" ref="AH16:AK16" si="70">+AH12-AH15</f>
        <v>493</v>
      </c>
      <c r="AI16" s="3">
        <f t="shared" si="70"/>
        <v>1025.2393999999999</v>
      </c>
      <c r="AJ16" s="3">
        <f t="shared" si="70"/>
        <v>1631.8270349999998</v>
      </c>
      <c r="AK16" s="3">
        <f t="shared" si="70"/>
        <v>1706.4703867499998</v>
      </c>
      <c r="AL16" s="3">
        <f t="shared" ref="AL16" si="71">+AL12-AL15</f>
        <v>1832.6629060875002</v>
      </c>
      <c r="AM16" s="3">
        <f t="shared" ref="AM16" si="72">+AM12-AM15</f>
        <v>2006.349051391875</v>
      </c>
      <c r="AN16" s="3">
        <f t="shared" ref="AN16" si="73">+AN12-AN15</f>
        <v>2069.0225019057943</v>
      </c>
      <c r="AO16" s="3">
        <f t="shared" ref="AO16" si="74">+AO12-AO15</f>
        <v>2148.408206924852</v>
      </c>
      <c r="AP16" s="3">
        <f t="shared" ref="AP16" si="75">+AP12-AP15</f>
        <v>2219.7589489941006</v>
      </c>
    </row>
    <row r="17" spans="2:46" s="3" customFormat="1" x14ac:dyDescent="0.2">
      <c r="B17" s="3" t="s">
        <v>44</v>
      </c>
      <c r="C17" s="5">
        <v>-8.1999999999999993</v>
      </c>
      <c r="D17" s="5">
        <v>-8.1999999999999993</v>
      </c>
      <c r="E17" s="5">
        <v>-8.3000000000000007</v>
      </c>
      <c r="F17" s="5">
        <v>-8.5</v>
      </c>
      <c r="G17" s="5">
        <v>-7.8</v>
      </c>
      <c r="H17" s="5">
        <v>-6.4</v>
      </c>
      <c r="I17" s="5">
        <v>-6.2</v>
      </c>
      <c r="J17" s="5">
        <v>-6.6</v>
      </c>
      <c r="K17" s="5">
        <v>-6.6</v>
      </c>
      <c r="L17" s="5">
        <v>-2.6</v>
      </c>
      <c r="M17" s="5">
        <v>-2.2000000000000002</v>
      </c>
      <c r="N17" s="5">
        <v>-1.2</v>
      </c>
      <c r="O17" s="5">
        <f>-1.1+8.4</f>
        <v>7.3000000000000007</v>
      </c>
      <c r="P17" s="5">
        <f>-1.1+9.8</f>
        <v>8.7000000000000011</v>
      </c>
      <c r="Q17" s="5">
        <v>10.7</v>
      </c>
      <c r="R17" s="5">
        <f>-1.1+15.6</f>
        <v>14.5</v>
      </c>
      <c r="S17" s="5">
        <f>-1.1+20</f>
        <v>18.899999999999999</v>
      </c>
      <c r="T17" s="5">
        <f>23.4-1.1</f>
        <v>22.299999999999997</v>
      </c>
      <c r="U17" s="5">
        <v>22.8</v>
      </c>
      <c r="V17" s="5">
        <f>+U17</f>
        <v>22.8</v>
      </c>
      <c r="W17" s="5">
        <f>+V17</f>
        <v>22.8</v>
      </c>
      <c r="AC17" s="3">
        <f>-30.5+15.5</f>
        <v>-15</v>
      </c>
      <c r="AD17" s="3">
        <v>-32</v>
      </c>
      <c r="AE17" s="3">
        <f>-32.8+12.6</f>
        <v>-20.199999999999996</v>
      </c>
      <c r="AF17" s="3">
        <f>3.8-25.8</f>
        <v>-22</v>
      </c>
      <c r="AG17" s="3">
        <f t="shared" ref="AG17" si="76">SUM(L17:O17)</f>
        <v>1.2999999999999998</v>
      </c>
      <c r="AH17" s="3">
        <f t="shared" ref="AH17" si="77">SUM(P17:S17)</f>
        <v>52.8</v>
      </c>
      <c r="AI17" s="3">
        <f>SUM(T17:W17)</f>
        <v>90.699999999999989</v>
      </c>
      <c r="AJ17" s="3">
        <f>+AI28*$AS$31</f>
        <v>76.685263800000016</v>
      </c>
      <c r="AK17" s="3">
        <f t="shared" ref="AK17:AP17" si="78">+AJ28*$AS$31</f>
        <v>117.68955897120001</v>
      </c>
      <c r="AL17" s="3">
        <f t="shared" si="78"/>
        <v>161.4693976685088</v>
      </c>
      <c r="AM17" s="3">
        <f t="shared" si="78"/>
        <v>209.32857295865304</v>
      </c>
      <c r="AN17" s="3">
        <f t="shared" si="78"/>
        <v>262.5048359430657</v>
      </c>
      <c r="AO17" s="3">
        <f t="shared" si="78"/>
        <v>318.46149205143837</v>
      </c>
      <c r="AP17" s="3">
        <f t="shared" si="78"/>
        <v>377.66636482686937</v>
      </c>
    </row>
    <row r="18" spans="2:46" s="3" customFormat="1" x14ac:dyDescent="0.2">
      <c r="B18" s="3" t="s">
        <v>45</v>
      </c>
      <c r="C18" s="5">
        <f t="shared" ref="C18" si="79">+C16+C17</f>
        <v>76.8</v>
      </c>
      <c r="D18" s="5">
        <f t="shared" ref="D18" si="80">+D16+D17</f>
        <v>50.7</v>
      </c>
      <c r="E18" s="5">
        <f t="shared" ref="E18" si="81">+E16+E17</f>
        <v>114.30000000000005</v>
      </c>
      <c r="F18" s="5">
        <f>+F16+F17</f>
        <v>65.5</v>
      </c>
      <c r="G18" s="5">
        <f>+G16+G17</f>
        <v>64.000000000000014</v>
      </c>
      <c r="H18" s="5">
        <f>+H16+H17</f>
        <v>25.1</v>
      </c>
      <c r="I18" s="5">
        <f>+I16+I17</f>
        <v>61.600000000000009</v>
      </c>
      <c r="J18" s="5">
        <f t="shared" ref="J18" si="82">+J16+J17</f>
        <v>37.9</v>
      </c>
      <c r="K18" s="5">
        <f>+K16+K17</f>
        <v>57.39999999999997</v>
      </c>
      <c r="L18" s="5">
        <f>+L16+L17</f>
        <v>0.50000000000002265</v>
      </c>
      <c r="M18" s="5">
        <f>+M16+M17</f>
        <v>52.499999999999929</v>
      </c>
      <c r="N18" s="5">
        <f t="shared" ref="N18:P18" si="83">+N16+N17</f>
        <v>86.600000000000009</v>
      </c>
      <c r="O18" s="5">
        <f t="shared" si="83"/>
        <v>110.70000000000003</v>
      </c>
      <c r="P18" s="5">
        <f t="shared" si="83"/>
        <v>137.20000000000005</v>
      </c>
      <c r="Q18" s="5">
        <f t="shared" ref="Q18:W18" si="84">+Q16+Q17</f>
        <v>84.299999999999969</v>
      </c>
      <c r="R18" s="5">
        <f t="shared" si="84"/>
        <v>155.70000000000005</v>
      </c>
      <c r="S18" s="5">
        <f t="shared" si="84"/>
        <v>168.60000000000005</v>
      </c>
      <c r="T18" s="5">
        <f t="shared" si="84"/>
        <v>127.59999999999995</v>
      </c>
      <c r="U18" s="5">
        <f t="shared" si="84"/>
        <v>170.69999999999987</v>
      </c>
      <c r="V18" s="5">
        <f t="shared" si="84"/>
        <v>387.1862000000001</v>
      </c>
      <c r="W18" s="5">
        <f t="shared" si="84"/>
        <v>430.45320000000009</v>
      </c>
      <c r="AA18" s="3">
        <f t="shared" ref="AA18:AC18" si="85">+AA16+AA17</f>
        <v>0</v>
      </c>
      <c r="AB18" s="3">
        <f t="shared" si="85"/>
        <v>116.6</v>
      </c>
      <c r="AC18" s="3">
        <f t="shared" si="85"/>
        <v>26.600000000000023</v>
      </c>
      <c r="AD18" s="3">
        <f>+AD16+AD17</f>
        <v>194.60000000000002</v>
      </c>
      <c r="AE18" s="3">
        <f>+AE16+AE17</f>
        <v>307.30000000000024</v>
      </c>
      <c r="AF18" s="3">
        <f>+AF16+AF17</f>
        <v>185.8000000000003</v>
      </c>
      <c r="AG18" s="3">
        <f>+AG16+AG17</f>
        <v>250.3</v>
      </c>
      <c r="AH18" s="3">
        <f t="shared" ref="AH18:AP18" si="86">+AH16+AH17</f>
        <v>545.79999999999995</v>
      </c>
      <c r="AI18" s="3">
        <f t="shared" si="86"/>
        <v>1115.9394</v>
      </c>
      <c r="AJ18" s="3">
        <f t="shared" si="86"/>
        <v>1708.5122987999998</v>
      </c>
      <c r="AK18" s="3">
        <f t="shared" si="86"/>
        <v>1824.1599457211998</v>
      </c>
      <c r="AL18" s="3">
        <f t="shared" si="86"/>
        <v>1994.1323037560092</v>
      </c>
      <c r="AM18" s="3">
        <f t="shared" si="86"/>
        <v>2215.6776243505283</v>
      </c>
      <c r="AN18" s="3">
        <f t="shared" si="86"/>
        <v>2331.52733784886</v>
      </c>
      <c r="AO18" s="3">
        <f t="shared" si="86"/>
        <v>2466.8696989762902</v>
      </c>
      <c r="AP18" s="3">
        <f t="shared" si="86"/>
        <v>2597.4253138209701</v>
      </c>
    </row>
    <row r="19" spans="2:46" s="3" customFormat="1" x14ac:dyDescent="0.2">
      <c r="B19" s="3" t="s">
        <v>46</v>
      </c>
      <c r="C19" s="5">
        <v>4.5999999999999996</v>
      </c>
      <c r="D19" s="5">
        <v>1.5</v>
      </c>
      <c r="E19" s="5">
        <v>3.6</v>
      </c>
      <c r="F19" s="5">
        <v>0</v>
      </c>
      <c r="G19" s="5">
        <v>0</v>
      </c>
      <c r="H19" s="5">
        <v>0</v>
      </c>
      <c r="I19" s="5">
        <v>15.2</v>
      </c>
      <c r="J19" s="5">
        <v>0</v>
      </c>
      <c r="K19" s="5">
        <v>0</v>
      </c>
      <c r="L19" s="5">
        <v>7.5</v>
      </c>
      <c r="M19" s="5">
        <v>0</v>
      </c>
      <c r="N19" s="5">
        <v>29.4</v>
      </c>
      <c r="O19" s="5">
        <v>14.5</v>
      </c>
      <c r="P19" s="5">
        <v>-26.7</v>
      </c>
      <c r="Q19" s="5">
        <v>26.1</v>
      </c>
      <c r="R19" s="5">
        <v>32.5</v>
      </c>
      <c r="S19" s="5">
        <v>50.5</v>
      </c>
      <c r="T19" s="5">
        <v>-8.9</v>
      </c>
      <c r="U19" s="5">
        <v>33.6</v>
      </c>
      <c r="V19" s="5">
        <f>+V18*0.1</f>
        <v>38.718620000000016</v>
      </c>
      <c r="W19" s="5">
        <f>+W18*0.1</f>
        <v>43.045320000000011</v>
      </c>
      <c r="AC19" s="3">
        <v>0.7</v>
      </c>
      <c r="AD19" s="3">
        <v>9.5</v>
      </c>
      <c r="AE19" s="3">
        <v>0</v>
      </c>
      <c r="AF19" s="3">
        <v>11.8</v>
      </c>
      <c r="AG19" s="3">
        <f t="shared" ref="AG19" si="87">SUM(L19:O19)</f>
        <v>51.4</v>
      </c>
      <c r="AH19" s="3">
        <f t="shared" ref="AH19" si="88">SUM(P19:S19)</f>
        <v>82.4</v>
      </c>
      <c r="AI19" s="3">
        <f t="shared" ref="AI19" si="89">SUM(T19:W19)</f>
        <v>106.46394000000004</v>
      </c>
      <c r="AJ19" s="3">
        <f t="shared" ref="AJ19:AP19" si="90">+AJ18*0.2</f>
        <v>341.70245976000001</v>
      </c>
      <c r="AK19" s="3">
        <f t="shared" si="90"/>
        <v>364.83198914423997</v>
      </c>
      <c r="AL19" s="3">
        <f t="shared" si="90"/>
        <v>398.82646075120186</v>
      </c>
      <c r="AM19" s="3">
        <f t="shared" si="90"/>
        <v>443.13552487010566</v>
      </c>
      <c r="AN19" s="3">
        <f t="shared" si="90"/>
        <v>466.30546756977202</v>
      </c>
      <c r="AO19" s="3">
        <f t="shared" si="90"/>
        <v>493.37393979525808</v>
      </c>
      <c r="AP19" s="3">
        <f t="shared" si="90"/>
        <v>519.48506276419403</v>
      </c>
    </row>
    <row r="20" spans="2:46" x14ac:dyDescent="0.2">
      <c r="B20" s="3" t="s">
        <v>47</v>
      </c>
      <c r="C20" s="5">
        <f t="shared" ref="C20" si="91">+C18-C19</f>
        <v>72.2</v>
      </c>
      <c r="D20" s="5">
        <f t="shared" ref="D20" si="92">+D18-D19</f>
        <v>49.2</v>
      </c>
      <c r="E20" s="5">
        <f t="shared" ref="E20" si="93">+E18-E19</f>
        <v>110.70000000000006</v>
      </c>
      <c r="F20" s="5">
        <f>+F18-F19</f>
        <v>65.5</v>
      </c>
      <c r="G20" s="5">
        <f>+G18-G19</f>
        <v>64.000000000000014</v>
      </c>
      <c r="H20" s="5">
        <f>+H18-H19</f>
        <v>25.1</v>
      </c>
      <c r="I20" s="5">
        <f>+I18-I19</f>
        <v>46.400000000000006</v>
      </c>
      <c r="J20" s="5">
        <f t="shared" ref="J20" si="94">+J18-J19</f>
        <v>37.9</v>
      </c>
      <c r="K20" s="5">
        <f>+K18-K19</f>
        <v>57.39999999999997</v>
      </c>
      <c r="L20" s="5">
        <f>+L18-L19</f>
        <v>-6.9999999999999769</v>
      </c>
      <c r="M20" s="5">
        <f>+M18-M19</f>
        <v>52.499999999999929</v>
      </c>
      <c r="N20" s="5">
        <f t="shared" ref="N20:P20" si="95">+N18-N19</f>
        <v>57.20000000000001</v>
      </c>
      <c r="O20" s="5">
        <f t="shared" si="95"/>
        <v>96.200000000000031</v>
      </c>
      <c r="P20" s="5">
        <f t="shared" si="95"/>
        <v>163.90000000000003</v>
      </c>
      <c r="Q20" s="5">
        <f t="shared" ref="Q20:W20" si="96">+Q18-Q19</f>
        <v>58.199999999999967</v>
      </c>
      <c r="R20" s="5">
        <f t="shared" si="96"/>
        <v>123.20000000000005</v>
      </c>
      <c r="S20" s="5">
        <f t="shared" si="96"/>
        <v>118.10000000000005</v>
      </c>
      <c r="T20" s="5">
        <f t="shared" si="96"/>
        <v>136.49999999999994</v>
      </c>
      <c r="U20" s="5">
        <f t="shared" si="96"/>
        <v>137.09999999999988</v>
      </c>
      <c r="V20" s="5">
        <f t="shared" si="96"/>
        <v>348.46758000000011</v>
      </c>
      <c r="W20" s="5">
        <f t="shared" si="96"/>
        <v>387.40788000000009</v>
      </c>
      <c r="AA20" s="3">
        <f t="shared" ref="AA20:AC20" si="97">+AA18-AA19</f>
        <v>0</v>
      </c>
      <c r="AB20" s="3">
        <f t="shared" si="97"/>
        <v>116.6</v>
      </c>
      <c r="AC20" s="3">
        <f t="shared" si="97"/>
        <v>25.900000000000023</v>
      </c>
      <c r="AD20" s="3">
        <f>+AD18-AD19</f>
        <v>185.10000000000002</v>
      </c>
      <c r="AE20" s="3">
        <f>+AE18-AE19</f>
        <v>307.30000000000024</v>
      </c>
      <c r="AF20" s="3">
        <f>+AF18-AF19</f>
        <v>174.00000000000028</v>
      </c>
      <c r="AG20" s="3">
        <f>+AG18-AG19</f>
        <v>198.9</v>
      </c>
      <c r="AH20" s="3">
        <f t="shared" ref="AH20:AO20" si="98">+AH18-AH19</f>
        <v>463.4</v>
      </c>
      <c r="AI20" s="3">
        <f t="shared" si="98"/>
        <v>1009.4754599999999</v>
      </c>
      <c r="AJ20" s="3">
        <f>+AJ18-AJ19</f>
        <v>1366.8098390399998</v>
      </c>
      <c r="AK20" s="3">
        <f>+AK18-AK19</f>
        <v>1459.3279565769599</v>
      </c>
      <c r="AL20" s="3">
        <f t="shared" si="98"/>
        <v>1595.3058430048072</v>
      </c>
      <c r="AM20" s="3">
        <f t="shared" si="98"/>
        <v>1772.5420994804226</v>
      </c>
      <c r="AN20" s="3">
        <f t="shared" si="98"/>
        <v>1865.2218702790881</v>
      </c>
      <c r="AO20" s="3">
        <f t="shared" si="98"/>
        <v>1973.4957591810321</v>
      </c>
      <c r="AP20" s="3">
        <f>+AP18-AP19</f>
        <v>2077.9402510567761</v>
      </c>
      <c r="AQ20" s="3"/>
      <c r="AR20" s="3"/>
      <c r="AS20" s="3"/>
      <c r="AT20" s="3"/>
    </row>
    <row r="21" spans="2:46" x14ac:dyDescent="0.2">
      <c r="B21" s="3" t="s">
        <v>48</v>
      </c>
      <c r="C21" s="4">
        <f t="shared" ref="C21" si="99">+C20/C22</f>
        <v>0.74279835390946503</v>
      </c>
      <c r="D21" s="4">
        <f t="shared" ref="D21" si="100">+D20/D22</f>
        <v>0.5072164948453608</v>
      </c>
      <c r="E21" s="4">
        <f t="shared" ref="E21" si="101">+E20/E22</f>
        <v>1.1272912423625261</v>
      </c>
      <c r="F21" s="4">
        <f>+F20/F22</f>
        <v>0.70203644158628087</v>
      </c>
      <c r="G21" s="4">
        <f>+G20/G22</f>
        <v>0.65843621399176966</v>
      </c>
      <c r="H21" s="4">
        <f>+H20/H22</f>
        <v>0.25560081466395113</v>
      </c>
      <c r="I21" s="4">
        <f>+I20/I22</f>
        <v>0.47492323439099288</v>
      </c>
      <c r="J21" s="4">
        <f t="shared" ref="J21" si="102">+J20/J22</f>
        <v>0.38792221084953937</v>
      </c>
      <c r="K21" s="4">
        <f t="shared" ref="K21:W21" si="103">+K20/K22</f>
        <v>0.60484720758693322</v>
      </c>
      <c r="L21" s="4">
        <f t="shared" si="103"/>
        <v>-7.172131147540961E-2</v>
      </c>
      <c r="M21" s="4">
        <f t="shared" si="103"/>
        <v>0.54916317991631725</v>
      </c>
      <c r="N21" s="4">
        <f t="shared" si="103"/>
        <v>0.57777777777777783</v>
      </c>
      <c r="O21" s="4">
        <f t="shared" si="103"/>
        <v>0.95247524752475277</v>
      </c>
      <c r="P21" s="4">
        <f t="shared" si="103"/>
        <v>1.687950566426365</v>
      </c>
      <c r="Q21" s="4">
        <f t="shared" si="103"/>
        <v>0.58083832335329311</v>
      </c>
      <c r="R21" s="4">
        <f t="shared" si="103"/>
        <v>1.2185954500494565</v>
      </c>
      <c r="S21" s="4">
        <f t="shared" si="103"/>
        <v>1.1716269841269846</v>
      </c>
      <c r="T21" s="4">
        <f t="shared" si="103"/>
        <v>1.3175675675675671</v>
      </c>
      <c r="U21" s="4">
        <f t="shared" si="103"/>
        <v>1.3195380173243492</v>
      </c>
      <c r="V21" s="4">
        <f t="shared" si="103"/>
        <v>3.3538746871992311</v>
      </c>
      <c r="W21" s="4">
        <f t="shared" si="103"/>
        <v>3.7286610202117427</v>
      </c>
      <c r="AC21" s="1">
        <f t="shared" ref="AC21:AH21" si="104">+AC20/AC22</f>
        <v>0.27148846960167738</v>
      </c>
      <c r="AD21" s="1">
        <f t="shared" si="104"/>
        <v>1.9341692789968654</v>
      </c>
      <c r="AE21" s="1">
        <f t="shared" si="104"/>
        <v>3.1421267893660558</v>
      </c>
      <c r="AF21" s="1">
        <f t="shared" si="104"/>
        <v>1.7773237997957128</v>
      </c>
      <c r="AG21" s="1">
        <f t="shared" si="104"/>
        <v>2.0233977619532046</v>
      </c>
      <c r="AH21" s="1">
        <f t="shared" si="104"/>
        <v>4.6432865731462929</v>
      </c>
      <c r="AI21" s="1">
        <f t="shared" ref="AI21:AP21" si="105">+AI20/AI22</f>
        <v>9.7228553816518186</v>
      </c>
      <c r="AJ21" s="1">
        <f t="shared" si="105"/>
        <v>13.164554192535515</v>
      </c>
      <c r="AK21" s="1">
        <f t="shared" si="105"/>
        <v>14.05565091815035</v>
      </c>
      <c r="AL21" s="1">
        <f t="shared" si="105"/>
        <v>15.365334389644184</v>
      </c>
      <c r="AM21" s="1">
        <f t="shared" si="105"/>
        <v>17.072401632366219</v>
      </c>
      <c r="AN21" s="1">
        <f t="shared" si="105"/>
        <v>17.965055336181923</v>
      </c>
      <c r="AO21" s="1">
        <f t="shared" si="105"/>
        <v>19.007905217250492</v>
      </c>
      <c r="AP21" s="1">
        <f t="shared" si="105"/>
        <v>20.013871910009886</v>
      </c>
      <c r="AQ21" s="1"/>
      <c r="AR21" s="1"/>
      <c r="AS21" s="1"/>
      <c r="AT21" s="1"/>
    </row>
    <row r="22" spans="2:46" s="3" customFormat="1" x14ac:dyDescent="0.2">
      <c r="B22" s="3" t="s">
        <v>1</v>
      </c>
      <c r="C22" s="5">
        <v>97.2</v>
      </c>
      <c r="D22" s="5">
        <v>97</v>
      </c>
      <c r="E22" s="5">
        <v>98.2</v>
      </c>
      <c r="F22" s="5">
        <v>93.3</v>
      </c>
      <c r="G22" s="5">
        <v>97.2</v>
      </c>
      <c r="H22" s="5">
        <v>98.2</v>
      </c>
      <c r="I22" s="5">
        <v>97.7</v>
      </c>
      <c r="J22" s="5">
        <v>97.7</v>
      </c>
      <c r="K22" s="5">
        <v>94.9</v>
      </c>
      <c r="L22" s="5">
        <v>97.6</v>
      </c>
      <c r="M22" s="5">
        <v>95.6</v>
      </c>
      <c r="N22" s="5">
        <v>99</v>
      </c>
      <c r="O22" s="5">
        <v>101</v>
      </c>
      <c r="P22" s="5">
        <v>97.1</v>
      </c>
      <c r="Q22" s="5">
        <v>100.2</v>
      </c>
      <c r="R22" s="5">
        <v>101.1</v>
      </c>
      <c r="S22" s="5">
        <v>100.8</v>
      </c>
      <c r="T22" s="5">
        <v>103.6</v>
      </c>
      <c r="U22" s="5">
        <v>103.9</v>
      </c>
      <c r="V22" s="5">
        <f>+U22</f>
        <v>103.9</v>
      </c>
      <c r="W22" s="5">
        <f>+V22</f>
        <v>103.9</v>
      </c>
      <c r="AA22" s="3">
        <v>86.7</v>
      </c>
      <c r="AB22" s="3">
        <v>88.1</v>
      </c>
      <c r="AC22" s="3">
        <v>95.4</v>
      </c>
      <c r="AD22" s="3">
        <v>95.7</v>
      </c>
      <c r="AE22" s="3">
        <v>97.8</v>
      </c>
      <c r="AF22" s="3">
        <v>97.9</v>
      </c>
      <c r="AG22" s="3">
        <f>AVERAGE(L22:O22)</f>
        <v>98.3</v>
      </c>
      <c r="AH22" s="3">
        <f>AVERAGE(P22:S22)</f>
        <v>99.8</v>
      </c>
      <c r="AI22" s="3">
        <f>AVERAGE(T22:W22)</f>
        <v>103.82499999999999</v>
      </c>
      <c r="AJ22" s="3">
        <f t="shared" ref="AJ22:AP22" si="106">+AI22</f>
        <v>103.82499999999999</v>
      </c>
      <c r="AK22" s="3">
        <f t="shared" si="106"/>
        <v>103.82499999999999</v>
      </c>
      <c r="AL22" s="3">
        <f t="shared" si="106"/>
        <v>103.82499999999999</v>
      </c>
      <c r="AM22" s="3">
        <f t="shared" si="106"/>
        <v>103.82499999999999</v>
      </c>
      <c r="AN22" s="3">
        <f t="shared" si="106"/>
        <v>103.82499999999999</v>
      </c>
      <c r="AO22" s="3">
        <f t="shared" si="106"/>
        <v>103.82499999999999</v>
      </c>
      <c r="AP22" s="3">
        <f t="shared" si="106"/>
        <v>103.82499999999999</v>
      </c>
    </row>
    <row r="24" spans="2:46" x14ac:dyDescent="0.2">
      <c r="B24" s="3" t="s">
        <v>73</v>
      </c>
      <c r="H24" s="16">
        <f t="shared" ref="H24:M24" si="107">+H6/D6-1</f>
        <v>-4.3271311120729461E-4</v>
      </c>
      <c r="I24" s="16">
        <f t="shared" si="107"/>
        <v>-2.989536621823663E-3</v>
      </c>
      <c r="J24" s="16">
        <f t="shared" si="107"/>
        <v>0.13656040928768198</v>
      </c>
      <c r="K24" s="16">
        <f t="shared" si="107"/>
        <v>0.25777041027766256</v>
      </c>
      <c r="L24" s="16">
        <f t="shared" si="107"/>
        <v>0.32034632034632038</v>
      </c>
      <c r="M24" s="16">
        <f t="shared" si="107"/>
        <v>0.31934032983508231</v>
      </c>
      <c r="N24" s="16">
        <f t="shared" ref="N24:W24" si="108">+N6/J6-1</f>
        <v>0.31336565096952906</v>
      </c>
      <c r="O24" s="16">
        <f t="shared" si="108"/>
        <v>0.33311367380560131</v>
      </c>
      <c r="P24" s="16">
        <f t="shared" si="108"/>
        <v>0.36163934426229516</v>
      </c>
      <c r="Q24" s="16">
        <f t="shared" si="108"/>
        <v>0.2678977272727272</v>
      </c>
      <c r="R24" s="16">
        <f t="shared" si="108"/>
        <v>0.2965989981544952</v>
      </c>
      <c r="S24" s="16">
        <f t="shared" si="108"/>
        <v>0.25358378645575863</v>
      </c>
      <c r="T24" s="16">
        <f t="shared" si="108"/>
        <v>0.22562003371057071</v>
      </c>
      <c r="U24" s="16">
        <f t="shared" si="108"/>
        <v>0.30808872955411148</v>
      </c>
      <c r="V24" s="16">
        <f t="shared" si="108"/>
        <v>0.17972753151687693</v>
      </c>
      <c r="W24" s="16">
        <f t="shared" si="108"/>
        <v>0.26052839116719251</v>
      </c>
      <c r="AB24" s="17"/>
      <c r="AC24" s="17">
        <f t="shared" ref="AC24:AD24" si="109">+AC6/AB6-1</f>
        <v>2.5128644939965699</v>
      </c>
      <c r="AD24" s="17">
        <f t="shared" si="109"/>
        <v>0.83813476562499978</v>
      </c>
      <c r="AE24" s="17">
        <f>+AE6/AD6-1</f>
        <v>0.32036126975693979</v>
      </c>
      <c r="AF24" s="17">
        <f>+AF6/AE6-1</f>
        <v>9.6569761593401138E-2</v>
      </c>
      <c r="AG24" s="17">
        <f>+AG6/AF6-1</f>
        <v>0.3218053389597284</v>
      </c>
      <c r="AH24" s="17">
        <f>+AH6/AG6-1</f>
        <v>0.29127628565479902</v>
      </c>
      <c r="AI24" s="17">
        <f t="shared" ref="AI24:AP24" si="110">+AI6/AH6-1</f>
        <v>0.24278727292271296</v>
      </c>
      <c r="AJ24" s="17">
        <f t="shared" si="110"/>
        <v>5.0000000000000044E-2</v>
      </c>
      <c r="AK24" s="17">
        <f t="shared" si="110"/>
        <v>5.0000000000000044E-2</v>
      </c>
      <c r="AL24" s="17">
        <f t="shared" si="110"/>
        <v>5.0000000000000044E-2</v>
      </c>
      <c r="AM24" s="17">
        <f t="shared" si="110"/>
        <v>5.0000000000000044E-2</v>
      </c>
      <c r="AN24" s="17">
        <f t="shared" si="110"/>
        <v>1.0000000000000009E-2</v>
      </c>
      <c r="AO24" s="17">
        <f t="shared" si="110"/>
        <v>1.0000000000000009E-2</v>
      </c>
      <c r="AP24" s="17">
        <f t="shared" si="110"/>
        <v>1.0000000000000009E-2</v>
      </c>
      <c r="AQ24" s="17"/>
      <c r="AR24" s="17"/>
      <c r="AS24" s="17"/>
      <c r="AT24" s="17"/>
    </row>
    <row r="26" spans="2:46" x14ac:dyDescent="0.2">
      <c r="B26" s="3" t="s">
        <v>74</v>
      </c>
      <c r="C26" s="16">
        <f t="shared" ref="C26" si="111">C12/C10</f>
        <v>0.98975829578041785</v>
      </c>
      <c r="D26" s="16">
        <f t="shared" ref="D26" si="112">D12/D10</f>
        <v>0.99114297764656267</v>
      </c>
      <c r="E26" s="16">
        <f t="shared" ref="E26" si="113">E12/E10</f>
        <v>0.99206349206349209</v>
      </c>
      <c r="F26" s="16">
        <f t="shared" ref="F26:M26" si="114">F12/F10</f>
        <v>0.98878143133462282</v>
      </c>
      <c r="G26" s="16">
        <f t="shared" si="114"/>
        <v>0.98830173457039128</v>
      </c>
      <c r="H26" s="16">
        <f t="shared" si="114"/>
        <v>0.98774302620456467</v>
      </c>
      <c r="I26" s="16">
        <f t="shared" si="114"/>
        <v>0.98926964347525093</v>
      </c>
      <c r="J26" s="16">
        <f t="shared" si="114"/>
        <v>0.9858108108108109</v>
      </c>
      <c r="K26" s="16">
        <f t="shared" si="114"/>
        <v>0.98685897435897429</v>
      </c>
      <c r="L26" s="16">
        <f t="shared" si="114"/>
        <v>0.98518995492594974</v>
      </c>
      <c r="M26" s="16">
        <f t="shared" si="114"/>
        <v>0.98730830248545742</v>
      </c>
      <c r="N26" s="16">
        <f t="shared" ref="N26:W26" si="115">N12/N10</f>
        <v>0.98427429749935547</v>
      </c>
      <c r="O26" s="16">
        <f t="shared" si="115"/>
        <v>0.98131067961165053</v>
      </c>
      <c r="P26" s="16">
        <f t="shared" si="115"/>
        <v>0.97978116079923883</v>
      </c>
      <c r="Q26" s="16">
        <f t="shared" si="115"/>
        <v>0.97459686326485528</v>
      </c>
      <c r="R26" s="16">
        <f t="shared" si="115"/>
        <v>0.97754611066559749</v>
      </c>
      <c r="S26" s="16">
        <f t="shared" si="115"/>
        <v>0.98348231636222305</v>
      </c>
      <c r="T26" s="16">
        <f t="shared" si="115"/>
        <v>0.9854453716281778</v>
      </c>
      <c r="U26" s="16">
        <f t="shared" si="115"/>
        <v>0.98441206370721779</v>
      </c>
      <c r="V26" s="16">
        <f t="shared" si="115"/>
        <v>0.98000000000000009</v>
      </c>
      <c r="W26" s="16">
        <f t="shared" si="115"/>
        <v>0.98000000000000009</v>
      </c>
      <c r="AB26" s="16">
        <f t="shared" ref="AB26:AE26" si="116">AB12/AB10</f>
        <v>1</v>
      </c>
      <c r="AC26" s="16">
        <f t="shared" si="116"/>
        <v>0.98914007092198586</v>
      </c>
      <c r="AD26" s="16">
        <f t="shared" si="116"/>
        <v>0.99061032863849763</v>
      </c>
      <c r="AE26" s="16">
        <f t="shared" si="116"/>
        <v>0.99034324505210836</v>
      </c>
      <c r="AF26" s="16">
        <f t="shared" ref="AF26:AP26" si="117">AF12/AF10</f>
        <v>0.98738420820467587</v>
      </c>
      <c r="AG26" s="16">
        <f t="shared" si="117"/>
        <v>0.98441593336468058</v>
      </c>
      <c r="AH26" s="16">
        <f t="shared" si="117"/>
        <v>0.97895573813941161</v>
      </c>
      <c r="AI26" s="16">
        <f t="shared" si="117"/>
        <v>0.98232685169653722</v>
      </c>
      <c r="AJ26" s="16">
        <f t="shared" si="117"/>
        <v>0.99</v>
      </c>
      <c r="AK26" s="16">
        <f t="shared" si="117"/>
        <v>0.99</v>
      </c>
      <c r="AL26" s="16">
        <f t="shared" si="117"/>
        <v>0.9900000000000001</v>
      </c>
      <c r="AM26" s="16">
        <f t="shared" si="117"/>
        <v>0.99</v>
      </c>
      <c r="AN26" s="16">
        <f t="shared" si="117"/>
        <v>0.9900000000000001</v>
      </c>
      <c r="AO26" s="16">
        <f t="shared" si="117"/>
        <v>0.99</v>
      </c>
      <c r="AP26" s="16">
        <f t="shared" si="117"/>
        <v>0.99</v>
      </c>
      <c r="AQ26" s="16"/>
      <c r="AR26" s="16"/>
      <c r="AS26" s="16"/>
      <c r="AT26" s="16"/>
    </row>
    <row r="28" spans="2:46" x14ac:dyDescent="0.2">
      <c r="B28" t="s">
        <v>3</v>
      </c>
      <c r="M28" s="2">
        <f>1137-169</f>
        <v>968</v>
      </c>
      <c r="N28" s="5"/>
      <c r="O28" s="5"/>
      <c r="P28" s="5"/>
      <c r="Q28" s="5"/>
      <c r="R28" s="5"/>
      <c r="S28" s="5"/>
      <c r="T28" s="5"/>
      <c r="U28" s="5">
        <f>139.7+899.2+637.8+143.6</f>
        <v>1820.3</v>
      </c>
      <c r="V28" s="5">
        <f>+U28+V20</f>
        <v>2168.7675800000002</v>
      </c>
      <c r="W28" s="5">
        <f>+V28+W20</f>
        <v>2556.1754600000004</v>
      </c>
      <c r="AG28" s="3"/>
      <c r="AH28" s="3"/>
      <c r="AI28" s="3">
        <f>+W28</f>
        <v>2556.1754600000004</v>
      </c>
      <c r="AJ28" s="3">
        <f t="shared" ref="AJ28:AP28" si="118">+AI28+AJ20</f>
        <v>3922.9852990400004</v>
      </c>
      <c r="AK28" s="3">
        <f t="shared" si="118"/>
        <v>5382.3132556169603</v>
      </c>
      <c r="AL28" s="3">
        <f t="shared" si="118"/>
        <v>6977.619098621768</v>
      </c>
      <c r="AM28" s="3">
        <f t="shared" si="118"/>
        <v>8750.1611981021906</v>
      </c>
      <c r="AN28" s="3">
        <f t="shared" si="118"/>
        <v>10615.383068381279</v>
      </c>
      <c r="AO28" s="3">
        <f t="shared" si="118"/>
        <v>12588.878827562312</v>
      </c>
      <c r="AP28" s="3">
        <f t="shared" si="118"/>
        <v>14666.819078619088</v>
      </c>
      <c r="AQ28" s="3"/>
      <c r="AR28" t="s">
        <v>81</v>
      </c>
      <c r="AS28" s="17">
        <v>0.08</v>
      </c>
      <c r="AT28" s="3"/>
    </row>
    <row r="29" spans="2:46" x14ac:dyDescent="0.2">
      <c r="B29" t="s">
        <v>94</v>
      </c>
      <c r="U29" s="5">
        <v>468.2</v>
      </c>
      <c r="AR29" t="s">
        <v>80</v>
      </c>
      <c r="AS29" s="3">
        <f>NPV(AS28,AJ20:AV20)+Main!L5-Main!L6</f>
        <v>10631.813673715102</v>
      </c>
    </row>
    <row r="30" spans="2:46" x14ac:dyDescent="0.2">
      <c r="B30" t="s">
        <v>95</v>
      </c>
      <c r="U30" s="5">
        <v>42.5</v>
      </c>
      <c r="AR30" t="s">
        <v>82</v>
      </c>
      <c r="AS30" s="1">
        <f>AS29/Main!L3</f>
        <v>105.29024180443761</v>
      </c>
    </row>
    <row r="31" spans="2:46" x14ac:dyDescent="0.2">
      <c r="B31" t="s">
        <v>96</v>
      </c>
      <c r="U31" s="5">
        <v>120.2</v>
      </c>
      <c r="AR31" t="s">
        <v>83</v>
      </c>
      <c r="AS31" s="17">
        <v>0.03</v>
      </c>
    </row>
    <row r="32" spans="2:46" x14ac:dyDescent="0.2">
      <c r="B32" t="s">
        <v>97</v>
      </c>
      <c r="U32" s="5">
        <v>419.5</v>
      </c>
    </row>
    <row r="33" spans="2:21" x14ac:dyDescent="0.2">
      <c r="B33" t="s">
        <v>98</v>
      </c>
      <c r="U33" s="5">
        <v>262.89999999999998</v>
      </c>
    </row>
    <row r="34" spans="2:21" x14ac:dyDescent="0.2">
      <c r="B34" t="s">
        <v>99</v>
      </c>
      <c r="U34" s="5">
        <v>80.099999999999994</v>
      </c>
    </row>
    <row r="35" spans="2:21" x14ac:dyDescent="0.2">
      <c r="B35" t="s">
        <v>100</v>
      </c>
      <c r="U35" s="5">
        <v>33.5</v>
      </c>
    </row>
    <row r="36" spans="2:21" x14ac:dyDescent="0.2">
      <c r="B36" t="s">
        <v>101</v>
      </c>
      <c r="U36" s="5">
        <v>57.8</v>
      </c>
    </row>
    <row r="37" spans="2:21" x14ac:dyDescent="0.2">
      <c r="B37" t="s">
        <v>102</v>
      </c>
      <c r="U37" s="5">
        <f>SUM(U28:U36)</f>
        <v>3305</v>
      </c>
    </row>
    <row r="39" spans="2:21" x14ac:dyDescent="0.2">
      <c r="B39" t="s">
        <v>105</v>
      </c>
      <c r="U39" s="5">
        <v>358.5</v>
      </c>
    </row>
    <row r="40" spans="2:21" x14ac:dyDescent="0.2">
      <c r="B40" t="s">
        <v>106</v>
      </c>
      <c r="U40" s="5">
        <v>40</v>
      </c>
    </row>
    <row r="41" spans="2:21" x14ac:dyDescent="0.2">
      <c r="B41" t="s">
        <v>107</v>
      </c>
      <c r="U41" s="5">
        <v>256.2</v>
      </c>
    </row>
    <row r="42" spans="2:21" x14ac:dyDescent="0.2">
      <c r="B42" t="s">
        <v>108</v>
      </c>
      <c r="U42" s="5">
        <v>141.1</v>
      </c>
    </row>
    <row r="43" spans="2:21" x14ac:dyDescent="0.2">
      <c r="B43" t="s">
        <v>104</v>
      </c>
      <c r="U43" s="5">
        <v>2509.1999999999998</v>
      </c>
    </row>
    <row r="44" spans="2:21" x14ac:dyDescent="0.2">
      <c r="B44" t="s">
        <v>103</v>
      </c>
      <c r="U44" s="5">
        <f>SUM(U39:U43)</f>
        <v>3305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248D-D5A5-4F71-9210-08718D86A5A2}">
  <dimension ref="A1:C7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  <c r="C2" t="s">
        <v>110</v>
      </c>
    </row>
    <row r="3" spans="1:3" x14ac:dyDescent="0.2">
      <c r="B3" t="s">
        <v>76</v>
      </c>
      <c r="C3" t="s">
        <v>77</v>
      </c>
    </row>
    <row r="4" spans="1:3" x14ac:dyDescent="0.2">
      <c r="B4" t="s">
        <v>24</v>
      </c>
      <c r="C4" t="s">
        <v>109</v>
      </c>
    </row>
    <row r="5" spans="1:3" x14ac:dyDescent="0.2">
      <c r="B5" t="s">
        <v>36</v>
      </c>
      <c r="C5" t="s">
        <v>78</v>
      </c>
    </row>
    <row r="6" spans="1:3" x14ac:dyDescent="0.2">
      <c r="B6" t="s">
        <v>31</v>
      </c>
      <c r="C6" t="s">
        <v>79</v>
      </c>
    </row>
    <row r="7" spans="1:3" x14ac:dyDescent="0.2">
      <c r="C7" t="s">
        <v>84</v>
      </c>
    </row>
  </sheetData>
  <hyperlinks>
    <hyperlink ref="A1" location="Main!A1" display="Main" xr:uid="{738B9C3C-07B1-41C3-84F3-F8473D8F0C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799-2FF4-4EC6-9BEA-095D9A17383B}">
  <dimension ref="A1:C9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  <c r="C2" t="s">
        <v>67</v>
      </c>
    </row>
    <row r="3" spans="1:3" x14ac:dyDescent="0.2">
      <c r="B3" t="s">
        <v>24</v>
      </c>
      <c r="C3" t="s">
        <v>66</v>
      </c>
    </row>
    <row r="4" spans="1:3" x14ac:dyDescent="0.2">
      <c r="B4" t="s">
        <v>36</v>
      </c>
      <c r="C4" t="s">
        <v>115</v>
      </c>
    </row>
    <row r="5" spans="1:3" x14ac:dyDescent="0.2">
      <c r="B5" t="s">
        <v>32</v>
      </c>
      <c r="C5" t="s">
        <v>128</v>
      </c>
    </row>
    <row r="6" spans="1:3" x14ac:dyDescent="0.2">
      <c r="B6" t="s">
        <v>114</v>
      </c>
    </row>
    <row r="7" spans="1:3" x14ac:dyDescent="0.2">
      <c r="C7" s="22" t="s">
        <v>129</v>
      </c>
    </row>
    <row r="8" spans="1:3" x14ac:dyDescent="0.2">
      <c r="C8" t="s">
        <v>126</v>
      </c>
    </row>
    <row r="9" spans="1:3" x14ac:dyDescent="0.2">
      <c r="C9" t="s">
        <v>127</v>
      </c>
    </row>
  </sheetData>
  <hyperlinks>
    <hyperlink ref="A1" location="Main!A1" display="Main" xr:uid="{88EB219B-DDE0-46CC-B788-95B6DCB73C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5D1-9DCE-4499-A8CA-F486173AC1B3}">
  <dimension ref="A1:C7"/>
  <sheetViews>
    <sheetView zoomScale="190" zoomScaleNormal="190" workbookViewId="0">
      <selection activeCell="D11" sqref="D11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</row>
    <row r="3" spans="1:3" x14ac:dyDescent="0.2">
      <c r="B3" t="s">
        <v>24</v>
      </c>
      <c r="C3" t="s">
        <v>57</v>
      </c>
    </row>
    <row r="4" spans="1:3" x14ac:dyDescent="0.2">
      <c r="B4" t="s">
        <v>36</v>
      </c>
    </row>
    <row r="5" spans="1:3" x14ac:dyDescent="0.2">
      <c r="B5" t="s">
        <v>24</v>
      </c>
      <c r="C5" t="s">
        <v>59</v>
      </c>
    </row>
    <row r="6" spans="1:3" x14ac:dyDescent="0.2">
      <c r="B6" t="s">
        <v>114</v>
      </c>
    </row>
    <row r="7" spans="1:3" x14ac:dyDescent="0.2">
      <c r="C7" s="22" t="s">
        <v>121</v>
      </c>
    </row>
  </sheetData>
  <hyperlinks>
    <hyperlink ref="A1" location="Main!A1" display="Main" xr:uid="{65E08BD3-BBDC-4586-867C-9363D1662C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B59E-805F-48F7-89A8-1725C9FCED24}">
  <dimension ref="A1:C17"/>
  <sheetViews>
    <sheetView tabSelected="1" zoomScale="205" zoomScaleNormal="205" workbookViewId="0">
      <selection activeCell="C10" sqref="C10"/>
    </sheetView>
  </sheetViews>
  <sheetFormatPr defaultRowHeight="12.75" x14ac:dyDescent="0.2"/>
  <cols>
    <col min="1" max="1" width="5" bestFit="1" customWidth="1"/>
    <col min="2" max="2" width="12.42578125" customWidth="1"/>
  </cols>
  <sheetData>
    <row r="1" spans="1:3" x14ac:dyDescent="0.2">
      <c r="A1" s="18" t="s">
        <v>7</v>
      </c>
    </row>
    <row r="2" spans="1:3" x14ac:dyDescent="0.2">
      <c r="B2" t="s">
        <v>22</v>
      </c>
      <c r="C2" t="s">
        <v>34</v>
      </c>
    </row>
    <row r="3" spans="1:3" x14ac:dyDescent="0.2">
      <c r="B3" t="s">
        <v>76</v>
      </c>
    </row>
    <row r="4" spans="1:3" x14ac:dyDescent="0.2">
      <c r="B4" t="s">
        <v>24</v>
      </c>
      <c r="C4" t="s">
        <v>35</v>
      </c>
    </row>
    <row r="5" spans="1:3" x14ac:dyDescent="0.2">
      <c r="B5" t="s">
        <v>36</v>
      </c>
      <c r="C5" t="s">
        <v>53</v>
      </c>
    </row>
    <row r="6" spans="1:3" x14ac:dyDescent="0.2">
      <c r="B6" t="s">
        <v>114</v>
      </c>
    </row>
    <row r="7" spans="1:3" x14ac:dyDescent="0.2">
      <c r="C7" s="22" t="s">
        <v>134</v>
      </c>
    </row>
    <row r="8" spans="1:3" x14ac:dyDescent="0.2">
      <c r="C8" s="23" t="s">
        <v>136</v>
      </c>
    </row>
    <row r="9" spans="1:3" x14ac:dyDescent="0.2">
      <c r="C9" t="s">
        <v>135</v>
      </c>
    </row>
    <row r="10" spans="1:3" x14ac:dyDescent="0.2">
      <c r="C10" t="s">
        <v>137</v>
      </c>
    </row>
    <row r="17" spans="3:3" x14ac:dyDescent="0.2">
      <c r="C17" s="22" t="s">
        <v>133</v>
      </c>
    </row>
  </sheetData>
  <hyperlinks>
    <hyperlink ref="A1" location="Main!A1" display="Main" xr:uid="{E379B3D9-3955-4650-8191-49A7A7DDFD2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Ingrezza</vt:lpstr>
      <vt:lpstr>1065845</vt:lpstr>
      <vt:lpstr>crinecerfont</vt:lpstr>
      <vt:lpstr>1117568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2022-10-14T17:50:27Z</dcterms:created>
  <dcterms:modified xsi:type="dcterms:W3CDTF">2024-10-08T15:11:52Z</dcterms:modified>
</cp:coreProperties>
</file>