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0BC505-8487-4ED3-A1BB-1408DC70B4FD}" xr6:coauthVersionLast="47" xr6:coauthVersionMax="47" xr10:uidLastSave="{00000000-0000-0000-0000-000000000000}"/>
  <bookViews>
    <workbookView xWindow="-42165" yWindow="1710" windowWidth="22830" windowHeight="17970" activeTab="1" xr2:uid="{75CAC307-FAB2-4E5B-9E86-2212ECF6A0B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2" l="1"/>
  <c r="AD10" i="2"/>
  <c r="AD8" i="2"/>
  <c r="AC8" i="2"/>
  <c r="AB8" i="2"/>
  <c r="AA8" i="2"/>
  <c r="Z8" i="2"/>
  <c r="Y8" i="2"/>
  <c r="X14" i="2"/>
  <c r="AD21" i="2"/>
  <c r="AC21" i="2"/>
  <c r="Y21" i="2"/>
  <c r="Z21" i="2" s="1"/>
  <c r="AA21" i="2" s="1"/>
  <c r="AB21" i="2" s="1"/>
  <c r="X21" i="2"/>
  <c r="Z11" i="2"/>
  <c r="AA11" i="2" s="1"/>
  <c r="AB11" i="2" s="1"/>
  <c r="AC11" i="2" s="1"/>
  <c r="Y11" i="2"/>
  <c r="Y7" i="2"/>
  <c r="Z7" i="2" s="1"/>
  <c r="AA7" i="2" s="1"/>
  <c r="AB7" i="2" s="1"/>
  <c r="AC7" i="2" s="1"/>
  <c r="AD7" i="2" s="1"/>
  <c r="Z6" i="2"/>
  <c r="AA6" i="2" s="1"/>
  <c r="Y6" i="2"/>
  <c r="AA16" i="2"/>
  <c r="AB16" i="2" s="1"/>
  <c r="AC16" i="2" s="1"/>
  <c r="AD16" i="2" s="1"/>
  <c r="Z16" i="2"/>
  <c r="Y16" i="2"/>
  <c r="AC4" i="2"/>
  <c r="AB4" i="2"/>
  <c r="AA4" i="2"/>
  <c r="Z4" i="2"/>
  <c r="Y4" i="2"/>
  <c r="AD4" i="2"/>
  <c r="AD5" i="2"/>
  <c r="AD19" i="2" s="1"/>
  <c r="AC5" i="2"/>
  <c r="AC19" i="2" s="1"/>
  <c r="AB5" i="2"/>
  <c r="AA5" i="2"/>
  <c r="AA19" i="2" s="1"/>
  <c r="Z5" i="2"/>
  <c r="Y5" i="2"/>
  <c r="Y19" i="2" s="1"/>
  <c r="AB19" i="2"/>
  <c r="Z19" i="2"/>
  <c r="AD18" i="2"/>
  <c r="AC18" i="2"/>
  <c r="AB18" i="2"/>
  <c r="AA18" i="2"/>
  <c r="Z18" i="2"/>
  <c r="Y18" i="2"/>
  <c r="AD3" i="2"/>
  <c r="AC3" i="2"/>
  <c r="AB3" i="2"/>
  <c r="AA3" i="2"/>
  <c r="Z3" i="2"/>
  <c r="Y3" i="2"/>
  <c r="X19" i="2"/>
  <c r="X18" i="2"/>
  <c r="X16" i="2"/>
  <c r="X13" i="2"/>
  <c r="X12" i="2"/>
  <c r="X15" i="2" s="1"/>
  <c r="X11" i="2"/>
  <c r="X9" i="2"/>
  <c r="X10" i="2" s="1"/>
  <c r="X8" i="2"/>
  <c r="X7" i="2"/>
  <c r="X6" i="2"/>
  <c r="X5" i="2"/>
  <c r="N13" i="2"/>
  <c r="N14" i="2" s="1"/>
  <c r="N15" i="2" s="1"/>
  <c r="M13" i="2"/>
  <c r="N11" i="2"/>
  <c r="M11" i="2"/>
  <c r="M12" i="2" s="1"/>
  <c r="N4" i="2"/>
  <c r="M4" i="2"/>
  <c r="N16" i="2"/>
  <c r="M16" i="2"/>
  <c r="N12" i="2"/>
  <c r="N10" i="2"/>
  <c r="M10" i="2"/>
  <c r="N9" i="2"/>
  <c r="M9" i="2"/>
  <c r="M8" i="2"/>
  <c r="N8" i="2"/>
  <c r="N7" i="2"/>
  <c r="M7" i="2"/>
  <c r="N6" i="2"/>
  <c r="M6" i="2"/>
  <c r="N19" i="2"/>
  <c r="L19" i="2"/>
  <c r="K19" i="2"/>
  <c r="J19" i="2"/>
  <c r="I19" i="2"/>
  <c r="M19" i="2"/>
  <c r="N5" i="2"/>
  <c r="M5" i="2"/>
  <c r="T18" i="2"/>
  <c r="S11" i="2"/>
  <c r="S9" i="2"/>
  <c r="S5" i="2"/>
  <c r="S19" i="2" s="1"/>
  <c r="W19" i="2"/>
  <c r="V19" i="2"/>
  <c r="U19" i="2"/>
  <c r="U18" i="2"/>
  <c r="T11" i="2"/>
  <c r="T9" i="2"/>
  <c r="T5" i="2"/>
  <c r="T19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N3" i="2"/>
  <c r="N18" i="2" s="1"/>
  <c r="M3" i="2"/>
  <c r="V18" i="2"/>
  <c r="U11" i="2"/>
  <c r="U9" i="2"/>
  <c r="U5" i="2"/>
  <c r="W18" i="2"/>
  <c r="W13" i="2"/>
  <c r="W5" i="2"/>
  <c r="W8" i="2"/>
  <c r="W7" i="2"/>
  <c r="W6" i="2"/>
  <c r="V9" i="2"/>
  <c r="V5" i="2"/>
  <c r="I18" i="2"/>
  <c r="J18" i="2"/>
  <c r="F11" i="2"/>
  <c r="F9" i="2"/>
  <c r="F5" i="2"/>
  <c r="H21" i="2"/>
  <c r="I21" i="2" s="1"/>
  <c r="E11" i="2"/>
  <c r="E9" i="2"/>
  <c r="E5" i="2"/>
  <c r="K18" i="2"/>
  <c r="L18" i="2"/>
  <c r="I11" i="2"/>
  <c r="I9" i="2"/>
  <c r="I5" i="2"/>
  <c r="J11" i="2"/>
  <c r="J9" i="2"/>
  <c r="J5" i="2"/>
  <c r="G11" i="2"/>
  <c r="G9" i="2"/>
  <c r="G5" i="2"/>
  <c r="L21" i="2"/>
  <c r="L22" i="2"/>
  <c r="H22" i="2"/>
  <c r="I22" i="2" s="1"/>
  <c r="J22" i="2" s="1"/>
  <c r="G23" i="2"/>
  <c r="K23" i="2"/>
  <c r="K11" i="2"/>
  <c r="K9" i="2"/>
  <c r="K5" i="2"/>
  <c r="H11" i="2"/>
  <c r="H9" i="2"/>
  <c r="H5" i="2"/>
  <c r="L11" i="2"/>
  <c r="L9" i="2"/>
  <c r="L5" i="2"/>
  <c r="N7" i="1"/>
  <c r="N5" i="1"/>
  <c r="N4" i="1"/>
  <c r="N3" i="1"/>
  <c r="AB6" i="2" l="1"/>
  <c r="AA9" i="2"/>
  <c r="AA10" i="2" s="1"/>
  <c r="AA12" i="2" s="1"/>
  <c r="Y9" i="2"/>
  <c r="Y10" i="2" s="1"/>
  <c r="Y12" i="2" s="1"/>
  <c r="Z9" i="2"/>
  <c r="Z10" i="2" s="1"/>
  <c r="Z12" i="2" s="1"/>
  <c r="M14" i="2"/>
  <c r="M15" i="2" s="1"/>
  <c r="X4" i="2"/>
  <c r="S10" i="2"/>
  <c r="S12" i="2" s="1"/>
  <c r="S14" i="2" s="1"/>
  <c r="S15" i="2" s="1"/>
  <c r="T10" i="2"/>
  <c r="T12" i="2" s="1"/>
  <c r="T14" i="2" s="1"/>
  <c r="T15" i="2" s="1"/>
  <c r="V10" i="2"/>
  <c r="V12" i="2" s="1"/>
  <c r="V14" i="2" s="1"/>
  <c r="V15" i="2" s="1"/>
  <c r="W11" i="2"/>
  <c r="X3" i="2"/>
  <c r="L10" i="2"/>
  <c r="M18" i="2"/>
  <c r="U10" i="2"/>
  <c r="U12" i="2" s="1"/>
  <c r="U14" i="2" s="1"/>
  <c r="U15" i="2" s="1"/>
  <c r="L12" i="2"/>
  <c r="L14" i="2" s="1"/>
  <c r="L15" i="2" s="1"/>
  <c r="W9" i="2"/>
  <c r="W10" i="2" s="1"/>
  <c r="W12" i="2" s="1"/>
  <c r="W14" i="2" s="1"/>
  <c r="W15" i="2" s="1"/>
  <c r="F10" i="2"/>
  <c r="F12" i="2" s="1"/>
  <c r="F14" i="2" s="1"/>
  <c r="F15" i="2" s="1"/>
  <c r="E10" i="2"/>
  <c r="E12" i="2" s="1"/>
  <c r="E14" i="2" s="1"/>
  <c r="E15" i="2" s="1"/>
  <c r="I23" i="2"/>
  <c r="J21" i="2"/>
  <c r="J23" i="2" s="1"/>
  <c r="I10" i="2"/>
  <c r="I12" i="2" s="1"/>
  <c r="I14" i="2" s="1"/>
  <c r="I15" i="2" s="1"/>
  <c r="J10" i="2"/>
  <c r="J12" i="2" s="1"/>
  <c r="J14" i="2" s="1"/>
  <c r="J15" i="2" s="1"/>
  <c r="G10" i="2"/>
  <c r="G12" i="2" s="1"/>
  <c r="G14" i="2" s="1"/>
  <c r="G15" i="2" s="1"/>
  <c r="H23" i="2"/>
  <c r="L23" i="2"/>
  <c r="K10" i="2"/>
  <c r="K12" i="2" s="1"/>
  <c r="K14" i="2" s="1"/>
  <c r="K15" i="2" s="1"/>
  <c r="H10" i="2"/>
  <c r="H12" i="2" s="1"/>
  <c r="H14" i="2" s="1"/>
  <c r="H15" i="2" s="1"/>
  <c r="Z13" i="2" l="1"/>
  <c r="Y13" i="2"/>
  <c r="AA13" i="2"/>
  <c r="AB9" i="2"/>
  <c r="AB10" i="2" s="1"/>
  <c r="AB12" i="2" s="1"/>
  <c r="AC6" i="2"/>
  <c r="Y14" i="2" l="1"/>
  <c r="Y15" i="2" s="1"/>
  <c r="AA14" i="2"/>
  <c r="AA15" i="2" s="1"/>
  <c r="Z14" i="2"/>
  <c r="Z15" i="2" s="1"/>
  <c r="AB13" i="2"/>
  <c r="AD6" i="2"/>
  <c r="AD9" i="2" s="1"/>
  <c r="AD12" i="2" s="1"/>
  <c r="AC9" i="2"/>
  <c r="AC10" i="2" s="1"/>
  <c r="AC12" i="2" s="1"/>
  <c r="AB14" i="2" l="1"/>
  <c r="AB15" i="2" s="1"/>
  <c r="AC13" i="2"/>
  <c r="AD13" i="2"/>
  <c r="AC14" i="2" l="1"/>
  <c r="AC15" i="2" s="1"/>
  <c r="AD14" i="2"/>
  <c r="AD15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<sst xmlns="http://schemas.openxmlformats.org/spreadsheetml/2006/main" count="43" uniqueCount="39">
  <si>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</si>
  <si>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</si>
  <si>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</si>
  <si>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</si>
  <si>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</si>
  <si>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</si>
  <si>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</si>
  <si>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</si>
  <si>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</si>
  <si>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</si>
  <si>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</si>
  <si>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</si>
  <si>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</si>
  <si>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</si>
  <si>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</si>
  <si>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</si>
  <si>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</si>
  <si>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</si>
  <si>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</si>
  <si>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</si>
  <si>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</si>
  <si>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</si>
  <si>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</si>
  <si>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</si>
  <si>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</si>
  <si>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</si>
  <si>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</si>
  <si>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</si>
  <si>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</si>
  <si>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</si>
  <si>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</si>
  <si>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</si>
  <si>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CFFO</t>
  </si>
  <si>
    <t>CapEx</t>
  </si>
  <si>
    <t>FCF</t>
  </si>
  <si>
    <t>Founded: 2009</t>
  </si>
  <si>
    <t>Revenue y/y</t>
  </si>
  <si>
    <t>Gross Margin</t>
  </si>
  <si>
    <t>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</si>
</sst>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409A34-AEC3-469C-A0C2-0BBF777EDEB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25066</xdr:colOff>
      <xdr:row>0</xdr:row>
      <xdr:rowOff>30079</xdr:rowOff>
    </xdr:from>
    <xdr:to>
      <xdr:col>12</xdr:col>
      <xdr:colOff>25066</xdr:colOff>
      <xdr:row>29</xdr:row>
      <xdr:rowOff>15040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6DA88FA-274C-60C8-AD01-83F9CF8B5586}"/>
            </a:ext>
          </a:extLst>
        </xdr:cNvPr>
        <xdr:cNvCxnSpPr/>
      </xdr:nvCxnSpPr>
      <xdr:spPr>
        <a:xfrm>
          <a:off x="7685171" y="30079"/>
          <a:ext cx="0" cy="41559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22058</xdr:colOff>
      <xdr:row>0</xdr:row>
      <xdr:rowOff>0</xdr:rowOff>
    </xdr:from>
    <xdr:to>
      <xdr:col>23</xdr:col>
      <xdr:colOff>22058</xdr:colOff>
      <xdr:row>28</xdr:row>
      <xdr:rowOff>145383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D77D114-40D9-42FB-9A7A-44B24ADB502B}"/>
            </a:ext>
          </a:extLst>
        </xdr:cNvPr>
        <xdr:cNvCxnSpPr/>
      </xdr:nvCxnSpPr>
      <xdr:spPr>
        <a:xfrm>
          <a:off x="12575005" y="0"/>
          <a:ext cx="0" cy="4637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B0B1-7309-4A06-ABC1-2AAFE83796AB}">
  <dimension ref="M2:O9"/>
  <sheetViews>
    <sheetView zoomScale="145" zoomScaleNormal="145" workbookViewId="0">
      <selection activeCell="F9" sqref="F9"/>
    </sheetView>
  </sheetViews>
  <sheetFormatPr defaultRowHeight="12.75" x14ac:dyDescent="0.2"/>
  <sheetData>
    <row r="2" spans="13:15" x14ac:dyDescent="0.2">
      <c r="M2" t="s">
        <v>0</v>
      </c>
      <c r="N2" s="1">
        <v>83.39</v>
      </c>
    </row>
    <row r="3" spans="13:15" x14ac:dyDescent="0.2">
      <c r="M3" t="s">
        <v>1</v>
      </c>
      <c r="N3" s="2">
        <f>303.675639+38.027095</f>
        <v>341.70273399999996</v>
      </c>
      <c r="O3" s="3" t="s">
        <v>6</v>
      </c>
    </row>
    <row r="4" spans="13:15" x14ac:dyDescent="0.2">
      <c r="M4" t="s">
        <v>2</v>
      </c>
      <c r="N4" s="2">
        <f>+N2*N3</f>
        <v>28494.590988259999</v>
      </c>
    </row>
    <row r="5" spans="13:15" x14ac:dyDescent="0.2">
      <c r="M5" t="s">
        <v>3</v>
      </c>
      <c r="N5" s="2">
        <f>156.967+1600.43</f>
        <v>1757.3970000000002</v>
      </c>
      <c r="O5" s="3" t="s">
        <v>6</v>
      </c>
    </row>
    <row r="6" spans="13:15" x14ac:dyDescent="0.2">
      <c r="M6" t="s">
        <v>4</v>
      </c>
      <c r="N6" s="2">
        <v>1285.3420000000001</v>
      </c>
      <c r="O6" s="3" t="s">
        <v>6</v>
      </c>
    </row>
    <row r="7" spans="13:15" x14ac:dyDescent="0.2">
      <c r="M7" t="s">
        <v>5</v>
      </c>
      <c r="N7" s="2">
        <f>+N4-N5+N6</f>
        <v>28022.535988259999</v>
      </c>
    </row>
    <row r="9" spans="13:15" x14ac:dyDescent="0.2">
      <c r="M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29B1-4FD7-4C00-85AF-3C368E834D1C}">
  <dimension ref="A1:AI25"/>
  <sheetViews>
    <sheetView tabSelected="1" zoomScale="160" zoomScaleNormal="16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C12" sqref="AC12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3"/>
    <col min="12" max="12" width="9.140625" style="4"/>
    <col min="13" max="14" width="9.140625" style="3"/>
  </cols>
  <sheetData>
    <row r="1" spans="1:35" x14ac:dyDescent="0.2">
      <c r="A1" t="s">
        <v>7</v>
      </c>
    </row>
    <row r="2" spans="1:35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4" t="s">
        <v>6</v>
      </c>
      <c r="M2" s="3" t="s">
        <v>18</v>
      </c>
      <c r="N2" s="3" t="s">
        <v>19</v>
      </c>
      <c r="Q2">
        <v>2017</v>
      </c>
      <c r="R2">
        <v>2018</v>
      </c>
      <c r="S2">
        <v>2019</v>
      </c>
      <c r="T2">
        <v>2020</v>
      </c>
      <c r="U2">
        <v>2021</v>
      </c>
      <c r="V2">
        <v>2022</v>
      </c>
      <c r="W2">
        <v>2023</v>
      </c>
      <c r="X2">
        <v>2024</v>
      </c>
      <c r="Y2">
        <f>+X2+1</f>
        <v>2025</v>
      </c>
      <c r="Z2">
        <f t="shared" ref="Z2:AI2" si="0">+Y2+1</f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>
        <f t="shared" si="0"/>
        <v>2031</v>
      </c>
      <c r="AF2">
        <f t="shared" si="0"/>
        <v>2032</v>
      </c>
      <c r="AG2">
        <f t="shared" si="0"/>
        <v>2033</v>
      </c>
      <c r="AH2">
        <f t="shared" si="0"/>
        <v>2034</v>
      </c>
      <c r="AI2">
        <f t="shared" si="0"/>
        <v>2035</v>
      </c>
    </row>
    <row r="3" spans="1:35" s="8" customFormat="1" x14ac:dyDescent="0.2">
      <c r="B3" s="8" t="s">
        <v>8</v>
      </c>
      <c r="C3" s="5"/>
      <c r="D3" s="5"/>
      <c r="E3" s="5">
        <v>253.857</v>
      </c>
      <c r="F3" s="5">
        <v>274.7</v>
      </c>
      <c r="G3" s="5">
        <v>290.17500000000001</v>
      </c>
      <c r="H3" s="5">
        <v>308.49400000000003</v>
      </c>
      <c r="I3" s="5">
        <v>335.60300000000001</v>
      </c>
      <c r="J3" s="5">
        <v>362.47300000000001</v>
      </c>
      <c r="K3" s="5">
        <v>378.60199999999998</v>
      </c>
      <c r="L3" s="5">
        <v>400.99599999999998</v>
      </c>
      <c r="M3" s="5">
        <f>+I3*1.3</f>
        <v>436.28390000000002</v>
      </c>
      <c r="N3" s="5">
        <f>+J3*1.3</f>
        <v>471.21490000000006</v>
      </c>
      <c r="S3" s="8">
        <v>287.02199999999999</v>
      </c>
      <c r="T3" s="8">
        <v>431.05900000000003</v>
      </c>
      <c r="U3" s="8">
        <v>656.42600000000004</v>
      </c>
      <c r="V3" s="8">
        <v>975.24099999999999</v>
      </c>
      <c r="W3" s="8">
        <v>1296.7449999999999</v>
      </c>
      <c r="X3" s="8">
        <f>SUM(K3:N3)</f>
        <v>1687.0967999999998</v>
      </c>
      <c r="Y3" s="8">
        <f>+X3*1.3</f>
        <v>2193.2258399999996</v>
      </c>
      <c r="Z3" s="8">
        <f>+Y3*1.2</f>
        <v>2631.8710079999996</v>
      </c>
      <c r="AA3" s="8">
        <f>+Z3*1.2</f>
        <v>3158.2452095999993</v>
      </c>
      <c r="AB3" s="8">
        <f>+AA3*1.1</f>
        <v>3474.0697305599997</v>
      </c>
      <c r="AC3" s="8">
        <f>+AB3*1.1</f>
        <v>3821.4767036160001</v>
      </c>
      <c r="AD3" s="8">
        <f>+AC3*1.1</f>
        <v>4203.6243739776</v>
      </c>
    </row>
    <row r="4" spans="1:35" s="2" customFormat="1" x14ac:dyDescent="0.2">
      <c r="B4" s="2" t="s">
        <v>20</v>
      </c>
      <c r="C4" s="4"/>
      <c r="D4" s="4"/>
      <c r="E4" s="4">
        <v>61.966999999999999</v>
      </c>
      <c r="F4" s="4">
        <v>67.787999999999997</v>
      </c>
      <c r="G4" s="4">
        <v>70.432000000000002</v>
      </c>
      <c r="H4" s="4">
        <v>75.221000000000004</v>
      </c>
      <c r="I4" s="4">
        <v>78.069000000000003</v>
      </c>
      <c r="J4" s="4">
        <v>83.283000000000001</v>
      </c>
      <c r="K4" s="4">
        <v>85.037999999999997</v>
      </c>
      <c r="L4" s="4">
        <v>89.010999999999996</v>
      </c>
      <c r="M4" s="4">
        <f>+M3-M5</f>
        <v>104.70813600000002</v>
      </c>
      <c r="N4" s="4">
        <f>+N3-N5</f>
        <v>113.09157600000003</v>
      </c>
      <c r="S4" s="2">
        <v>63.423000000000002</v>
      </c>
      <c r="T4" s="2">
        <v>101.05500000000001</v>
      </c>
      <c r="U4" s="2">
        <v>147.13399999999999</v>
      </c>
      <c r="V4" s="2">
        <v>232.61</v>
      </c>
      <c r="W4" s="2">
        <v>307.005</v>
      </c>
      <c r="X4" s="10">
        <f>SUM(K4:N4)</f>
        <v>391.84871200000003</v>
      </c>
      <c r="Y4" s="2">
        <f t="shared" ref="Y4:AC4" si="1">+Y3-Y5</f>
        <v>504.44194319999997</v>
      </c>
      <c r="Z4" s="2">
        <f t="shared" si="1"/>
        <v>605.33033183999987</v>
      </c>
      <c r="AA4" s="2">
        <f t="shared" si="1"/>
        <v>726.39639820799994</v>
      </c>
      <c r="AB4" s="2">
        <f t="shared" si="1"/>
        <v>799.03603802879979</v>
      </c>
      <c r="AC4" s="2">
        <f t="shared" si="1"/>
        <v>878.93964183168009</v>
      </c>
      <c r="AD4" s="2">
        <f>+AD3-AD5</f>
        <v>966.8336060148481</v>
      </c>
    </row>
    <row r="5" spans="1:35" s="2" customFormat="1" x14ac:dyDescent="0.2">
      <c r="B5" s="2" t="s">
        <v>21</v>
      </c>
      <c r="C5" s="4"/>
      <c r="D5" s="4"/>
      <c r="E5" s="4">
        <f>+E3-E4</f>
        <v>191.89</v>
      </c>
      <c r="F5" s="4">
        <f>+F3-F4</f>
        <v>206.91199999999998</v>
      </c>
      <c r="G5" s="4">
        <f>+G3-G4</f>
        <v>219.74299999999999</v>
      </c>
      <c r="H5" s="4">
        <f>+H3-H4</f>
        <v>233.27300000000002</v>
      </c>
      <c r="I5" s="4">
        <f>+I3-I4</f>
        <v>257.53399999999999</v>
      </c>
      <c r="J5" s="4">
        <f>+J3-J4</f>
        <v>279.19</v>
      </c>
      <c r="K5" s="4">
        <f>+K3-K4</f>
        <v>293.56399999999996</v>
      </c>
      <c r="L5" s="4">
        <f>+L3-L4</f>
        <v>311.98500000000001</v>
      </c>
      <c r="M5" s="4">
        <f>+M3*0.76</f>
        <v>331.57576399999999</v>
      </c>
      <c r="N5" s="4">
        <f>+N3*0.76</f>
        <v>358.12332400000003</v>
      </c>
      <c r="S5" s="2">
        <f t="shared" ref="S5" si="2">+S3-S4</f>
        <v>223.59899999999999</v>
      </c>
      <c r="T5" s="2">
        <f>+T3-T4</f>
        <v>330.00400000000002</v>
      </c>
      <c r="U5" s="2">
        <f>+U3-U4</f>
        <v>509.29200000000003</v>
      </c>
      <c r="V5" s="2">
        <f>+V3-V4</f>
        <v>742.63099999999997</v>
      </c>
      <c r="W5" s="2">
        <f>+W3-W4</f>
        <v>989.7399999999999</v>
      </c>
      <c r="X5" s="2">
        <f>+X3-X4</f>
        <v>1295.2480879999998</v>
      </c>
      <c r="Y5" s="2">
        <f>+Y3*0.77</f>
        <v>1688.7838967999996</v>
      </c>
      <c r="Z5" s="2">
        <f>+Z3*0.77</f>
        <v>2026.5406761599997</v>
      </c>
      <c r="AA5" s="2">
        <f>+AA3*0.77</f>
        <v>2431.8488113919993</v>
      </c>
      <c r="AB5" s="2">
        <f>+AB3*0.77</f>
        <v>2675.0336925311999</v>
      </c>
      <c r="AC5" s="2">
        <f>+AC3*0.77</f>
        <v>2942.53706178432</v>
      </c>
      <c r="AD5" s="2">
        <f>+AD3*0.77</f>
        <v>3236.7907679627519</v>
      </c>
    </row>
    <row r="6" spans="1:35" s="2" customFormat="1" x14ac:dyDescent="0.2">
      <c r="B6" s="2" t="s">
        <v>22</v>
      </c>
      <c r="C6" s="4"/>
      <c r="D6" s="4"/>
      <c r="E6" s="4">
        <v>116.033</v>
      </c>
      <c r="F6" s="4">
        <v>132.05000000000001</v>
      </c>
      <c r="G6" s="4">
        <v>137.001</v>
      </c>
      <c r="H6" s="4">
        <v>146.68799999999999</v>
      </c>
      <c r="I6" s="4">
        <v>150.214</v>
      </c>
      <c r="J6" s="4">
        <v>165.214</v>
      </c>
      <c r="K6" s="4">
        <v>194.102</v>
      </c>
      <c r="L6" s="4">
        <v>174.501</v>
      </c>
      <c r="M6" s="4">
        <f>+I6*1.1</f>
        <v>165.2354</v>
      </c>
      <c r="N6" s="4">
        <f t="shared" ref="N6:N8" si="3">+J6*1.1</f>
        <v>181.73540000000003</v>
      </c>
      <c r="S6" s="2">
        <v>159.298</v>
      </c>
      <c r="T6" s="2">
        <v>217.875</v>
      </c>
      <c r="U6" s="2">
        <v>328.065</v>
      </c>
      <c r="V6" s="2">
        <v>465.762</v>
      </c>
      <c r="W6" s="2">
        <f>SUM(G6:J6)</f>
        <v>599.11699999999996</v>
      </c>
      <c r="X6" s="10">
        <f t="shared" ref="X6:X8" si="4">SUM(K6:N6)</f>
        <v>715.57380000000001</v>
      </c>
      <c r="Y6" s="2">
        <f>+X6*1.1</f>
        <v>787.13118000000009</v>
      </c>
      <c r="Z6" s="2">
        <f t="shared" ref="Z6:AD6" si="5">+Y6*1.1</f>
        <v>865.84429800000021</v>
      </c>
      <c r="AA6" s="2">
        <f t="shared" si="5"/>
        <v>952.42872780000027</v>
      </c>
      <c r="AB6" s="2">
        <f t="shared" si="5"/>
        <v>1047.6716005800004</v>
      </c>
      <c r="AC6" s="2">
        <f t="shared" si="5"/>
        <v>1152.4387606380005</v>
      </c>
      <c r="AD6" s="2">
        <f t="shared" si="5"/>
        <v>1267.6826367018007</v>
      </c>
    </row>
    <row r="7" spans="1:35" s="2" customFormat="1" x14ac:dyDescent="0.2">
      <c r="B7" s="2" t="s">
        <v>23</v>
      </c>
      <c r="C7" s="4"/>
      <c r="D7" s="4"/>
      <c r="E7" s="4">
        <v>76.432000000000002</v>
      </c>
      <c r="F7" s="4">
        <v>79.703000000000003</v>
      </c>
      <c r="G7" s="4">
        <v>81.539000000000001</v>
      </c>
      <c r="H7" s="4">
        <v>89.61</v>
      </c>
      <c r="I7" s="4">
        <v>90.593000000000004</v>
      </c>
      <c r="J7" s="4">
        <v>96.400999999999996</v>
      </c>
      <c r="K7" s="4">
        <v>87.703000000000003</v>
      </c>
      <c r="L7" s="4">
        <v>102.547</v>
      </c>
      <c r="M7" s="4">
        <f t="shared" ref="M7:M8" si="6">+I7*1.1</f>
        <v>99.652300000000011</v>
      </c>
      <c r="N7" s="4">
        <f t="shared" si="3"/>
        <v>106.0411</v>
      </c>
      <c r="S7" s="2">
        <v>90.668999999999997</v>
      </c>
      <c r="T7" s="2">
        <v>127.14400000000001</v>
      </c>
      <c r="U7" s="2">
        <v>189.40799999999999</v>
      </c>
      <c r="V7" s="2">
        <v>298.303</v>
      </c>
      <c r="W7" s="2">
        <f>SUM(G7:J7)</f>
        <v>358.14300000000003</v>
      </c>
      <c r="X7" s="10">
        <f t="shared" si="4"/>
        <v>395.9434</v>
      </c>
      <c r="Y7" s="2">
        <f t="shared" ref="Y7:AD7" si="7">+X7*1.1</f>
        <v>435.53774000000004</v>
      </c>
      <c r="Z7" s="2">
        <f t="shared" si="7"/>
        <v>479.09151400000007</v>
      </c>
      <c r="AA7" s="2">
        <f t="shared" si="7"/>
        <v>527.00066540000012</v>
      </c>
      <c r="AB7" s="2">
        <f t="shared" si="7"/>
        <v>579.7007319400002</v>
      </c>
      <c r="AC7" s="2">
        <f t="shared" si="7"/>
        <v>637.67080513400026</v>
      </c>
      <c r="AD7" s="2">
        <f t="shared" si="7"/>
        <v>701.43788564740032</v>
      </c>
    </row>
    <row r="8" spans="1:35" s="2" customFormat="1" x14ac:dyDescent="0.2">
      <c r="B8" s="2" t="s">
        <v>24</v>
      </c>
      <c r="C8" s="4"/>
      <c r="D8" s="4"/>
      <c r="E8" s="4">
        <v>45.372</v>
      </c>
      <c r="F8" s="4">
        <v>45.85</v>
      </c>
      <c r="G8" s="4">
        <v>48.475000000000001</v>
      </c>
      <c r="H8" s="4">
        <v>53.146999999999998</v>
      </c>
      <c r="I8" s="4">
        <v>55.939</v>
      </c>
      <c r="J8" s="4">
        <v>60.404000000000003</v>
      </c>
      <c r="K8" s="4">
        <v>66.308999999999997</v>
      </c>
      <c r="L8" s="4">
        <v>69.635000000000005</v>
      </c>
      <c r="M8" s="4">
        <f t="shared" si="6"/>
        <v>61.532900000000005</v>
      </c>
      <c r="N8" s="4">
        <f t="shared" si="3"/>
        <v>66.444400000000016</v>
      </c>
      <c r="S8" s="2">
        <v>81.578000000000003</v>
      </c>
      <c r="T8" s="2">
        <v>91.753</v>
      </c>
      <c r="U8" s="2">
        <v>119.503</v>
      </c>
      <c r="V8" s="2">
        <v>179.76900000000001</v>
      </c>
      <c r="W8" s="2">
        <f>SUM(G8:J8)</f>
        <v>217.965</v>
      </c>
      <c r="X8" s="10">
        <f t="shared" si="4"/>
        <v>263.92130000000003</v>
      </c>
      <c r="Y8" s="2">
        <f>+Y3*0.1</f>
        <v>219.32258399999998</v>
      </c>
      <c r="Z8" s="2">
        <f t="shared" ref="Z8:AD8" si="8">+Z3*0.1</f>
        <v>263.1871008</v>
      </c>
      <c r="AA8" s="2">
        <f t="shared" si="8"/>
        <v>315.82452095999997</v>
      </c>
      <c r="AB8" s="2">
        <f t="shared" si="8"/>
        <v>347.40697305599997</v>
      </c>
      <c r="AC8" s="2">
        <f t="shared" si="8"/>
        <v>382.14767036160003</v>
      </c>
      <c r="AD8" s="2">
        <f t="shared" si="8"/>
        <v>420.36243739776</v>
      </c>
    </row>
    <row r="9" spans="1:35" s="2" customFormat="1" x14ac:dyDescent="0.2">
      <c r="B9" s="2" t="s">
        <v>25</v>
      </c>
      <c r="C9" s="4"/>
      <c r="D9" s="4"/>
      <c r="E9" s="4">
        <f>SUM(E6:E8)</f>
        <v>237.83699999999999</v>
      </c>
      <c r="F9" s="4">
        <f>SUM(F6:F8)</f>
        <v>257.60300000000001</v>
      </c>
      <c r="G9" s="4">
        <f>SUM(G6:G8)</f>
        <v>267.01500000000004</v>
      </c>
      <c r="H9" s="4">
        <f>SUM(H6:H8)</f>
        <v>289.44499999999999</v>
      </c>
      <c r="I9" s="4">
        <f>SUM(I6:I8)</f>
        <v>296.74600000000004</v>
      </c>
      <c r="J9" s="4">
        <f>SUM(J6:J8)</f>
        <v>322.01900000000001</v>
      </c>
      <c r="K9" s="4">
        <f>SUM(K6:K8)</f>
        <v>348.11400000000003</v>
      </c>
      <c r="L9" s="4">
        <f>SUM(L6:L8)</f>
        <v>346.68299999999999</v>
      </c>
      <c r="M9" s="4">
        <f>SUM(M6:M8)</f>
        <v>326.42059999999998</v>
      </c>
      <c r="N9" s="4">
        <f>SUM(N6:N8)</f>
        <v>354.22090000000009</v>
      </c>
      <c r="S9" s="2">
        <f t="shared" ref="S9" si="9">SUM(S6:S8)</f>
        <v>331.54499999999996</v>
      </c>
      <c r="T9" s="2">
        <f>SUM(T6:T8)</f>
        <v>436.77199999999999</v>
      </c>
      <c r="U9" s="2">
        <f>SUM(U6:U8)</f>
        <v>636.976</v>
      </c>
      <c r="V9" s="2">
        <f>SUM(V6:V8)</f>
        <v>943.83400000000006</v>
      </c>
      <c r="W9" s="2">
        <f t="shared" ref="W9" si="10">SUM(W6:W8)</f>
        <v>1175.2249999999999</v>
      </c>
      <c r="X9" s="2">
        <f t="shared" ref="X9" si="11">SUM(X6:X8)</f>
        <v>1375.4385</v>
      </c>
      <c r="Y9" s="2">
        <f t="shared" ref="Y9" si="12">SUM(Y6:Y8)</f>
        <v>1441.9915040000001</v>
      </c>
      <c r="Z9" s="2">
        <f t="shared" ref="Z9" si="13">SUM(Z6:Z8)</f>
        <v>1608.1229128000002</v>
      </c>
      <c r="AA9" s="2">
        <f t="shared" ref="AA9" si="14">SUM(AA6:AA8)</f>
        <v>1795.2539141600005</v>
      </c>
      <c r="AB9" s="2">
        <f t="shared" ref="AB9" si="15">SUM(AB6:AB8)</f>
        <v>1974.7793055760005</v>
      </c>
      <c r="AC9" s="2">
        <f t="shared" ref="AC9" si="16">SUM(AC6:AC8)</f>
        <v>2172.2572361336006</v>
      </c>
      <c r="AD9" s="2">
        <f t="shared" ref="AD9" si="17">SUM(AD6:AD8)</f>
        <v>2389.4829597469611</v>
      </c>
    </row>
    <row r="10" spans="1:35" s="2" customFormat="1" x14ac:dyDescent="0.2">
      <c r="B10" s="2" t="s">
        <v>26</v>
      </c>
      <c r="C10" s="4"/>
      <c r="D10" s="4"/>
      <c r="E10" s="4">
        <f>+E5-E9</f>
        <v>-45.947000000000003</v>
      </c>
      <c r="F10" s="4">
        <f>+F5-F9</f>
        <v>-50.691000000000031</v>
      </c>
      <c r="G10" s="4">
        <f>+G5-G9</f>
        <v>-47.272000000000048</v>
      </c>
      <c r="H10" s="4">
        <f>+H5-H9</f>
        <v>-56.171999999999969</v>
      </c>
      <c r="I10" s="4">
        <f>+I5-I9</f>
        <v>-39.212000000000046</v>
      </c>
      <c r="J10" s="4">
        <f>+J5-J9</f>
        <v>-42.829000000000008</v>
      </c>
      <c r="K10" s="4">
        <f>+K5-K9</f>
        <v>-54.550000000000068</v>
      </c>
      <c r="L10" s="4">
        <f>+L5-L9</f>
        <v>-34.697999999999979</v>
      </c>
      <c r="M10" s="4">
        <f>+M5-M9</f>
        <v>5.1551640000000134</v>
      </c>
      <c r="N10" s="4">
        <f>+N5-N9</f>
        <v>3.9024239999999395</v>
      </c>
      <c r="S10" s="2">
        <f t="shared" ref="S10" si="18">+S5-S9</f>
        <v>-107.94599999999997</v>
      </c>
      <c r="T10" s="2">
        <f>+T5-T9</f>
        <v>-106.76799999999997</v>
      </c>
      <c r="U10" s="2">
        <f>+U5-U9</f>
        <v>-127.68399999999997</v>
      </c>
      <c r="V10" s="2">
        <f>+V5-V9</f>
        <v>-201.20300000000009</v>
      </c>
      <c r="W10" s="2">
        <f t="shared" ref="W10" si="19">+W5-W9</f>
        <v>-185.48500000000001</v>
      </c>
      <c r="X10" s="2">
        <f t="shared" ref="X10" si="20">+X5-X9</f>
        <v>-80.190412000000151</v>
      </c>
      <c r="Y10" s="2">
        <f t="shared" ref="Y10" si="21">+Y5-Y9</f>
        <v>246.79239279999956</v>
      </c>
      <c r="Z10" s="2">
        <f t="shared" ref="Z10" si="22">+Z5-Z9</f>
        <v>418.41776335999953</v>
      </c>
      <c r="AA10" s="2">
        <f t="shared" ref="AA10" si="23">+AA5-AA9</f>
        <v>636.59489723199886</v>
      </c>
      <c r="AB10" s="2">
        <f t="shared" ref="AB10" si="24">+AB5-AB9</f>
        <v>700.25438695519938</v>
      </c>
      <c r="AC10" s="2">
        <f t="shared" ref="AC10" si="25">+AC5-AC9</f>
        <v>770.27982565071943</v>
      </c>
      <c r="AD10" s="2">
        <f>+AD5-AD9</f>
        <v>847.30780821579083</v>
      </c>
    </row>
    <row r="11" spans="1:35" x14ac:dyDescent="0.2">
      <c r="B11" t="s">
        <v>27</v>
      </c>
      <c r="E11" s="4">
        <f>3.852-1.512+2.433</f>
        <v>4.7729999999999997</v>
      </c>
      <c r="F11" s="4">
        <f>8.323-0.785-1.602</f>
        <v>5.9359999999999999</v>
      </c>
      <c r="G11" s="4">
        <f>13.487-2.126-0.857</f>
        <v>10.504000000000001</v>
      </c>
      <c r="H11" s="4">
        <f>16.536-1.539-1.527</f>
        <v>13.470000000000002</v>
      </c>
      <c r="I11" s="4">
        <f>17.954-1.138+0.115</f>
        <v>16.931000000000001</v>
      </c>
      <c r="J11" s="4">
        <f>20.19-1.069-2.103</f>
        <v>17.018000000000001</v>
      </c>
      <c r="K11" s="4">
        <f>21.252-1.1+1.124</f>
        <v>21.275999999999996</v>
      </c>
      <c r="L11" s="4">
        <f>21.715-1.218+0.269</f>
        <v>20.765999999999998</v>
      </c>
      <c r="M11" s="4">
        <f>+L11</f>
        <v>20.765999999999998</v>
      </c>
      <c r="N11" s="4">
        <f>+M11</f>
        <v>20.765999999999998</v>
      </c>
      <c r="S11" s="2">
        <f>5.787-1.112-1.442</f>
        <v>3.2329999999999997</v>
      </c>
      <c r="T11" s="2">
        <f>6.588-24.964</f>
        <v>-18.375999999999998</v>
      </c>
      <c r="U11" s="2">
        <f>1.97-49.234</f>
        <v>-47.264000000000003</v>
      </c>
      <c r="V11" s="2">
        <v>10.47</v>
      </c>
      <c r="W11" s="2">
        <f>SUM(G11:J11)</f>
        <v>57.923000000000002</v>
      </c>
      <c r="X11" s="10">
        <f t="shared" ref="X11:X13" si="26">SUM(K11:N11)</f>
        <v>83.573999999999984</v>
      </c>
      <c r="Y11" s="2">
        <f>+X11</f>
        <v>83.573999999999984</v>
      </c>
      <c r="Z11" s="2">
        <f t="shared" ref="Z11:AD11" si="27">+Y11</f>
        <v>83.573999999999984</v>
      </c>
      <c r="AA11" s="2">
        <f t="shared" si="27"/>
        <v>83.573999999999984</v>
      </c>
      <c r="AB11" s="2">
        <f t="shared" si="27"/>
        <v>83.573999999999984</v>
      </c>
      <c r="AC11" s="2">
        <f t="shared" si="27"/>
        <v>83.573999999999984</v>
      </c>
      <c r="AD11" s="2">
        <f>+AC11</f>
        <v>83.573999999999984</v>
      </c>
    </row>
    <row r="12" spans="1:35" x14ac:dyDescent="0.2">
      <c r="B12" t="s">
        <v>28</v>
      </c>
      <c r="E12" s="4">
        <f>+E10+E11</f>
        <v>-41.174000000000007</v>
      </c>
      <c r="F12" s="4">
        <f>+F10+F11</f>
        <v>-44.755000000000031</v>
      </c>
      <c r="G12" s="4">
        <f>+G10+G11</f>
        <v>-36.768000000000043</v>
      </c>
      <c r="H12" s="4">
        <f>+H10+H11</f>
        <v>-42.70199999999997</v>
      </c>
      <c r="I12" s="4">
        <f>+I10+I11</f>
        <v>-22.281000000000045</v>
      </c>
      <c r="J12" s="4">
        <f>+J10+J11</f>
        <v>-25.811000000000007</v>
      </c>
      <c r="K12" s="4">
        <f>+K10+K11</f>
        <v>-33.274000000000072</v>
      </c>
      <c r="L12" s="4">
        <f>+L10+L11</f>
        <v>-13.931999999999981</v>
      </c>
      <c r="M12" s="4">
        <f>+M10+M11</f>
        <v>25.921164000000012</v>
      </c>
      <c r="N12" s="4">
        <f>+N10+N11</f>
        <v>24.668423999999938</v>
      </c>
      <c r="O12" s="4"/>
      <c r="P12" s="4"/>
      <c r="Q12" s="4"/>
      <c r="R12" s="4"/>
      <c r="S12" s="4">
        <f t="shared" ref="S12" si="28">+S10+S11</f>
        <v>-104.71299999999997</v>
      </c>
      <c r="T12" s="4">
        <f t="shared" ref="T12:X12" si="29">+T10+T11</f>
        <v>-125.14399999999998</v>
      </c>
      <c r="U12" s="4">
        <f t="shared" si="29"/>
        <v>-174.94799999999998</v>
      </c>
      <c r="V12" s="4">
        <f t="shared" si="29"/>
        <v>-190.73300000000009</v>
      </c>
      <c r="W12" s="4">
        <f t="shared" si="29"/>
        <v>-127.56200000000001</v>
      </c>
      <c r="X12" s="4">
        <f t="shared" si="29"/>
        <v>3.3835879999998326</v>
      </c>
      <c r="Y12" s="4">
        <f t="shared" ref="Y12" si="30">+Y10+Y11</f>
        <v>330.36639279999952</v>
      </c>
      <c r="Z12" s="4">
        <f t="shared" ref="Z12" si="31">+Z10+Z11</f>
        <v>501.99176335999948</v>
      </c>
      <c r="AA12" s="4">
        <f t="shared" ref="AA12" si="32">+AA10+AA11</f>
        <v>720.16889723199881</v>
      </c>
      <c r="AB12" s="4">
        <f t="shared" ref="AB12" si="33">+AB10+AB11</f>
        <v>783.82838695519933</v>
      </c>
      <c r="AC12" s="4">
        <f t="shared" ref="AC12" si="34">+AC10+AC11</f>
        <v>853.85382565071939</v>
      </c>
      <c r="AD12" s="4">
        <f t="shared" ref="AD12" si="35">+AD10+AD11</f>
        <v>930.88180821579078</v>
      </c>
    </row>
    <row r="13" spans="1:35" s="2" customFormat="1" x14ac:dyDescent="0.2">
      <c r="B13" s="2" t="s">
        <v>29</v>
      </c>
      <c r="C13" s="4"/>
      <c r="D13" s="4"/>
      <c r="E13" s="4">
        <v>1.3720000000000001</v>
      </c>
      <c r="F13" s="4">
        <v>1.3140000000000001</v>
      </c>
      <c r="G13" s="4">
        <v>1.3140000000000001</v>
      </c>
      <c r="H13" s="4">
        <v>1.4650000000000001</v>
      </c>
      <c r="I13" s="4">
        <v>1.254</v>
      </c>
      <c r="J13" s="4">
        <v>2.0539999999999998</v>
      </c>
      <c r="K13" s="4">
        <v>2.2690000000000001</v>
      </c>
      <c r="L13" s="4">
        <v>1.1459999999999999</v>
      </c>
      <c r="M13" s="4">
        <f>+L13</f>
        <v>1.1459999999999999</v>
      </c>
      <c r="N13" s="4">
        <f>+M13</f>
        <v>1.1459999999999999</v>
      </c>
      <c r="S13" s="2">
        <v>1.115</v>
      </c>
      <c r="T13" s="2">
        <v>-5.6029999999999998</v>
      </c>
      <c r="U13" s="2">
        <v>12.333</v>
      </c>
      <c r="V13" s="2">
        <v>2.6480000000000001</v>
      </c>
      <c r="W13" s="2">
        <f>SUM(G13:J13)</f>
        <v>6.0869999999999997</v>
      </c>
      <c r="X13" s="10">
        <f t="shared" si="26"/>
        <v>5.7069999999999999</v>
      </c>
      <c r="Y13" s="2">
        <f>+Y12*0.1</f>
        <v>33.036639279999953</v>
      </c>
      <c r="Z13" s="2">
        <f t="shared" ref="Z13:AD13" si="36">+Z12*0.1</f>
        <v>50.199176335999951</v>
      </c>
      <c r="AA13" s="2">
        <f t="shared" si="36"/>
        <v>72.016889723199881</v>
      </c>
      <c r="AB13" s="2">
        <f t="shared" si="36"/>
        <v>78.382838695519936</v>
      </c>
      <c r="AC13" s="2">
        <f t="shared" si="36"/>
        <v>85.38538256507195</v>
      </c>
      <c r="AD13" s="2">
        <f t="shared" si="36"/>
        <v>93.088180821579087</v>
      </c>
    </row>
    <row r="14" spans="1:35" x14ac:dyDescent="0.2">
      <c r="B14" t="s">
        <v>30</v>
      </c>
      <c r="E14" s="4">
        <f>+E12-E13</f>
        <v>-42.546000000000006</v>
      </c>
      <c r="F14" s="4">
        <f>+F12-F13</f>
        <v>-46.069000000000031</v>
      </c>
      <c r="G14" s="4">
        <f>+G12-G13</f>
        <v>-38.082000000000043</v>
      </c>
      <c r="H14" s="4">
        <f>+H12-H13</f>
        <v>-44.166999999999973</v>
      </c>
      <c r="I14" s="4">
        <f>+I12-I13</f>
        <v>-23.535000000000046</v>
      </c>
      <c r="J14" s="4">
        <f>+J12-J13</f>
        <v>-27.865000000000006</v>
      </c>
      <c r="K14" s="4">
        <f>+K12-K13</f>
        <v>-35.54300000000007</v>
      </c>
      <c r="L14" s="4">
        <f>+L12-L13</f>
        <v>-15.077999999999982</v>
      </c>
      <c r="M14" s="4">
        <f>+M12-M13</f>
        <v>24.775164000000011</v>
      </c>
      <c r="N14" s="4">
        <f>+N12-N13</f>
        <v>23.522423999999937</v>
      </c>
      <c r="S14" s="4">
        <f t="shared" ref="S14" si="37">+S12-S13</f>
        <v>-105.82799999999996</v>
      </c>
      <c r="T14" s="4">
        <f t="shared" ref="T14:X14" si="38">+T12-T13</f>
        <v>-119.54099999999998</v>
      </c>
      <c r="U14" s="4">
        <f t="shared" si="38"/>
        <v>-187.28099999999998</v>
      </c>
      <c r="V14" s="4">
        <f t="shared" si="38"/>
        <v>-193.38100000000009</v>
      </c>
      <c r="W14" s="4">
        <f t="shared" si="38"/>
        <v>-133.649</v>
      </c>
      <c r="X14" s="4">
        <f>+X12-X13+273</f>
        <v>270.67658799999981</v>
      </c>
      <c r="Y14" s="4">
        <f t="shared" ref="Y14:AD14" si="39">+Y12-Y13+273</f>
        <v>570.32975351999949</v>
      </c>
      <c r="Z14" s="4">
        <f t="shared" si="39"/>
        <v>724.79258702399954</v>
      </c>
      <c r="AA14" s="4">
        <f t="shared" si="39"/>
        <v>921.15200750879899</v>
      </c>
      <c r="AB14" s="4">
        <f t="shared" si="39"/>
        <v>978.44554825967941</v>
      </c>
      <c r="AC14" s="4">
        <f t="shared" si="39"/>
        <v>1041.4684430856473</v>
      </c>
      <c r="AD14" s="4">
        <f t="shared" si="39"/>
        <v>1110.7936273942119</v>
      </c>
    </row>
    <row r="15" spans="1:35" x14ac:dyDescent="0.2">
      <c r="B15" t="s">
        <v>31</v>
      </c>
      <c r="E15" s="6">
        <f>+E14/E16</f>
        <v>-0.13027343151964241</v>
      </c>
      <c r="F15" s="6">
        <f>+F14/F16</f>
        <v>-0.13943866169878547</v>
      </c>
      <c r="G15" s="6">
        <f>+G14/G16</f>
        <v>-0.11526412804300398</v>
      </c>
      <c r="H15" s="6">
        <f>+H14/H16</f>
        <v>-0.13291423034213359</v>
      </c>
      <c r="I15" s="6">
        <f>+I14/I16</f>
        <v>-7.0323845266624177E-2</v>
      </c>
      <c r="J15" s="6">
        <f>+J14/J16</f>
        <v>-8.2789130602713215E-2</v>
      </c>
      <c r="K15" s="6">
        <f>+K14/K16</f>
        <v>-0.10497573711615783</v>
      </c>
      <c r="L15" s="6">
        <f>+L14/L16</f>
        <v>-4.4262699325990411E-2</v>
      </c>
      <c r="M15" s="6">
        <f>+M14/M16</f>
        <v>7.2729515511613191E-2</v>
      </c>
      <c r="N15" s="6">
        <f>+N14/N16</f>
        <v>6.9051995021253421E-2</v>
      </c>
      <c r="S15" s="1">
        <f t="shared" ref="S15" si="40">+S14/S16</f>
        <v>-0.72333328776673511</v>
      </c>
      <c r="T15" s="1">
        <f>+T14/T16</f>
        <v>-0.39877040703997008</v>
      </c>
      <c r="U15" s="1">
        <f>+U14/U16</f>
        <v>-0.59964267532442572</v>
      </c>
      <c r="V15" s="1">
        <f>+V14/V16</f>
        <v>-0.59258975521861201</v>
      </c>
      <c r="W15" s="1">
        <f>+W14/W16</f>
        <v>-0.40055925863763875</v>
      </c>
      <c r="X15" s="1">
        <f>+X14/X16</f>
        <v>0.79579923955937604</v>
      </c>
      <c r="Y15" s="1">
        <f>+Y14/Y16</f>
        <v>1.6767906951350453</v>
      </c>
      <c r="Z15" s="1">
        <f t="shared" ref="Z15:AD15" si="41">+Z14/Z16</f>
        <v>2.1309171726073779</v>
      </c>
      <c r="AA15" s="1">
        <f t="shared" si="41"/>
        <v>2.7082211746148337</v>
      </c>
      <c r="AB15" s="1">
        <f t="shared" si="41"/>
        <v>2.8766663160956876</v>
      </c>
      <c r="AC15" s="1">
        <f t="shared" si="41"/>
        <v>3.0619559717246254</v>
      </c>
      <c r="AD15" s="1">
        <f t="shared" si="41"/>
        <v>3.2657745929164559</v>
      </c>
    </row>
    <row r="16" spans="1:35" s="2" customFormat="1" x14ac:dyDescent="0.2">
      <c r="B16" s="2" t="s">
        <v>1</v>
      </c>
      <c r="C16" s="4"/>
      <c r="D16" s="4"/>
      <c r="E16" s="4">
        <v>326.58999999999997</v>
      </c>
      <c r="F16" s="4">
        <v>330.38900000000001</v>
      </c>
      <c r="G16" s="4">
        <v>330.38900000000001</v>
      </c>
      <c r="H16" s="4">
        <v>332.29700000000003</v>
      </c>
      <c r="I16" s="4">
        <v>334.666</v>
      </c>
      <c r="J16" s="4">
        <v>336.57799999999997</v>
      </c>
      <c r="K16" s="4">
        <v>338.58300000000003</v>
      </c>
      <c r="L16" s="4">
        <v>340.64800000000002</v>
      </c>
      <c r="M16" s="4">
        <f>+L16</f>
        <v>340.64800000000002</v>
      </c>
      <c r="N16" s="4">
        <f>+M16</f>
        <v>340.64800000000002</v>
      </c>
      <c r="S16" s="2">
        <v>146.30600000000001</v>
      </c>
      <c r="T16" s="2">
        <v>299.774</v>
      </c>
      <c r="U16" s="2">
        <v>312.32100000000003</v>
      </c>
      <c r="V16" s="2">
        <v>326.33199999999999</v>
      </c>
      <c r="W16" s="2">
        <v>333.65600000000001</v>
      </c>
      <c r="X16" s="2">
        <f>AVERAGE(K16:N16)</f>
        <v>340.13175000000001</v>
      </c>
      <c r="Y16" s="2">
        <f>+X16</f>
        <v>340.13175000000001</v>
      </c>
      <c r="Z16" s="2">
        <f>+Y16</f>
        <v>340.13175000000001</v>
      </c>
      <c r="AA16" s="2">
        <f t="shared" ref="AA16:AD16" si="42">+Z16</f>
        <v>340.13175000000001</v>
      </c>
      <c r="AB16" s="2">
        <f t="shared" si="42"/>
        <v>340.13175000000001</v>
      </c>
      <c r="AC16" s="2">
        <f t="shared" si="42"/>
        <v>340.13175000000001</v>
      </c>
      <c r="AD16" s="2">
        <f t="shared" si="42"/>
        <v>340.13175000000001</v>
      </c>
    </row>
    <row r="18" spans="2:30" x14ac:dyDescent="0.2">
      <c r="B18" t="s">
        <v>36</v>
      </c>
      <c r="I18" s="7">
        <f>+I3/E3-1</f>
        <v>0.322015938106887</v>
      </c>
      <c r="J18" s="7">
        <f>+J3/F3-1</f>
        <v>0.31952311612668383</v>
      </c>
      <c r="K18" s="7">
        <f>+K3/G3-1</f>
        <v>0.30473679676057541</v>
      </c>
      <c r="L18" s="7">
        <f>+L3/H3-1</f>
        <v>0.29985024019916096</v>
      </c>
      <c r="M18" s="7">
        <f>+M3/I3-1</f>
        <v>0.30000000000000004</v>
      </c>
      <c r="N18" s="7">
        <f>+N3/J3-1</f>
        <v>0.30000000000000004</v>
      </c>
      <c r="T18" s="9">
        <f>+T3/S3-1</f>
        <v>0.50183261213426156</v>
      </c>
      <c r="U18" s="9">
        <f>+U3/T3-1</f>
        <v>0.52282170190159594</v>
      </c>
      <c r="V18" s="9">
        <f>+V3/U3-1</f>
        <v>0.48568307775743169</v>
      </c>
      <c r="W18" s="9">
        <f>+W3/V3-1</f>
        <v>0.32966620558405557</v>
      </c>
      <c r="X18" s="9">
        <f>+X3/W3-1</f>
        <v>0.30102433400552919</v>
      </c>
      <c r="Y18" s="9">
        <f t="shared" ref="Y18:AD18" si="43">+Y3/X3-1</f>
        <v>0.29999999999999982</v>
      </c>
      <c r="Z18" s="9">
        <f t="shared" si="43"/>
        <v>0.19999999999999996</v>
      </c>
      <c r="AA18" s="9">
        <f t="shared" si="43"/>
        <v>0.19999999999999996</v>
      </c>
      <c r="AB18" s="9">
        <f t="shared" si="43"/>
        <v>0.10000000000000009</v>
      </c>
      <c r="AC18" s="9">
        <f t="shared" si="43"/>
        <v>0.10000000000000009</v>
      </c>
      <c r="AD18" s="9">
        <f t="shared" si="43"/>
        <v>9.9999999999999867E-2</v>
      </c>
    </row>
    <row r="19" spans="2:30" x14ac:dyDescent="0.2">
      <c r="B19" t="s">
        <v>37</v>
      </c>
      <c r="I19" s="7">
        <f t="shared" ref="I19:N19" si="44">+I5/I3</f>
        <v>0.76737693048035915</v>
      </c>
      <c r="J19" s="7">
        <f t="shared" si="44"/>
        <v>0.7702366796975223</v>
      </c>
      <c r="K19" s="7">
        <f t="shared" si="44"/>
        <v>0.77538945911537704</v>
      </c>
      <c r="L19" s="7">
        <f t="shared" si="44"/>
        <v>0.7780252172091493</v>
      </c>
      <c r="M19" s="7">
        <f>+M5/M3</f>
        <v>0.7599999999999999</v>
      </c>
      <c r="N19" s="7">
        <f t="shared" ref="N19" si="45">+N5/N3</f>
        <v>0.76</v>
      </c>
      <c r="S19" s="9">
        <f t="shared" ref="S19:T19" si="46">+S5/S3</f>
        <v>0.77903087568200347</v>
      </c>
      <c r="T19" s="9">
        <f>+T5/T3</f>
        <v>0.76556573462101474</v>
      </c>
      <c r="U19" s="9">
        <f t="shared" ref="U19:X19" si="47">+U5/U3</f>
        <v>0.7758559228306009</v>
      </c>
      <c r="V19" s="9">
        <f t="shared" si="47"/>
        <v>0.76148459714060424</v>
      </c>
      <c r="W19" s="9">
        <f t="shared" si="47"/>
        <v>0.76324952091583154</v>
      </c>
      <c r="X19" s="9">
        <f t="shared" si="47"/>
        <v>0.76773786068469807</v>
      </c>
      <c r="Y19" s="9">
        <f t="shared" ref="Y19:AD19" si="48">+Y5/Y3</f>
        <v>0.77</v>
      </c>
      <c r="Z19" s="9">
        <f t="shared" si="48"/>
        <v>0.77</v>
      </c>
      <c r="AA19" s="9">
        <f t="shared" si="48"/>
        <v>0.77</v>
      </c>
      <c r="AB19" s="9">
        <f t="shared" si="48"/>
        <v>0.77</v>
      </c>
      <c r="AC19" s="9">
        <f t="shared" si="48"/>
        <v>0.77</v>
      </c>
      <c r="AD19" s="9">
        <f t="shared" si="48"/>
        <v>0.77</v>
      </c>
    </row>
    <row r="21" spans="2:30" s="2" customFormat="1" x14ac:dyDescent="0.2">
      <c r="B21" s="2" t="s">
        <v>32</v>
      </c>
      <c r="C21" s="4"/>
      <c r="D21" s="4"/>
      <c r="E21" s="4"/>
      <c r="F21" s="4"/>
      <c r="G21" s="4">
        <v>36.414000000000001</v>
      </c>
      <c r="H21" s="4">
        <f>100.865-G21</f>
        <v>64.450999999999993</v>
      </c>
      <c r="I21" s="4">
        <f>254.406-H21-G21-F21</f>
        <v>153.541</v>
      </c>
      <c r="J21" s="4">
        <f>254.406-I21-H21-G21</f>
        <v>0</v>
      </c>
      <c r="K21" s="4">
        <v>73.578999999999994</v>
      </c>
      <c r="L21" s="4">
        <f>148.394-K21</f>
        <v>74.815000000000012</v>
      </c>
      <c r="M21" s="4"/>
      <c r="N21" s="4"/>
      <c r="U21" s="2">
        <v>64.647999999999996</v>
      </c>
      <c r="V21" s="2">
        <v>123.595</v>
      </c>
      <c r="W21" s="2">
        <v>254.40600000000001</v>
      </c>
      <c r="X21" s="2">
        <f>+W21*2</f>
        <v>508.81200000000001</v>
      </c>
      <c r="Y21" s="2">
        <f>+X21*2</f>
        <v>1017.624</v>
      </c>
      <c r="Z21" s="2">
        <f>+Y21*1.3</f>
        <v>1322.9112</v>
      </c>
      <c r="AA21" s="2">
        <f>+Z21*1.3</f>
        <v>1719.7845600000001</v>
      </c>
      <c r="AB21" s="2">
        <f>+AA21*1.3</f>
        <v>2235.719928</v>
      </c>
      <c r="AC21" s="2">
        <f>+AB21*1.3</f>
        <v>2906.4359064</v>
      </c>
      <c r="AD21" s="2">
        <f>+AC21*1.3</f>
        <v>3778.3666783200001</v>
      </c>
    </row>
    <row r="22" spans="2:30" s="2" customFormat="1" x14ac:dyDescent="0.2">
      <c r="B22" s="2" t="s">
        <v>33</v>
      </c>
      <c r="C22" s="4"/>
      <c r="D22" s="4"/>
      <c r="E22" s="4"/>
      <c r="F22" s="4"/>
      <c r="G22" s="4">
        <v>17.541</v>
      </c>
      <c r="H22" s="4">
        <f>56.289-G22</f>
        <v>38.748000000000005</v>
      </c>
      <c r="I22" s="4">
        <f>114.396-H22-G22-F22</f>
        <v>58.106999999999999</v>
      </c>
      <c r="J22" s="4">
        <f>114.396-I22-H22-G22</f>
        <v>0</v>
      </c>
      <c r="K22" s="4">
        <v>32.055999999999997</v>
      </c>
      <c r="L22" s="4">
        <f>61.681-K22</f>
        <v>29.625</v>
      </c>
      <c r="M22" s="4"/>
      <c r="N22" s="4"/>
    </row>
    <row r="23" spans="2:30" s="2" customFormat="1" x14ac:dyDescent="0.2">
      <c r="B23" s="2" t="s">
        <v>34</v>
      </c>
      <c r="C23" s="4"/>
      <c r="D23" s="4"/>
      <c r="E23" s="4"/>
      <c r="F23" s="4"/>
      <c r="G23" s="4">
        <f>+G21-G22</f>
        <v>18.873000000000001</v>
      </c>
      <c r="H23" s="4">
        <f>+H21-H22</f>
        <v>25.702999999999989</v>
      </c>
      <c r="I23" s="4">
        <f>+I21-I22</f>
        <v>95.433999999999997</v>
      </c>
      <c r="J23" s="4">
        <f>+J21-J22</f>
        <v>0</v>
      </c>
      <c r="K23" s="4">
        <f>+K21-K22</f>
        <v>41.522999999999996</v>
      </c>
      <c r="L23" s="4">
        <f>+L21-L22</f>
        <v>45.190000000000012</v>
      </c>
      <c r="M23" s="4"/>
      <c r="N23" s="4"/>
    </row>
    <row r="25" spans="2:30" x14ac:dyDescent="0.2">
      <c r="B25" s="2" t="s">
        <v>38</v>
      </c>
      <c r="W25">
        <v>273989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2024-09-26T14:14:50Z</dcterms:created>
  <dcterms:modified xsi:type="dcterms:W3CDTF">2024-09-26T15:34:23Z</dcterms:modified>
</cp:coreProperties>
</file>