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22852E8-4F7B-4017-8758-C66F859B1BD9}" xr6:coauthVersionLast="47" xr6:coauthVersionMax="47" xr10:uidLastSave="{00000000-0000-0000-0000-000000000000}"/>
  <bookViews>
    <workbookView xWindow="-50820" yWindow="780" windowWidth="22125" windowHeight="15120" activeTab="1" xr2:uid="{1F39B899-BCCD-45D4-944D-9521F6C1B4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4" i="2" s="1"/>
  <c r="F16" i="2" s="1"/>
  <c r="J19" i="2"/>
  <c r="F7" i="2"/>
  <c r="F5" i="2"/>
  <c r="L19" i="2"/>
  <c r="K19" i="2"/>
  <c r="M19" i="2"/>
  <c r="J13" i="2"/>
  <c r="J7" i="2"/>
  <c r="G16" i="2"/>
  <c r="G14" i="2"/>
  <c r="G13" i="2"/>
  <c r="G7" i="2"/>
  <c r="G5" i="2"/>
  <c r="K13" i="2"/>
  <c r="K7" i="2"/>
  <c r="L13" i="2"/>
  <c r="H13" i="2"/>
  <c r="H14" i="2" s="1"/>
  <c r="H16" i="2" s="1"/>
  <c r="I11" i="2"/>
  <c r="H7" i="2"/>
  <c r="L7" i="2"/>
  <c r="H5" i="2"/>
  <c r="L21" i="2"/>
  <c r="M6" i="1"/>
  <c r="I13" i="2"/>
  <c r="M16" i="2"/>
  <c r="M14" i="2"/>
  <c r="M13" i="2"/>
  <c r="I5" i="2"/>
  <c r="I7" i="2" s="1"/>
  <c r="J5" i="2"/>
  <c r="L11" i="2"/>
  <c r="L12" i="2" s="1"/>
  <c r="K11" i="2"/>
  <c r="K12" i="2" s="1"/>
  <c r="K14" i="2" s="1"/>
  <c r="K16" i="2" s="1"/>
  <c r="J11" i="2"/>
  <c r="J12" i="2" s="1"/>
  <c r="H11" i="2"/>
  <c r="H12" i="2" s="1"/>
  <c r="G11" i="2"/>
  <c r="G12" i="2" s="1"/>
  <c r="F11" i="2"/>
  <c r="F12" i="2" s="1"/>
  <c r="E11" i="2"/>
  <c r="E12" i="2" s="1"/>
  <c r="D11" i="2"/>
  <c r="D12" i="2" s="1"/>
  <c r="C11" i="2"/>
  <c r="C12" i="2" s="1"/>
  <c r="M12" i="2"/>
  <c r="M11" i="2"/>
  <c r="M7" i="2"/>
  <c r="K3" i="2"/>
  <c r="K5" i="2" s="1"/>
  <c r="K4" i="2"/>
  <c r="N5" i="2"/>
  <c r="U4" i="2"/>
  <c r="M5" i="2"/>
  <c r="L5" i="2"/>
  <c r="M4" i="1"/>
  <c r="J14" i="2" l="1"/>
  <c r="J16" i="2" s="1"/>
  <c r="L14" i="2"/>
  <c r="L16" i="2" s="1"/>
  <c r="M7" i="1"/>
  <c r="I12" i="2"/>
  <c r="I14" i="2" s="1"/>
  <c r="I16" i="2" s="1"/>
  <c r="U3" i="2"/>
  <c r="U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tc={FE63A9D1-EA28-4BB6-A48B-5A1CEDAE3893}</author>
  </authors>
  <commentList>
    <comment ref="M3" authorId="0" shapeId="0" xr:uid="{FE63A9D1-EA28-4BB6-A48B-5A1CEDAE389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conversion of 62.4m shares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tc={D593BBF9-6197-47BA-9A52-4952C6DAD563}</author>
  </authors>
  <commentList>
    <comment ref="U5" authorId="0" shapeId="0" xr:uid="{D593BBF9-6197-47BA-9A52-4952C6DAD563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280-295m guidance</t>
      </text>
    </comment>
  </commentList>
</comments>
</file>

<file path=xl/sharedStrings.xml><?xml version="1.0" encoding="utf-8"?>
<sst xmlns="http://schemas.openxmlformats.org/spreadsheetml/2006/main" count="46" uniqueCount="43">
  <si>
    <t>Price</t>
  </si>
  <si>
    <t>Shares</t>
  </si>
  <si>
    <t>MC</t>
  </si>
  <si>
    <t>Cash</t>
  </si>
  <si>
    <t>Debt</t>
  </si>
  <si>
    <t>EV</t>
  </si>
  <si>
    <t>Name</t>
  </si>
  <si>
    <t>Ruconest</t>
  </si>
  <si>
    <t>Joenja (leniolisib)</t>
  </si>
  <si>
    <t>Ruconest (conestat)</t>
  </si>
  <si>
    <t>Indication</t>
  </si>
  <si>
    <t>HAE</t>
  </si>
  <si>
    <t>APDS</t>
  </si>
  <si>
    <t>Main</t>
  </si>
  <si>
    <t>Joenja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</si>
  <si>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</si>
  <si>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</si>
  <si>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</si>
  <si>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</si>
  <si>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</si>
  <si>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</si>
  <si>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</si>
  <si>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</si>
  <si>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</si>
  <si>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</si>
  <si>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</si>
  <si>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</si>
  <si>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</si>
  <si>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CEO: Sijmen de Vries</t>
  </si>
  <si>
    <t>Operating Income</t>
  </si>
  <si>
    <t>Operating Expenses</t>
  </si>
  <si>
    <t>COGS</t>
  </si>
  <si>
    <t>Gross Profit</t>
  </si>
  <si>
    <t>S&amp;M</t>
  </si>
  <si>
    <t>G&amp;A</t>
  </si>
  <si>
    <t>R&amp;D</t>
  </si>
  <si>
    <t>Net Income</t>
  </si>
  <si>
    <t>Taxes</t>
  </si>
  <si>
    <t>Pretax Income</t>
  </si>
  <si>
    <t>Interest Income</t>
  </si>
  <si>
    <t>CFFO</t>
  </si>
  <si>
    <t>$USD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</si>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</sst>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2F0C33A-4358-4C7B-B997-A96C825081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185EF72-4A3A-427A-A3B9-3EC57267879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11-12T17:01:33.56" personId="{7185EF72-4A3A-427A-A3B9-3EC57267879F}" id="{FE63A9D1-EA28-4BB6-A48B-5A1CEDAE3893}">
    <text>assuming conversion of 62.4m shares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5" dT="2024-11-12T16:46:00.73" personId="{7185EF72-4A3A-427A-A3B9-3EC57267879F}" id="{D593BBF9-6197-47BA-9A52-4952C6DAD563}">
    <text>Q224: 280-295m guidance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4DC2-CF17-4B3B-B50C-E6A887B03323}">
  <dimension ref="B2:N10"/>
  <sheetViews>
    <sheetView zoomScale="145" zoomScaleNormal="145" workbookViewId="0">
      <selection activeCell="M5" sqref="M5"/>
    </sheetView>
  </sheetViews>
  <sheetFormatPr defaultRowHeight="12.75" x14ac:dyDescent="0.2"/>
  <cols>
    <col min="1" max="1" width="1.7109375" customWidth="1"/>
    <col min="2" max="2" width="18" bestFit="1" customWidth="1"/>
  </cols>
  <sheetData>
    <row r="2" spans="2:14" x14ac:dyDescent="0.2">
      <c r="B2" s="7" t="s">
        <v>6</v>
      </c>
      <c r="C2" s="8" t="s">
        <v>10</v>
      </c>
      <c r="D2" s="8"/>
      <c r="E2" s="8"/>
      <c r="F2" s="8"/>
      <c r="G2" s="8"/>
      <c r="H2" s="8"/>
      <c r="I2" s="8"/>
      <c r="J2" s="9"/>
      <c r="L2" t="s">
        <v>0</v>
      </c>
      <c r="M2" s="1">
        <v>8</v>
      </c>
    </row>
    <row r="3" spans="2:14" x14ac:dyDescent="0.2">
      <c r="B3" s="2" t="s">
        <v>9</v>
      </c>
      <c r="C3" t="s">
        <v>11</v>
      </c>
      <c r="J3" s="3"/>
      <c r="L3" t="s">
        <v>1</v>
      </c>
      <c r="M3" s="11">
        <v>785.51099999999997</v>
      </c>
      <c r="N3" s="10" t="s">
        <v>24</v>
      </c>
    </row>
    <row r="4" spans="2:14" x14ac:dyDescent="0.2">
      <c r="B4" s="2" t="s">
        <v>8</v>
      </c>
      <c r="C4" t="s">
        <v>12</v>
      </c>
      <c r="J4" s="3"/>
      <c r="L4" t="s">
        <v>2</v>
      </c>
      <c r="M4" s="11">
        <f>+M2*M3/10</f>
        <v>628.40879999999993</v>
      </c>
      <c r="N4" s="10"/>
    </row>
    <row r="5" spans="2:14" x14ac:dyDescent="0.2">
      <c r="B5" s="2"/>
      <c r="J5" s="3"/>
      <c r="L5" t="s">
        <v>3</v>
      </c>
      <c r="M5" s="11">
        <v>173.3</v>
      </c>
      <c r="N5" s="10" t="s">
        <v>25</v>
      </c>
    </row>
    <row r="6" spans="2:14" x14ac:dyDescent="0.2">
      <c r="B6" s="2"/>
      <c r="J6" s="3"/>
      <c r="L6" t="s">
        <v>4</v>
      </c>
      <c r="M6" s="11">
        <f>92.099+3.319</f>
        <v>95.418000000000006</v>
      </c>
      <c r="N6" s="10" t="s">
        <v>25</v>
      </c>
    </row>
    <row r="7" spans="2:14" x14ac:dyDescent="0.2">
      <c r="B7" s="2"/>
      <c r="J7" s="3"/>
      <c r="L7" t="s">
        <v>5</v>
      </c>
      <c r="M7" s="11">
        <f>+M4-M5+M6</f>
        <v>550.52679999999987</v>
      </c>
    </row>
    <row r="8" spans="2:14" x14ac:dyDescent="0.2">
      <c r="B8" s="4"/>
      <c r="C8" s="5"/>
      <c r="D8" s="5"/>
      <c r="E8" s="5"/>
      <c r="F8" s="5"/>
      <c r="G8" s="5"/>
      <c r="H8" s="5"/>
      <c r="I8" s="5"/>
      <c r="J8" s="6"/>
    </row>
    <row r="10" spans="2:14" x14ac:dyDescent="0.2">
      <c r="L10" t="s">
        <v>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7877-43DE-4D20-9D9E-BB366D1DE553}">
  <dimension ref="A1:U21"/>
  <sheetViews>
    <sheetView tabSelected="1" zoomScale="160" zoomScaleNormal="16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J1" sqref="J1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10"/>
  </cols>
  <sheetData>
    <row r="1" spans="1:21" x14ac:dyDescent="0.2">
      <c r="A1" t="s">
        <v>13</v>
      </c>
    </row>
    <row r="2" spans="1:21" x14ac:dyDescent="0.2">
      <c r="B2" t="s">
        <v>41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0" t="s">
        <v>25</v>
      </c>
      <c r="N2" s="10" t="s">
        <v>26</v>
      </c>
      <c r="U2">
        <v>2024</v>
      </c>
    </row>
    <row r="3" spans="1:21" s="14" customFormat="1" x14ac:dyDescent="0.2">
      <c r="B3" s="14" t="s">
        <v>14</v>
      </c>
      <c r="C3" s="15"/>
      <c r="D3" s="15"/>
      <c r="E3" s="15"/>
      <c r="F3" s="15">
        <v>0</v>
      </c>
      <c r="G3" s="15">
        <v>0</v>
      </c>
      <c r="H3" s="15">
        <v>3.8</v>
      </c>
      <c r="I3" s="15">
        <v>6.5</v>
      </c>
      <c r="J3" s="15">
        <v>7.9</v>
      </c>
      <c r="K3" s="15">
        <f>31.9-L3-M3</f>
        <v>9.5999999999999979</v>
      </c>
      <c r="L3" s="15">
        <v>11.1</v>
      </c>
      <c r="M3" s="15">
        <v>11.2</v>
      </c>
      <c r="N3" s="15"/>
      <c r="U3" s="14">
        <f>SUM(K3:N3)</f>
        <v>31.899999999999995</v>
      </c>
    </row>
    <row r="4" spans="1:21" s="14" customFormat="1" x14ac:dyDescent="0.2">
      <c r="B4" s="14" t="s">
        <v>7</v>
      </c>
      <c r="C4" s="15"/>
      <c r="D4" s="15"/>
      <c r="E4" s="15"/>
      <c r="F4" s="15">
        <v>54.6</v>
      </c>
      <c r="G4" s="15">
        <v>42.5</v>
      </c>
      <c r="H4" s="15">
        <v>51.1</v>
      </c>
      <c r="I4" s="15">
        <v>60.2</v>
      </c>
      <c r="J4" s="15">
        <v>73.3</v>
      </c>
      <c r="K4" s="15">
        <f>172.6-L4-M4</f>
        <v>45.999999999999993</v>
      </c>
      <c r="L4" s="15">
        <v>63</v>
      </c>
      <c r="M4" s="15">
        <v>63.6</v>
      </c>
      <c r="N4" s="15"/>
      <c r="U4" s="14">
        <f>SUM(K4:N4)</f>
        <v>172.6</v>
      </c>
    </row>
    <row r="5" spans="1:21" s="16" customFormat="1" x14ac:dyDescent="0.2">
      <c r="B5" s="16" t="s">
        <v>27</v>
      </c>
      <c r="C5" s="17"/>
      <c r="D5" s="17"/>
      <c r="E5" s="17"/>
      <c r="F5" s="17">
        <f>+F3+F4</f>
        <v>54.6</v>
      </c>
      <c r="G5" s="17">
        <f>+G3+G4</f>
        <v>42.5</v>
      </c>
      <c r="H5" s="17">
        <f>+H3+H4</f>
        <v>54.9</v>
      </c>
      <c r="I5" s="17">
        <f>+I3+I4</f>
        <v>66.7</v>
      </c>
      <c r="J5" s="17">
        <f>+J3+J4</f>
        <v>81.2</v>
      </c>
      <c r="K5" s="17">
        <f>+K3+K4</f>
        <v>55.599999999999994</v>
      </c>
      <c r="L5" s="17">
        <f>+L3+L4</f>
        <v>74.099999999999994</v>
      </c>
      <c r="M5" s="17">
        <f>+M3+M4</f>
        <v>74.8</v>
      </c>
      <c r="N5" s="17">
        <f>+N3+N4</f>
        <v>0</v>
      </c>
      <c r="U5" s="16">
        <f>+U4+U3</f>
        <v>204.5</v>
      </c>
    </row>
    <row r="6" spans="1:21" s="14" customFormat="1" x14ac:dyDescent="0.2">
      <c r="B6" s="14" t="s">
        <v>31</v>
      </c>
      <c r="C6" s="15"/>
      <c r="D6" s="15"/>
      <c r="E6" s="15"/>
      <c r="F6" s="15">
        <v>6.3</v>
      </c>
      <c r="G6" s="15">
        <v>4</v>
      </c>
      <c r="H6" s="15">
        <v>5.7</v>
      </c>
      <c r="I6" s="15">
        <v>8.3000000000000007</v>
      </c>
      <c r="J6" s="15">
        <v>7.1</v>
      </c>
      <c r="K6" s="15">
        <v>8.4</v>
      </c>
      <c r="L6" s="15">
        <v>8</v>
      </c>
      <c r="M6" s="15">
        <v>6.8</v>
      </c>
      <c r="N6" s="15"/>
    </row>
    <row r="7" spans="1:21" s="14" customFormat="1" x14ac:dyDescent="0.2">
      <c r="B7" s="14" t="s">
        <v>32</v>
      </c>
      <c r="C7" s="15"/>
      <c r="D7" s="15"/>
      <c r="E7" s="15"/>
      <c r="F7" s="15">
        <f>+F5-F6</f>
        <v>48.300000000000004</v>
      </c>
      <c r="G7" s="15">
        <f>+G5-G6</f>
        <v>38.5</v>
      </c>
      <c r="H7" s="15">
        <f>+H5-H6</f>
        <v>49.199999999999996</v>
      </c>
      <c r="I7" s="15">
        <f>+I5-I6</f>
        <v>58.400000000000006</v>
      </c>
      <c r="J7" s="15">
        <f>+J5-J6</f>
        <v>74.100000000000009</v>
      </c>
      <c r="K7" s="15">
        <f>+K5-K6</f>
        <v>47.199999999999996</v>
      </c>
      <c r="L7" s="15">
        <f>+L5-L6</f>
        <v>66.099999999999994</v>
      </c>
      <c r="M7" s="15">
        <f>+M5-M6</f>
        <v>68</v>
      </c>
      <c r="N7" s="15"/>
    </row>
    <row r="8" spans="1:21" s="14" customFormat="1" x14ac:dyDescent="0.2">
      <c r="B8" s="14" t="s">
        <v>35</v>
      </c>
      <c r="C8" s="15"/>
      <c r="D8" s="15"/>
      <c r="E8" s="15"/>
      <c r="F8" s="15">
        <v>10.9</v>
      </c>
      <c r="G8" s="15">
        <v>15.6</v>
      </c>
      <c r="H8" s="15">
        <v>20.9</v>
      </c>
      <c r="I8" s="15">
        <v>20.8</v>
      </c>
      <c r="J8" s="15">
        <v>11.6</v>
      </c>
      <c r="K8" s="15">
        <v>18.5</v>
      </c>
      <c r="L8" s="15">
        <v>21.6</v>
      </c>
      <c r="M8" s="15">
        <v>20.7</v>
      </c>
      <c r="N8" s="15"/>
    </row>
    <row r="9" spans="1:21" s="14" customFormat="1" x14ac:dyDescent="0.2">
      <c r="B9" s="14" t="s">
        <v>34</v>
      </c>
      <c r="C9" s="15"/>
      <c r="D9" s="15"/>
      <c r="E9" s="15"/>
      <c r="F9" s="15">
        <v>17.600000000000001</v>
      </c>
      <c r="G9" s="15">
        <v>10.1</v>
      </c>
      <c r="H9" s="15">
        <v>11</v>
      </c>
      <c r="I9" s="15">
        <v>10.9</v>
      </c>
      <c r="J9" s="15">
        <v>24</v>
      </c>
      <c r="K9" s="15">
        <v>15.1</v>
      </c>
      <c r="L9" s="15">
        <v>15.6</v>
      </c>
      <c r="M9" s="15">
        <v>15.3</v>
      </c>
      <c r="N9" s="15"/>
    </row>
    <row r="10" spans="1:21" s="14" customFormat="1" x14ac:dyDescent="0.2">
      <c r="B10" s="14" t="s">
        <v>33</v>
      </c>
      <c r="C10" s="15"/>
      <c r="D10" s="15"/>
      <c r="E10" s="15"/>
      <c r="F10" s="15">
        <v>29</v>
      </c>
      <c r="G10" s="15">
        <v>27.1</v>
      </c>
      <c r="H10" s="15">
        <v>33.9</v>
      </c>
      <c r="I10" s="15">
        <v>25.1</v>
      </c>
      <c r="J10" s="15">
        <v>37.9</v>
      </c>
      <c r="K10" s="15">
        <v>30.2</v>
      </c>
      <c r="L10" s="15">
        <v>32.9</v>
      </c>
      <c r="M10" s="15">
        <v>28.7</v>
      </c>
      <c r="N10" s="15"/>
    </row>
    <row r="11" spans="1:21" s="14" customFormat="1" x14ac:dyDescent="0.2">
      <c r="B11" s="14" t="s">
        <v>30</v>
      </c>
      <c r="C11" s="15">
        <f t="shared" ref="C11:L11" si="0">SUM(C8:C10)</f>
        <v>0</v>
      </c>
      <c r="D11" s="15">
        <f t="shared" si="0"/>
        <v>0</v>
      </c>
      <c r="E11" s="15">
        <f t="shared" si="0"/>
        <v>0</v>
      </c>
      <c r="F11" s="15">
        <f t="shared" si="0"/>
        <v>57.5</v>
      </c>
      <c r="G11" s="15">
        <f t="shared" si="0"/>
        <v>52.8</v>
      </c>
      <c r="H11" s="15">
        <f t="shared" si="0"/>
        <v>65.8</v>
      </c>
      <c r="I11" s="15">
        <f>SUM(I8:I10)</f>
        <v>56.800000000000004</v>
      </c>
      <c r="J11" s="15">
        <f t="shared" si="0"/>
        <v>73.5</v>
      </c>
      <c r="K11" s="15">
        <f t="shared" si="0"/>
        <v>63.8</v>
      </c>
      <c r="L11" s="15">
        <f t="shared" si="0"/>
        <v>70.099999999999994</v>
      </c>
      <c r="M11" s="15">
        <f>SUM(M8:M10)</f>
        <v>64.7</v>
      </c>
      <c r="N11" s="15"/>
    </row>
    <row r="12" spans="1:21" x14ac:dyDescent="0.2">
      <c r="B12" t="s">
        <v>29</v>
      </c>
      <c r="C12" s="15">
        <f t="shared" ref="C12:L12" si="1">C7-C11</f>
        <v>0</v>
      </c>
      <c r="D12" s="15">
        <f t="shared" si="1"/>
        <v>0</v>
      </c>
      <c r="E12" s="15">
        <f t="shared" si="1"/>
        <v>0</v>
      </c>
      <c r="F12" s="15">
        <f t="shared" si="1"/>
        <v>-9.1999999999999957</v>
      </c>
      <c r="G12" s="15">
        <f t="shared" si="1"/>
        <v>-14.299999999999997</v>
      </c>
      <c r="H12" s="15">
        <f t="shared" si="1"/>
        <v>-16.600000000000001</v>
      </c>
      <c r="I12" s="15">
        <f t="shared" si="1"/>
        <v>1.6000000000000014</v>
      </c>
      <c r="J12" s="15">
        <f t="shared" si="1"/>
        <v>0.60000000000000853</v>
      </c>
      <c r="K12" s="15">
        <f t="shared" si="1"/>
        <v>-16.600000000000001</v>
      </c>
      <c r="L12" s="15">
        <f t="shared" si="1"/>
        <v>-4</v>
      </c>
      <c r="M12" s="15">
        <f>M7-M11</f>
        <v>3.2999999999999972</v>
      </c>
    </row>
    <row r="13" spans="1:21" x14ac:dyDescent="0.2">
      <c r="B13" s="14" t="s">
        <v>39</v>
      </c>
      <c r="F13" s="10">
        <f>-1.1-4.5-1.5-0.4</f>
        <v>-7.5</v>
      </c>
      <c r="G13" s="10">
        <f>0.1-2.8-0.3+0.6</f>
        <v>-2.3999999999999995</v>
      </c>
      <c r="H13" s="15">
        <f>0.7-2.5-0.1+21.9</f>
        <v>20</v>
      </c>
      <c r="I13" s="10">
        <f>0.3+1.4</f>
        <v>1.7</v>
      </c>
      <c r="J13" s="10">
        <f>0.5+1.6-4.5+0.7</f>
        <v>-1.7</v>
      </c>
      <c r="K13" s="15">
        <f>1.8-1.6-0.5+0.3</f>
        <v>0</v>
      </c>
      <c r="L13" s="10">
        <f>0.9+1.2-2.9-0.4</f>
        <v>-1.1999999999999997</v>
      </c>
      <c r="M13" s="10">
        <f>0.8-2.6</f>
        <v>-1.8</v>
      </c>
    </row>
    <row r="14" spans="1:21" x14ac:dyDescent="0.2">
      <c r="B14" s="14" t="s">
        <v>38</v>
      </c>
      <c r="F14" s="15">
        <f t="shared" ref="F14:L14" si="2">+F12+F13</f>
        <v>-16.699999999999996</v>
      </c>
      <c r="G14" s="15">
        <f t="shared" si="2"/>
        <v>-16.699999999999996</v>
      </c>
      <c r="H14" s="15">
        <f t="shared" si="2"/>
        <v>3.3999999999999986</v>
      </c>
      <c r="I14" s="15">
        <f t="shared" si="2"/>
        <v>3.3000000000000016</v>
      </c>
      <c r="J14" s="15">
        <f t="shared" si="2"/>
        <v>-1.0999999999999914</v>
      </c>
      <c r="K14" s="15">
        <f t="shared" si="2"/>
        <v>-16.600000000000001</v>
      </c>
      <c r="L14" s="15">
        <f t="shared" si="2"/>
        <v>-5.1999999999999993</v>
      </c>
      <c r="M14" s="15">
        <f>+M12+M13</f>
        <v>1.4999999999999971</v>
      </c>
    </row>
    <row r="15" spans="1:21" x14ac:dyDescent="0.2">
      <c r="B15" t="s">
        <v>37</v>
      </c>
      <c r="F15" s="10">
        <v>-3.5</v>
      </c>
      <c r="G15" s="10">
        <v>-4.5</v>
      </c>
      <c r="H15" s="10">
        <v>2.1</v>
      </c>
      <c r="I15" s="10">
        <v>-0.2</v>
      </c>
      <c r="J15" s="10">
        <v>0.7</v>
      </c>
      <c r="K15" s="10">
        <v>-4.2</v>
      </c>
      <c r="L15" s="10">
        <v>1.1000000000000001</v>
      </c>
      <c r="M15" s="10">
        <v>2.5</v>
      </c>
    </row>
    <row r="16" spans="1:21" x14ac:dyDescent="0.2">
      <c r="B16" t="s">
        <v>36</v>
      </c>
      <c r="F16" s="15">
        <f t="shared" ref="F16:L16" si="3">+F14-F15</f>
        <v>-13.199999999999996</v>
      </c>
      <c r="G16" s="15">
        <f t="shared" si="3"/>
        <v>-12.199999999999996</v>
      </c>
      <c r="H16" s="15">
        <f t="shared" si="3"/>
        <v>1.2999999999999985</v>
      </c>
      <c r="I16" s="15">
        <f t="shared" si="3"/>
        <v>3.5000000000000018</v>
      </c>
      <c r="J16" s="15">
        <f t="shared" si="3"/>
        <v>-1.7999999999999914</v>
      </c>
      <c r="K16" s="15">
        <f t="shared" si="3"/>
        <v>-12.400000000000002</v>
      </c>
      <c r="L16" s="15">
        <f t="shared" si="3"/>
        <v>-6.2999999999999989</v>
      </c>
      <c r="M16" s="15">
        <f>+M14-M15</f>
        <v>-1.0000000000000029</v>
      </c>
    </row>
    <row r="17" spans="2:14" x14ac:dyDescent="0.2">
      <c r="L17" s="15"/>
    </row>
    <row r="19" spans="2:14" s="12" customFormat="1" x14ac:dyDescent="0.2">
      <c r="B19" s="12" t="s">
        <v>42</v>
      </c>
      <c r="C19" s="13"/>
      <c r="D19" s="13"/>
      <c r="E19" s="13"/>
      <c r="F19" s="13"/>
      <c r="G19" s="13"/>
      <c r="H19" s="13"/>
      <c r="I19" s="13"/>
      <c r="J19" s="18">
        <f t="shared" ref="J19:L19" si="4">+J5/F5-1</f>
        <v>0.48717948717948723</v>
      </c>
      <c r="K19" s="18">
        <f t="shared" si="4"/>
        <v>0.30823529411764694</v>
      </c>
      <c r="L19" s="18">
        <f t="shared" si="4"/>
        <v>0.3497267759562841</v>
      </c>
      <c r="M19" s="18">
        <f>+M5/I5-1</f>
        <v>0.1214392803598201</v>
      </c>
      <c r="N19" s="13"/>
    </row>
    <row r="21" spans="2:14" s="14" customFormat="1" x14ac:dyDescent="0.2">
      <c r="B21" s="14" t="s">
        <v>40</v>
      </c>
      <c r="C21" s="15"/>
      <c r="D21" s="15"/>
      <c r="E21" s="15"/>
      <c r="F21" s="15"/>
      <c r="G21" s="15"/>
      <c r="H21" s="15"/>
      <c r="I21" s="15"/>
      <c r="J21" s="15"/>
      <c r="K21" s="15">
        <v>-7.6470000000000002</v>
      </c>
      <c r="L21" s="15">
        <f>-20.868-K21</f>
        <v>-13.220999999999998</v>
      </c>
      <c r="M21" s="15">
        <v>9.7420000000000009</v>
      </c>
      <c r="N21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2024-10-17T18:09:59Z</dcterms:created>
  <dcterms:modified xsi:type="dcterms:W3CDTF">2024-11-12T18:22:43Z</dcterms:modified>
</cp:coreProperties>
</file>