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28AE2456-B0BF-3749-9CA6-BC6071E2FA47}" xr6:coauthVersionLast="47" xr6:coauthVersionMax="47" xr10:uidLastSave="{00000000-0000-0000-0000-000000000000}"/>
  <bookViews>
    <workbookView xWindow="10800" yWindow="820" windowWidth="23500" windowHeight="20420" activeTab="1" xr2:uid="{A778BC9B-7EBE-5B45-8488-3EB01E2EBBFC}"/>
  </bookViews>
  <sheets>
    <sheet name="Main" sheetId="1" r:id="rId1"/>
    <sheet name="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0" i="2" l="1"/>
  <c r="AH20" i="2"/>
  <c r="AG20" i="2"/>
  <c r="AF20" i="2"/>
  <c r="AE20" i="2"/>
  <c r="AD20" i="2"/>
  <c r="AC20" i="2"/>
  <c r="AB20" i="2"/>
  <c r="AA20" i="2"/>
  <c r="Z20" i="2"/>
  <c r="Y20" i="2"/>
  <c r="AI14" i="2"/>
  <c r="AH14" i="2"/>
  <c r="AG14" i="2"/>
  <c r="AF14" i="2"/>
  <c r="AE14" i="2"/>
  <c r="AD14" i="2"/>
  <c r="AC14" i="2"/>
  <c r="AB14" i="2"/>
  <c r="AA14" i="2"/>
  <c r="Z14" i="2"/>
  <c r="AC5" i="2"/>
  <c r="AA5" i="2"/>
  <c r="AA19" i="2"/>
  <c r="Z19" i="2"/>
  <c r="Y19" i="2"/>
  <c r="AA7" i="2"/>
  <c r="Z7" i="2"/>
  <c r="Y7" i="2"/>
  <c r="Y8" i="2"/>
  <c r="Y10" i="2" s="1"/>
  <c r="Y11" i="2" s="1"/>
  <c r="Y13" i="2" s="1"/>
  <c r="Y15" i="2" s="1"/>
  <c r="Y16" i="2" s="1"/>
  <c r="AI9" i="2"/>
  <c r="AH9" i="2"/>
  <c r="AG9" i="2"/>
  <c r="AF9" i="2"/>
  <c r="AE9" i="2"/>
  <c r="AD9" i="2"/>
  <c r="AC9" i="2"/>
  <c r="AB9" i="2"/>
  <c r="AA9" i="2"/>
  <c r="Z9" i="2"/>
  <c r="Y9" i="2"/>
  <c r="Z17" i="2"/>
  <c r="Y17" i="2"/>
  <c r="X17" i="2"/>
  <c r="X13" i="2"/>
  <c r="X15" i="2" s="1"/>
  <c r="X16" i="2" s="1"/>
  <c r="X10" i="2"/>
  <c r="X11" i="2" s="1"/>
  <c r="X20" i="2"/>
  <c r="X7" i="2"/>
  <c r="X6" i="2"/>
  <c r="AI2" i="2"/>
  <c r="AH2" i="2"/>
  <c r="AG2" i="2"/>
  <c r="AF2" i="2"/>
  <c r="AE2" i="2"/>
  <c r="AD2" i="2"/>
  <c r="AC2" i="2"/>
  <c r="AB2" i="2"/>
  <c r="AB5" i="2"/>
  <c r="X5" i="2"/>
  <c r="Y5" i="2"/>
  <c r="Z5" i="2"/>
  <c r="AA2" i="2"/>
  <c r="Z2" i="2"/>
  <c r="Y2" i="2"/>
  <c r="V20" i="2"/>
  <c r="U20" i="2"/>
  <c r="T20" i="2"/>
  <c r="S20" i="2"/>
  <c r="V19" i="2"/>
  <c r="U19" i="2"/>
  <c r="T19" i="2"/>
  <c r="S19" i="2"/>
  <c r="V15" i="2"/>
  <c r="V16" i="2" s="1"/>
  <c r="U15" i="2"/>
  <c r="U16" i="2" s="1"/>
  <c r="T15" i="2"/>
  <c r="T16" i="2" s="1"/>
  <c r="S15" i="2"/>
  <c r="S16" i="2" s="1"/>
  <c r="V13" i="2"/>
  <c r="U13" i="2"/>
  <c r="T13" i="2"/>
  <c r="S13" i="2"/>
  <c r="V10" i="2"/>
  <c r="V11" i="2" s="1"/>
  <c r="U10" i="2"/>
  <c r="U11" i="2" s="1"/>
  <c r="T10" i="2"/>
  <c r="T11" i="2" s="1"/>
  <c r="S10" i="2"/>
  <c r="S11" i="2" s="1"/>
  <c r="V7" i="2"/>
  <c r="U7" i="2"/>
  <c r="T7" i="2"/>
  <c r="S7" i="2"/>
  <c r="V5" i="2"/>
  <c r="U5" i="2"/>
  <c r="T5" i="2"/>
  <c r="S5" i="2"/>
  <c r="R7" i="2"/>
  <c r="Q7" i="2"/>
  <c r="Q20" i="2" s="1"/>
  <c r="P7" i="2"/>
  <c r="P20" i="2" s="1"/>
  <c r="O7" i="2"/>
  <c r="O20" i="2" s="1"/>
  <c r="R5" i="2"/>
  <c r="Q5" i="2"/>
  <c r="Q19" i="2" s="1"/>
  <c r="P5" i="2"/>
  <c r="P19" i="2" s="1"/>
  <c r="O5" i="2"/>
  <c r="O19" i="2" s="1"/>
  <c r="R19" i="2"/>
  <c r="P11" i="2"/>
  <c r="P13" i="2" s="1"/>
  <c r="P15" i="2" s="1"/>
  <c r="P16" i="2" s="1"/>
  <c r="R10" i="2"/>
  <c r="Q10" i="2"/>
  <c r="P10" i="2"/>
  <c r="O10" i="2"/>
  <c r="R20" i="2"/>
  <c r="N20" i="2"/>
  <c r="G20" i="2"/>
  <c r="K20" i="2"/>
  <c r="K16" i="2"/>
  <c r="J16" i="2"/>
  <c r="G16" i="2"/>
  <c r="G15" i="2"/>
  <c r="K15" i="2"/>
  <c r="J15" i="2"/>
  <c r="G13" i="2"/>
  <c r="J13" i="2"/>
  <c r="K13" i="2"/>
  <c r="G10" i="2"/>
  <c r="G11" i="2" s="1"/>
  <c r="J10" i="2"/>
  <c r="J11" i="2" s="1"/>
  <c r="I10" i="2"/>
  <c r="I11" i="2" s="1"/>
  <c r="K10" i="2"/>
  <c r="K11" i="2" s="1"/>
  <c r="K7" i="2"/>
  <c r="K19" i="2"/>
  <c r="N7" i="2"/>
  <c r="N6" i="2" s="1"/>
  <c r="L7" i="1"/>
  <c r="L6" i="1"/>
  <c r="N19" i="2"/>
  <c r="N10" i="2"/>
  <c r="I12" i="2"/>
  <c r="I7" i="2"/>
  <c r="I20" i="2" s="1"/>
  <c r="M19" i="2"/>
  <c r="M12" i="2"/>
  <c r="M7" i="2"/>
  <c r="M20" i="2" s="1"/>
  <c r="M10" i="2"/>
  <c r="M11" i="2" s="1"/>
  <c r="L19" i="2"/>
  <c r="H12" i="2"/>
  <c r="H10" i="2"/>
  <c r="H7" i="2"/>
  <c r="H20" i="2" s="1"/>
  <c r="L12" i="2"/>
  <c r="L10" i="2"/>
  <c r="L7" i="2"/>
  <c r="L20" i="2" s="1"/>
  <c r="L5" i="1"/>
  <c r="L4" i="1"/>
  <c r="AB7" i="2" l="1"/>
  <c r="AB19" i="2"/>
  <c r="AC7" i="2"/>
  <c r="AC19" i="2"/>
  <c r="AD5" i="2"/>
  <c r="Z8" i="2"/>
  <c r="AA17" i="2"/>
  <c r="O11" i="2"/>
  <c r="O13" i="2" s="1"/>
  <c r="O15" i="2" s="1"/>
  <c r="O16" i="2" s="1"/>
  <c r="Q11" i="2"/>
  <c r="Q13" i="2" s="1"/>
  <c r="Q15" i="2" s="1"/>
  <c r="Q16" i="2" s="1"/>
  <c r="R11" i="2"/>
  <c r="R13" i="2" s="1"/>
  <c r="R15" i="2" s="1"/>
  <c r="R16" i="2" s="1"/>
  <c r="N11" i="2"/>
  <c r="N13" i="2" s="1"/>
  <c r="N15" i="2" s="1"/>
  <c r="N16" i="2" s="1"/>
  <c r="I13" i="2"/>
  <c r="I15" i="2" s="1"/>
  <c r="I16" i="2" s="1"/>
  <c r="M13" i="2"/>
  <c r="M15" i="2" s="1"/>
  <c r="M16" i="2" s="1"/>
  <c r="L11" i="2"/>
  <c r="L13" i="2" s="1"/>
  <c r="L15" i="2" s="1"/>
  <c r="L16" i="2" s="1"/>
  <c r="H11" i="2"/>
  <c r="H13" i="2" s="1"/>
  <c r="H15" i="2" s="1"/>
  <c r="H16" i="2" s="1"/>
  <c r="AD7" i="2" l="1"/>
  <c r="AD19" i="2"/>
  <c r="AE5" i="2"/>
  <c r="AA8" i="2"/>
  <c r="Z10" i="2"/>
  <c r="Z11" i="2" s="1"/>
  <c r="Z13" i="2" s="1"/>
  <c r="Z15" i="2" s="1"/>
  <c r="AB17" i="2"/>
  <c r="AF5" i="2" l="1"/>
  <c r="AE7" i="2"/>
  <c r="AE19" i="2"/>
  <c r="Z16" i="2"/>
  <c r="AB8" i="2"/>
  <c r="AA10" i="2"/>
  <c r="AA11" i="2" s="1"/>
  <c r="AA13" i="2" s="1"/>
  <c r="AA15" i="2" s="1"/>
  <c r="AA16" i="2" s="1"/>
  <c r="AC17" i="2"/>
  <c r="AF19" i="2" l="1"/>
  <c r="AG5" i="2"/>
  <c r="AF7" i="2"/>
  <c r="AC8" i="2"/>
  <c r="AB10" i="2"/>
  <c r="AB11" i="2" s="1"/>
  <c r="AB13" i="2" s="1"/>
  <c r="AB15" i="2" s="1"/>
  <c r="AD17" i="2"/>
  <c r="AG19" i="2" l="1"/>
  <c r="AG7" i="2"/>
  <c r="AH5" i="2"/>
  <c r="AB16" i="2"/>
  <c r="AC10" i="2"/>
  <c r="AC11" i="2" s="1"/>
  <c r="AC13" i="2" s="1"/>
  <c r="AC15" i="2" s="1"/>
  <c r="AC16" i="2" s="1"/>
  <c r="AD8" i="2"/>
  <c r="AE17" i="2"/>
  <c r="AH7" i="2" l="1"/>
  <c r="AH19" i="2"/>
  <c r="AI5" i="2"/>
  <c r="AD10" i="2"/>
  <c r="AD11" i="2" s="1"/>
  <c r="AD13" i="2" s="1"/>
  <c r="AD15" i="2" s="1"/>
  <c r="AD16" i="2" s="1"/>
  <c r="AE8" i="2"/>
  <c r="AF17" i="2"/>
  <c r="AI19" i="2" l="1"/>
  <c r="AI7" i="2"/>
  <c r="AE10" i="2"/>
  <c r="AE11" i="2" s="1"/>
  <c r="AE13" i="2" s="1"/>
  <c r="AE15" i="2" s="1"/>
  <c r="AE16" i="2" s="1"/>
  <c r="AF8" i="2"/>
  <c r="AG17" i="2"/>
  <c r="AF10" i="2" l="1"/>
  <c r="AF11" i="2" s="1"/>
  <c r="AF13" i="2" s="1"/>
  <c r="AF15" i="2" s="1"/>
  <c r="AF16" i="2" s="1"/>
  <c r="AG8" i="2"/>
  <c r="AH17" i="2"/>
  <c r="AG10" i="2" l="1"/>
  <c r="AG11" i="2" s="1"/>
  <c r="AG13" i="2" s="1"/>
  <c r="AG15" i="2" s="1"/>
  <c r="AG16" i="2" s="1"/>
  <c r="AH8" i="2"/>
  <c r="AI17" i="2"/>
  <c r="AI8" i="2" l="1"/>
  <c r="AI10" i="2" s="1"/>
  <c r="AI11" i="2" s="1"/>
  <c r="AI13" i="2" s="1"/>
  <c r="AI15" i="2" s="1"/>
  <c r="AH10" i="2"/>
  <c r="AH11" i="2" s="1"/>
  <c r="AH13" i="2" s="1"/>
  <c r="AH15" i="2" s="1"/>
  <c r="AH16" i="2" s="1"/>
  <c r="AI16" i="2" l="1"/>
  <c r="AJ15" i="2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BK15" i="2" s="1"/>
  <c r="BL15" i="2" s="1"/>
  <c r="BM15" i="2" s="1"/>
  <c r="BN15" i="2" s="1"/>
  <c r="BO15" i="2" s="1"/>
  <c r="BP15" i="2" s="1"/>
  <c r="BQ15" i="2" s="1"/>
  <c r="BR15" i="2" s="1"/>
  <c r="BS15" i="2" s="1"/>
  <c r="BT15" i="2" s="1"/>
  <c r="BU15" i="2" s="1"/>
  <c r="BV15" i="2" s="1"/>
  <c r="BW15" i="2" s="1"/>
  <c r="BX15" i="2" s="1"/>
  <c r="BY15" i="2" s="1"/>
  <c r="BZ15" i="2" s="1"/>
  <c r="CA15" i="2" s="1"/>
  <c r="CB15" i="2" s="1"/>
  <c r="CC15" i="2" s="1"/>
  <c r="CD15" i="2" s="1"/>
  <c r="CE15" i="2" s="1"/>
  <c r="CF15" i="2" s="1"/>
  <c r="AH26" i="2"/>
  <c r="AH27" i="2" s="1"/>
</calcChain>
</file>

<file path=xl/sharedStrings.xml><?xml version="1.0" encoding="utf-8"?>
<sst xmlns="http://schemas.openxmlformats.org/spreadsheetml/2006/main" count="54" uniqueCount="49">
  <si>
    <t>Price</t>
  </si>
  <si>
    <t>Shares</t>
  </si>
  <si>
    <t>MC</t>
  </si>
  <si>
    <t>Cash</t>
  </si>
  <si>
    <t>Debt</t>
  </si>
  <si>
    <t>EV</t>
  </si>
  <si>
    <t>Q324</t>
  </si>
  <si>
    <t>Q224</t>
  </si>
  <si>
    <t>PP&amp;E</t>
  </si>
  <si>
    <t>Main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</si>
  <si>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</si>
  <si>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</si>
  <si>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</si>
  <si>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</si>
  <si>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</si>
  <si>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</si>
  <si>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</si>
  <si>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</si>
  <si>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</si>
  <si>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</si>
  <si>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Q424</t>
  </si>
  <si>
    <t>Gross Margin</t>
  </si>
  <si>
    <t>COGS</t>
  </si>
  <si>
    <t>Gross Profit</t>
  </si>
  <si>
    <t>R&amp;D</t>
  </si>
  <si>
    <t>SG&amp;A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</si>
  <si>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</si>
  <si>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</si>
  <si>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</si>
  <si>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</si>
  <si>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</si>
  <si>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</si>
  <si>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</si>
  <si>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Revenue y/y</t>
  </si>
  <si>
    <t>Backlog</t>
  </si>
  <si>
    <t>Neutron</t>
  </si>
  <si>
    <t>Electron</t>
  </si>
  <si>
    <t>Q125</t>
  </si>
  <si>
    <t>Q225</t>
  </si>
  <si>
    <t>Q325</t>
  </si>
  <si>
    <t>Q425</t>
  </si>
  <si>
    <t>Q126</t>
  </si>
  <si>
    <t>Q226</t>
  </si>
  <si>
    <t>Q326</t>
  </si>
  <si>
    <t>Q426</t>
  </si>
  <si>
    <t>DR</t>
  </si>
  <si>
    <t>Mat</t>
  </si>
  <si>
    <t>NPV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</si>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</sst>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9" fontId="1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575A-4E82-0140-888F-E0BFFC460CEB}">
  <dimension ref="B2:M9"/>
  <sheetViews>
    <sheetView topLeftCell="C1" zoomScale="150" workbookViewId="0">
      <selection activeCell="L2" sqref="L2"/>
    </sheetView>
  </sheetViews>
  <sheetFormatPr baseColWidth="10" defaultRowHeight="13" x14ac:dyDescent="0.15"/>
  <cols>
    <col min="1" max="10" width="10.83203125" style="1"/>
    <col min="11" max="11" width="7.5" style="1" customWidth="1"/>
    <col min="12" max="16384" width="10.83203125" style="1"/>
  </cols>
  <sheetData>
    <row r="2" spans="2:13" x14ac:dyDescent="0.15">
      <c r="B2" s="1" t="s">
        <v>35</v>
      </c>
      <c r="K2" s="1" t="s">
        <v>0</v>
      </c>
      <c r="L2" s="2">
        <v>25.63</v>
      </c>
    </row>
    <row r="3" spans="2:13" x14ac:dyDescent="0.15">
      <c r="B3" s="1" t="s">
        <v>36</v>
      </c>
      <c r="K3" s="1" t="s">
        <v>1</v>
      </c>
      <c r="L3" s="3">
        <v>496.64014500000002</v>
      </c>
      <c r="M3" s="4" t="s">
        <v>7</v>
      </c>
    </row>
    <row r="4" spans="2:13" x14ac:dyDescent="0.15">
      <c r="K4" s="1" t="s">
        <v>2</v>
      </c>
      <c r="L4" s="3">
        <f>L3*L2</f>
        <v>12728.88691635</v>
      </c>
      <c r="M4" s="4"/>
    </row>
    <row r="5" spans="2:13" x14ac:dyDescent="0.15">
      <c r="K5" s="1" t="s">
        <v>3</v>
      </c>
      <c r="L5" s="3">
        <f>340.911+155.844</f>
        <v>496.755</v>
      </c>
      <c r="M5" s="4" t="s">
        <v>7</v>
      </c>
    </row>
    <row r="6" spans="2:13" x14ac:dyDescent="0.15">
      <c r="K6" s="1" t="s">
        <v>4</v>
      </c>
      <c r="L6" s="3">
        <f>344.865+46.915</f>
        <v>391.78000000000003</v>
      </c>
      <c r="M6" s="4" t="s">
        <v>7</v>
      </c>
    </row>
    <row r="7" spans="2:13" x14ac:dyDescent="0.15">
      <c r="K7" s="1" t="s">
        <v>5</v>
      </c>
      <c r="L7" s="3">
        <f>L4-L5+L6</f>
        <v>12623.911916350002</v>
      </c>
    </row>
    <row r="9" spans="2:13" x14ac:dyDescent="0.15">
      <c r="K9" s="1" t="s">
        <v>8</v>
      </c>
      <c r="L9" s="3">
        <v>155.89400000000001</v>
      </c>
      <c r="M9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480A-89CE-8044-87A6-DFDCA847CECC}">
  <dimension ref="A1:CF27"/>
  <sheetViews>
    <sheetView tabSelected="1" zoomScale="144" workbookViewId="0">
      <pane xSplit="2" ySplit="2" topLeftCell="X3" activePane="bottomRight" state="frozen"/>
      <selection pane="topRight" activeCell="C1" sqref="C1"/>
      <selection pane="bottomLeft" activeCell="A3" sqref="A3"/>
      <selection pane="bottomRight" activeCell="X26" sqref="X26"/>
    </sheetView>
  </sheetViews>
  <sheetFormatPr baseColWidth="10" defaultRowHeight="13" x14ac:dyDescent="0.15"/>
  <cols>
    <col min="1" max="1" width="5.1640625" style="1" bestFit="1" customWidth="1"/>
    <col min="2" max="2" width="17.1640625" style="1" bestFit="1" customWidth="1"/>
    <col min="3" max="13" width="9" style="4" customWidth="1"/>
    <col min="14" max="18" width="7.83203125" style="4" customWidth="1"/>
    <col min="19" max="22" width="7.83203125" style="1" customWidth="1"/>
    <col min="23" max="23" width="10.83203125" style="1"/>
    <col min="24" max="29" width="8.6640625" style="1" customWidth="1"/>
    <col min="30" max="35" width="8.5" style="1" customWidth="1"/>
    <col min="36" max="16384" width="10.83203125" style="1"/>
  </cols>
  <sheetData>
    <row r="1" spans="1:84" x14ac:dyDescent="0.15">
      <c r="A1" s="1" t="s">
        <v>9</v>
      </c>
    </row>
    <row r="2" spans="1:84" x14ac:dyDescent="0.15"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7</v>
      </c>
      <c r="M2" s="4" t="s">
        <v>6</v>
      </c>
      <c r="N2" s="4" t="s">
        <v>20</v>
      </c>
      <c r="O2" s="4" t="s">
        <v>37</v>
      </c>
      <c r="P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44</v>
      </c>
      <c r="X2" s="1">
        <v>2024</v>
      </c>
      <c r="Y2" s="1">
        <f>X2+1</f>
        <v>2025</v>
      </c>
      <c r="Z2" s="1">
        <f>Y2+1</f>
        <v>2026</v>
      </c>
      <c r="AA2" s="1">
        <f>Z2+1</f>
        <v>2027</v>
      </c>
      <c r="AB2" s="1">
        <f>AA2+1</f>
        <v>2028</v>
      </c>
      <c r="AC2" s="1">
        <f>AB2+1</f>
        <v>2029</v>
      </c>
      <c r="AD2" s="1">
        <f>AC2+1</f>
        <v>2030</v>
      </c>
      <c r="AE2" s="1">
        <f>AD2+1</f>
        <v>2031</v>
      </c>
      <c r="AF2" s="1">
        <f>AE2+1</f>
        <v>2032</v>
      </c>
      <c r="AG2" s="1">
        <f>AF2+1</f>
        <v>2033</v>
      </c>
      <c r="AH2" s="1">
        <f>AG2+1</f>
        <v>2034</v>
      </c>
      <c r="AI2" s="1">
        <f>AH2+1</f>
        <v>2035</v>
      </c>
    </row>
    <row r="3" spans="1:84" x14ac:dyDescent="0.15">
      <c r="B3" s="1" t="s">
        <v>34</v>
      </c>
      <c r="M3" s="5">
        <v>1050</v>
      </c>
      <c r="Q3" s="5"/>
    </row>
    <row r="5" spans="1:84" s="6" customFormat="1" x14ac:dyDescent="0.15">
      <c r="B5" s="6" t="s">
        <v>10</v>
      </c>
      <c r="C5" s="7"/>
      <c r="D5" s="7"/>
      <c r="E5" s="7"/>
      <c r="F5" s="7"/>
      <c r="G5" s="7">
        <v>54.895000000000003</v>
      </c>
      <c r="H5" s="7">
        <v>62.045000000000002</v>
      </c>
      <c r="I5" s="7">
        <v>67.661000000000001</v>
      </c>
      <c r="J5" s="7"/>
      <c r="K5" s="7">
        <v>92.766999999999996</v>
      </c>
      <c r="L5" s="7">
        <v>106.251</v>
      </c>
      <c r="M5" s="7">
        <v>104.80800000000001</v>
      </c>
      <c r="N5" s="7">
        <v>130</v>
      </c>
      <c r="O5" s="7">
        <f>N5+25</f>
        <v>155</v>
      </c>
      <c r="P5" s="7">
        <f>O5+25</f>
        <v>180</v>
      </c>
      <c r="Q5" s="7">
        <f>P5+25</f>
        <v>205</v>
      </c>
      <c r="R5" s="7">
        <f>Q5+25</f>
        <v>230</v>
      </c>
      <c r="S5" s="6">
        <f>O5*1.4</f>
        <v>217</v>
      </c>
      <c r="T5" s="6">
        <f>P5*1.4</f>
        <v>251.99999999999997</v>
      </c>
      <c r="U5" s="6">
        <f>Q5*1.4</f>
        <v>287</v>
      </c>
      <c r="V5" s="6">
        <f>R5*1.4</f>
        <v>322</v>
      </c>
      <c r="X5" s="6">
        <f>SUM(K5:N5)</f>
        <v>433.82600000000002</v>
      </c>
      <c r="Y5" s="6">
        <f>SUM(O5:R5)</f>
        <v>770</v>
      </c>
      <c r="Z5" s="6">
        <f>SUM(S5:V5)</f>
        <v>1078</v>
      </c>
      <c r="AA5" s="6">
        <f>Z5*1.8</f>
        <v>1940.4</v>
      </c>
      <c r="AB5" s="6">
        <f>AA5*1.4</f>
        <v>2716.56</v>
      </c>
      <c r="AC5" s="6">
        <f>AB5*1.3</f>
        <v>3531.5280000000002</v>
      </c>
      <c r="AD5" s="6">
        <f>AC5*1.3</f>
        <v>4590.9864000000007</v>
      </c>
      <c r="AE5" s="6">
        <f>AD5*1.3</f>
        <v>5968.2823200000012</v>
      </c>
      <c r="AF5" s="6">
        <f>AE5*1.2</f>
        <v>7161.9387840000009</v>
      </c>
      <c r="AG5" s="6">
        <f>AF5*1.2</f>
        <v>8594.3265408000007</v>
      </c>
      <c r="AH5" s="6">
        <f>AG5*1.2</f>
        <v>10313.191848960001</v>
      </c>
      <c r="AI5" s="6">
        <f>AH5*1.2</f>
        <v>12375.830218752</v>
      </c>
    </row>
    <row r="6" spans="1:84" s="3" customFormat="1" x14ac:dyDescent="0.15">
      <c r="B6" s="3" t="s">
        <v>22</v>
      </c>
      <c r="C6" s="5"/>
      <c r="D6" s="5"/>
      <c r="E6" s="5"/>
      <c r="F6" s="5"/>
      <c r="G6" s="5"/>
      <c r="H6" s="5">
        <v>47.451999999999998</v>
      </c>
      <c r="I6" s="5">
        <v>52.694000000000003</v>
      </c>
      <c r="J6" s="5"/>
      <c r="K6" s="5">
        <v>68.593000000000004</v>
      </c>
      <c r="L6" s="5">
        <v>79.088999999999999</v>
      </c>
      <c r="M6" s="5">
        <v>76.811999999999998</v>
      </c>
      <c r="N6" s="5">
        <f>N5-N7</f>
        <v>88.4</v>
      </c>
      <c r="O6" s="5"/>
      <c r="P6" s="5"/>
      <c r="Q6" s="5"/>
      <c r="R6" s="5"/>
      <c r="X6" s="3">
        <f>SUM(K6:N6)</f>
        <v>312.89400000000001</v>
      </c>
    </row>
    <row r="7" spans="1:84" s="3" customFormat="1" x14ac:dyDescent="0.15">
      <c r="B7" s="3" t="s">
        <v>23</v>
      </c>
      <c r="C7" s="5"/>
      <c r="D7" s="5"/>
      <c r="E7" s="5"/>
      <c r="F7" s="5"/>
      <c r="G7" s="5"/>
      <c r="H7" s="5">
        <f>H5-H6</f>
        <v>14.593000000000004</v>
      </c>
      <c r="I7" s="5">
        <f>I5-I6</f>
        <v>14.966999999999999</v>
      </c>
      <c r="J7" s="5"/>
      <c r="K7" s="5">
        <f>K5-K6</f>
        <v>24.173999999999992</v>
      </c>
      <c r="L7" s="5">
        <f>L5-L6</f>
        <v>27.162000000000006</v>
      </c>
      <c r="M7" s="5">
        <f>M5-M6</f>
        <v>27.996000000000009</v>
      </c>
      <c r="N7" s="5">
        <f>N5*0.32</f>
        <v>41.6</v>
      </c>
      <c r="O7" s="5">
        <f>O5*0.3</f>
        <v>46.5</v>
      </c>
      <c r="P7" s="5">
        <f>P5*0.3</f>
        <v>54</v>
      </c>
      <c r="Q7" s="5">
        <f>Q5*0.3</f>
        <v>61.5</v>
      </c>
      <c r="R7" s="5">
        <f>R5*0.3</f>
        <v>69</v>
      </c>
      <c r="S7" s="5">
        <f>S5*0.32</f>
        <v>69.44</v>
      </c>
      <c r="T7" s="5">
        <f>T5*0.32</f>
        <v>80.639999999999986</v>
      </c>
      <c r="U7" s="5">
        <f>U5*0.32</f>
        <v>91.84</v>
      </c>
      <c r="V7" s="5">
        <f>V5*0.32</f>
        <v>103.04</v>
      </c>
      <c r="X7" s="3">
        <f>X5-X6</f>
        <v>120.93200000000002</v>
      </c>
      <c r="Y7" s="3">
        <f>Y5*0.31</f>
        <v>238.7</v>
      </c>
      <c r="Z7" s="3">
        <f>Z5*0.33</f>
        <v>355.74</v>
      </c>
      <c r="AA7" s="3">
        <f>AA5*0.35</f>
        <v>679.14</v>
      </c>
      <c r="AB7" s="3">
        <f>AB5*0.37</f>
        <v>1005.1272</v>
      </c>
      <c r="AC7" s="3">
        <f>AC5*0.39</f>
        <v>1377.2959200000003</v>
      </c>
      <c r="AD7" s="3">
        <f>AD5*0.4</f>
        <v>1836.3945600000004</v>
      </c>
      <c r="AE7" s="3">
        <f>AE5*0.4</f>
        <v>2387.3129280000007</v>
      </c>
      <c r="AF7" s="3">
        <f>AF5*0.41</f>
        <v>2936.39490144</v>
      </c>
      <c r="AG7" s="3">
        <f>AG5*0.41</f>
        <v>3523.6738817280002</v>
      </c>
      <c r="AH7" s="3">
        <f>AH5*0.42</f>
        <v>4331.5405765632004</v>
      </c>
      <c r="AI7" s="3">
        <f>AI5*0.42</f>
        <v>5197.8486918758399</v>
      </c>
    </row>
    <row r="8" spans="1:84" s="3" customFormat="1" x14ac:dyDescent="0.15">
      <c r="B8" s="3" t="s">
        <v>24</v>
      </c>
      <c r="C8" s="5"/>
      <c r="D8" s="5"/>
      <c r="E8" s="5"/>
      <c r="F8" s="5"/>
      <c r="G8" s="5"/>
      <c r="H8" s="5">
        <v>31.035</v>
      </c>
      <c r="I8" s="5">
        <v>26.626000000000001</v>
      </c>
      <c r="J8" s="5"/>
      <c r="K8" s="5">
        <v>38.503999999999998</v>
      </c>
      <c r="L8" s="5">
        <v>39.911999999999999</v>
      </c>
      <c r="M8" s="5">
        <v>47.722999999999999</v>
      </c>
      <c r="N8" s="5"/>
      <c r="O8" s="5"/>
      <c r="P8" s="5"/>
      <c r="Q8" s="5"/>
      <c r="R8" s="5"/>
      <c r="X8" s="3">
        <v>50</v>
      </c>
      <c r="Y8" s="3">
        <f>X8*1.1</f>
        <v>55.000000000000007</v>
      </c>
      <c r="Z8" s="3">
        <f>Y8*1.1</f>
        <v>60.500000000000014</v>
      </c>
      <c r="AA8" s="3">
        <f>Z8*1.1</f>
        <v>66.550000000000026</v>
      </c>
      <c r="AB8" s="3">
        <f>AA8*1.1</f>
        <v>73.205000000000041</v>
      </c>
      <c r="AC8" s="3">
        <f>AB8*1.1</f>
        <v>80.525500000000051</v>
      </c>
      <c r="AD8" s="3">
        <f>AC8*1.1</f>
        <v>88.578050000000061</v>
      </c>
      <c r="AE8" s="3">
        <f>AD8*1.1</f>
        <v>97.435855000000075</v>
      </c>
      <c r="AF8" s="3">
        <f>AE8*1.1</f>
        <v>107.1794405000001</v>
      </c>
      <c r="AG8" s="3">
        <f>AF8*1.1</f>
        <v>117.89738455000011</v>
      </c>
      <c r="AH8" s="3">
        <f>AG8*1.1</f>
        <v>129.68712300500013</v>
      </c>
      <c r="AI8" s="3">
        <f>AH8*1.1</f>
        <v>142.65583530550015</v>
      </c>
    </row>
    <row r="9" spans="1:84" s="3" customFormat="1" x14ac:dyDescent="0.15">
      <c r="B9" s="3" t="s">
        <v>25</v>
      </c>
      <c r="C9" s="5"/>
      <c r="D9" s="5"/>
      <c r="E9" s="5"/>
      <c r="F9" s="5"/>
      <c r="G9" s="5"/>
      <c r="H9" s="5">
        <v>28.716999999999999</v>
      </c>
      <c r="I9" s="5">
        <v>27.2</v>
      </c>
      <c r="J9" s="5"/>
      <c r="K9" s="5">
        <v>28.748999999999999</v>
      </c>
      <c r="L9" s="5">
        <v>30.524000000000001</v>
      </c>
      <c r="M9" s="5">
        <v>32.171999999999997</v>
      </c>
      <c r="N9" s="5"/>
      <c r="O9" s="5"/>
      <c r="P9" s="5"/>
      <c r="Q9" s="5"/>
      <c r="R9" s="5"/>
      <c r="X9" s="3">
        <v>120</v>
      </c>
      <c r="Y9" s="3">
        <f>X9*1.1</f>
        <v>132</v>
      </c>
      <c r="Z9" s="3">
        <f>Y9*1.1</f>
        <v>145.20000000000002</v>
      </c>
      <c r="AA9" s="3">
        <f>Z9*1.1</f>
        <v>159.72000000000003</v>
      </c>
      <c r="AB9" s="3">
        <f>AA9*1.1</f>
        <v>175.69200000000004</v>
      </c>
      <c r="AC9" s="3">
        <f>AB9*1.1</f>
        <v>193.26120000000006</v>
      </c>
      <c r="AD9" s="3">
        <f>AC9*1.1</f>
        <v>212.58732000000009</v>
      </c>
      <c r="AE9" s="3">
        <f>AD9*1.1</f>
        <v>233.84605200000013</v>
      </c>
      <c r="AF9" s="3">
        <f>AE9*1.1</f>
        <v>257.23065720000017</v>
      </c>
      <c r="AG9" s="3">
        <f>AF9*1.1</f>
        <v>282.95372292000019</v>
      </c>
      <c r="AH9" s="3">
        <f>AG9*1.1</f>
        <v>311.24909521200021</v>
      </c>
      <c r="AI9" s="3">
        <f>AH9*1.1</f>
        <v>342.37400473320025</v>
      </c>
    </row>
    <row r="10" spans="1:84" s="3" customFormat="1" x14ac:dyDescent="0.15">
      <c r="B10" s="3" t="s">
        <v>26</v>
      </c>
      <c r="C10" s="5"/>
      <c r="D10" s="5"/>
      <c r="E10" s="5"/>
      <c r="F10" s="5"/>
      <c r="G10" s="5">
        <f>G8+G9</f>
        <v>0</v>
      </c>
      <c r="H10" s="5">
        <f>H8+H9</f>
        <v>59.751999999999995</v>
      </c>
      <c r="I10" s="5">
        <f>I8+I9</f>
        <v>53.826000000000001</v>
      </c>
      <c r="J10" s="5">
        <f>J8+J9</f>
        <v>0</v>
      </c>
      <c r="K10" s="5">
        <f>K8+K9</f>
        <v>67.253</v>
      </c>
      <c r="L10" s="5">
        <f>L8+L9</f>
        <v>70.436000000000007</v>
      </c>
      <c r="M10" s="5">
        <f>M8+M9</f>
        <v>79.894999999999996</v>
      </c>
      <c r="N10" s="5">
        <f>N8+N9</f>
        <v>0</v>
      </c>
      <c r="O10" s="5">
        <f>O8+O9</f>
        <v>0</v>
      </c>
      <c r="P10" s="5">
        <f>P8+P9</f>
        <v>0</v>
      </c>
      <c r="Q10" s="5">
        <f>Q8+Q9</f>
        <v>0</v>
      </c>
      <c r="R10" s="5">
        <f>R8+R9</f>
        <v>0</v>
      </c>
      <c r="S10" s="5">
        <f t="shared" ref="S10:X10" si="0">S8+S9</f>
        <v>0</v>
      </c>
      <c r="T10" s="5">
        <f t="shared" si="0"/>
        <v>0</v>
      </c>
      <c r="U10" s="5">
        <f t="shared" si="0"/>
        <v>0</v>
      </c>
      <c r="V10" s="5">
        <f t="shared" si="0"/>
        <v>0</v>
      </c>
      <c r="X10" s="5">
        <f t="shared" si="0"/>
        <v>170</v>
      </c>
      <c r="Y10" s="5">
        <f t="shared" ref="Y10" si="1">Y8+Y9</f>
        <v>187</v>
      </c>
      <c r="Z10" s="5">
        <f t="shared" ref="Z10" si="2">Z8+Z9</f>
        <v>205.70000000000005</v>
      </c>
      <c r="AA10" s="5">
        <f t="shared" ref="AA10" si="3">AA8+AA9</f>
        <v>226.27000000000004</v>
      </c>
      <c r="AB10" s="5">
        <f t="shared" ref="AB10" si="4">AB8+AB9</f>
        <v>248.89700000000008</v>
      </c>
      <c r="AC10" s="5">
        <f t="shared" ref="AC10" si="5">AC8+AC9</f>
        <v>273.78670000000011</v>
      </c>
      <c r="AD10" s="5">
        <f t="shared" ref="AD10" si="6">AD8+AD9</f>
        <v>301.16537000000017</v>
      </c>
      <c r="AE10" s="5">
        <f t="shared" ref="AE10" si="7">AE8+AE9</f>
        <v>331.28190700000022</v>
      </c>
      <c r="AF10" s="5">
        <f t="shared" ref="AF10" si="8">AF8+AF9</f>
        <v>364.41009770000028</v>
      </c>
      <c r="AG10" s="5">
        <f t="shared" ref="AG10" si="9">AG8+AG9</f>
        <v>400.85110747000033</v>
      </c>
      <c r="AH10" s="5">
        <f t="shared" ref="AH10" si="10">AH8+AH9</f>
        <v>440.93621821700037</v>
      </c>
      <c r="AI10" s="5">
        <f t="shared" ref="AI10" si="11">AI8+AI9</f>
        <v>485.0298400387004</v>
      </c>
    </row>
    <row r="11" spans="1:84" s="3" customFormat="1" x14ac:dyDescent="0.15">
      <c r="B11" s="3" t="s">
        <v>27</v>
      </c>
      <c r="C11" s="5"/>
      <c r="D11" s="5"/>
      <c r="E11" s="5"/>
      <c r="F11" s="5"/>
      <c r="G11" s="5">
        <f>G7-G10</f>
        <v>0</v>
      </c>
      <c r="H11" s="5">
        <f>H7-H10</f>
        <v>-45.158999999999992</v>
      </c>
      <c r="I11" s="5">
        <f>I7-I10</f>
        <v>-38.859000000000002</v>
      </c>
      <c r="J11" s="5">
        <f>J7-J10</f>
        <v>0</v>
      </c>
      <c r="K11" s="5">
        <f>K7-K10</f>
        <v>-43.079000000000008</v>
      </c>
      <c r="L11" s="5">
        <f>L7-L10</f>
        <v>-43.274000000000001</v>
      </c>
      <c r="M11" s="5">
        <f>M7-M10</f>
        <v>-51.898999999999987</v>
      </c>
      <c r="N11" s="5">
        <f>N7-N10</f>
        <v>41.6</v>
      </c>
      <c r="O11" s="5">
        <f>O7-O10</f>
        <v>46.5</v>
      </c>
      <c r="P11" s="5">
        <f>P7-P10</f>
        <v>54</v>
      </c>
      <c r="Q11" s="5">
        <f>Q7-Q10</f>
        <v>61.5</v>
      </c>
      <c r="R11" s="5">
        <f>R7-R10</f>
        <v>69</v>
      </c>
      <c r="S11" s="5">
        <f t="shared" ref="S11:X11" si="12">S7-S10</f>
        <v>69.44</v>
      </c>
      <c r="T11" s="5">
        <f t="shared" si="12"/>
        <v>80.639999999999986</v>
      </c>
      <c r="U11" s="5">
        <f t="shared" si="12"/>
        <v>91.84</v>
      </c>
      <c r="V11" s="5">
        <f t="shared" si="12"/>
        <v>103.04</v>
      </c>
      <c r="X11" s="5">
        <f t="shared" si="12"/>
        <v>-49.067999999999984</v>
      </c>
      <c r="Y11" s="5">
        <f t="shared" ref="Y11" si="13">Y7-Y10</f>
        <v>51.699999999999989</v>
      </c>
      <c r="Z11" s="5">
        <f t="shared" ref="Z11" si="14">Z7-Z10</f>
        <v>150.03999999999996</v>
      </c>
      <c r="AA11" s="5">
        <f t="shared" ref="AA11" si="15">AA7-AA10</f>
        <v>452.86999999999995</v>
      </c>
      <c r="AB11" s="5">
        <f t="shared" ref="AB11" si="16">AB7-AB10</f>
        <v>756.23019999999997</v>
      </c>
      <c r="AC11" s="5">
        <f t="shared" ref="AC11" si="17">AC7-AC10</f>
        <v>1103.5092200000001</v>
      </c>
      <c r="AD11" s="5">
        <f t="shared" ref="AD11" si="18">AD7-AD10</f>
        <v>1535.2291900000002</v>
      </c>
      <c r="AE11" s="5">
        <f t="shared" ref="AE11" si="19">AE7-AE10</f>
        <v>2056.0310210000007</v>
      </c>
      <c r="AF11" s="5">
        <f t="shared" ref="AF11" si="20">AF7-AF10</f>
        <v>2571.9848037399997</v>
      </c>
      <c r="AG11" s="5">
        <f t="shared" ref="AG11" si="21">AG7-AG10</f>
        <v>3122.8227742579998</v>
      </c>
      <c r="AH11" s="5">
        <f t="shared" ref="AH11" si="22">AH7-AH10</f>
        <v>3890.6043583462001</v>
      </c>
      <c r="AI11" s="5">
        <f t="shared" ref="AI11" si="23">AI7-AI10</f>
        <v>4712.8188518371398</v>
      </c>
    </row>
    <row r="12" spans="1:84" s="3" customFormat="1" x14ac:dyDescent="0.15">
      <c r="B12" s="3" t="s">
        <v>28</v>
      </c>
      <c r="C12" s="5"/>
      <c r="D12" s="5"/>
      <c r="E12" s="5"/>
      <c r="F12" s="5"/>
      <c r="G12" s="5"/>
      <c r="H12" s="5">
        <f>-0.745+0.866</f>
        <v>0.121</v>
      </c>
      <c r="I12" s="5">
        <f>-1.413+1.176</f>
        <v>-0.2370000000000001</v>
      </c>
      <c r="J12" s="5"/>
      <c r="K12" s="5"/>
      <c r="L12" s="5">
        <f>-0.824+1.893</f>
        <v>1.069</v>
      </c>
      <c r="M12" s="5">
        <f>-0.454+1.848</f>
        <v>1.3940000000000001</v>
      </c>
      <c r="N12" s="5"/>
      <c r="O12" s="5"/>
      <c r="P12" s="5"/>
      <c r="Q12" s="5"/>
      <c r="R12" s="5"/>
    </row>
    <row r="13" spans="1:84" s="3" customFormat="1" x14ac:dyDescent="0.15">
      <c r="B13" s="3" t="s">
        <v>29</v>
      </c>
      <c r="C13" s="5"/>
      <c r="D13" s="5"/>
      <c r="E13" s="5"/>
      <c r="F13" s="5"/>
      <c r="G13" s="5">
        <f>G11+G12</f>
        <v>0</v>
      </c>
      <c r="H13" s="5">
        <f>H11+H12</f>
        <v>-45.03799999999999</v>
      </c>
      <c r="I13" s="5">
        <f>I11+I12</f>
        <v>-39.096000000000004</v>
      </c>
      <c r="J13" s="5">
        <f>J11+J12</f>
        <v>0</v>
      </c>
      <c r="K13" s="5">
        <f>K11+K12</f>
        <v>-43.079000000000008</v>
      </c>
      <c r="L13" s="5">
        <f>L11+L12</f>
        <v>-42.204999999999998</v>
      </c>
      <c r="M13" s="5">
        <f>M11+M12</f>
        <v>-50.504999999999988</v>
      </c>
      <c r="N13" s="5">
        <f>N11+N12</f>
        <v>41.6</v>
      </c>
      <c r="O13" s="5">
        <f>O11+O12</f>
        <v>46.5</v>
      </c>
      <c r="P13" s="5">
        <f>P11+P12</f>
        <v>54</v>
      </c>
      <c r="Q13" s="5">
        <f>Q11+Q12</f>
        <v>61.5</v>
      </c>
      <c r="R13" s="5">
        <f>R11+R12</f>
        <v>69</v>
      </c>
      <c r="S13" s="5">
        <f t="shared" ref="S13:V13" si="24">S11+S12</f>
        <v>69.44</v>
      </c>
      <c r="T13" s="5">
        <f t="shared" si="24"/>
        <v>80.639999999999986</v>
      </c>
      <c r="U13" s="5">
        <f t="shared" si="24"/>
        <v>91.84</v>
      </c>
      <c r="V13" s="5">
        <f t="shared" si="24"/>
        <v>103.04</v>
      </c>
      <c r="X13" s="5">
        <f t="shared" ref="X13" si="25">X11+X12</f>
        <v>-49.067999999999984</v>
      </c>
      <c r="Y13" s="5">
        <f t="shared" ref="Y13" si="26">Y11+Y12</f>
        <v>51.699999999999989</v>
      </c>
      <c r="Z13" s="5">
        <f t="shared" ref="Z13" si="27">Z11+Z12</f>
        <v>150.03999999999996</v>
      </c>
      <c r="AA13" s="5">
        <f t="shared" ref="AA13" si="28">AA11+AA12</f>
        <v>452.86999999999995</v>
      </c>
      <c r="AB13" s="5">
        <f t="shared" ref="AB13" si="29">AB11+AB12</f>
        <v>756.23019999999997</v>
      </c>
      <c r="AC13" s="5">
        <f t="shared" ref="AC13" si="30">AC11+AC12</f>
        <v>1103.5092200000001</v>
      </c>
      <c r="AD13" s="5">
        <f t="shared" ref="AD13" si="31">AD11+AD12</f>
        <v>1535.2291900000002</v>
      </c>
      <c r="AE13" s="5">
        <f t="shared" ref="AE13" si="32">AE11+AE12</f>
        <v>2056.0310210000007</v>
      </c>
      <c r="AF13" s="5">
        <f t="shared" ref="AF13" si="33">AF11+AF12</f>
        <v>2571.9848037399997</v>
      </c>
      <c r="AG13" s="5">
        <f t="shared" ref="AG13" si="34">AG11+AG12</f>
        <v>3122.8227742579998</v>
      </c>
      <c r="AH13" s="5">
        <f t="shared" ref="AH13" si="35">AH11+AH12</f>
        <v>3890.6043583462001</v>
      </c>
      <c r="AI13" s="5">
        <f t="shared" ref="AI13" si="36">AI11+AI12</f>
        <v>4712.8188518371398</v>
      </c>
    </row>
    <row r="14" spans="1:84" x14ac:dyDescent="0.15">
      <c r="B14" s="1" t="s">
        <v>30</v>
      </c>
      <c r="H14" s="4">
        <v>0</v>
      </c>
      <c r="I14" s="5">
        <v>1.3520000000000001</v>
      </c>
      <c r="L14" s="4">
        <v>0</v>
      </c>
      <c r="M14" s="5">
        <v>0.94399999999999995</v>
      </c>
      <c r="Q14" s="5"/>
      <c r="Z14" s="3">
        <f>Z13*0.1</f>
        <v>15.003999999999998</v>
      </c>
      <c r="AA14" s="3">
        <f>AA13*0.1</f>
        <v>45.286999999999999</v>
      </c>
      <c r="AB14" s="3">
        <f>AB13*0.1</f>
        <v>75.623019999999997</v>
      </c>
      <c r="AC14" s="3">
        <f>AC13*0.1</f>
        <v>110.35092200000003</v>
      </c>
      <c r="AD14" s="3">
        <f>AD13*0.1</f>
        <v>153.52291900000003</v>
      </c>
      <c r="AE14" s="3">
        <f>AE13*0.1</f>
        <v>205.60310210000009</v>
      </c>
      <c r="AF14" s="3">
        <f>AF13*0.1</f>
        <v>257.19848037399998</v>
      </c>
      <c r="AG14" s="3">
        <f>AG13*0.1</f>
        <v>312.28227742579998</v>
      </c>
      <c r="AH14" s="3">
        <f>AH13*0.1</f>
        <v>389.06043583462002</v>
      </c>
      <c r="AI14" s="3">
        <f>AI13*0.1</f>
        <v>471.281885183714</v>
      </c>
    </row>
    <row r="15" spans="1:84" x14ac:dyDescent="0.15">
      <c r="B15" s="1" t="s">
        <v>31</v>
      </c>
      <c r="G15" s="5">
        <f>G13-G14</f>
        <v>0</v>
      </c>
      <c r="H15" s="5">
        <f>H13-H14</f>
        <v>-45.03799999999999</v>
      </c>
      <c r="I15" s="5">
        <f>I13-I14</f>
        <v>-40.448</v>
      </c>
      <c r="J15" s="5">
        <f>J13-J14</f>
        <v>0</v>
      </c>
      <c r="K15" s="5">
        <f>K13-K14</f>
        <v>-43.079000000000008</v>
      </c>
      <c r="L15" s="5">
        <f>L13-L14</f>
        <v>-42.204999999999998</v>
      </c>
      <c r="M15" s="5">
        <f>M13-M14</f>
        <v>-51.448999999999991</v>
      </c>
      <c r="N15" s="5">
        <f>N13-N14</f>
        <v>41.6</v>
      </c>
      <c r="O15" s="5">
        <f>O13-O14</f>
        <v>46.5</v>
      </c>
      <c r="P15" s="5">
        <f>P13-P14</f>
        <v>54</v>
      </c>
      <c r="Q15" s="5">
        <f>Q13-Q14</f>
        <v>61.5</v>
      </c>
      <c r="R15" s="5">
        <f>R13-R14</f>
        <v>69</v>
      </c>
      <c r="S15" s="5">
        <f t="shared" ref="S15:V15" si="37">S13-S14</f>
        <v>69.44</v>
      </c>
      <c r="T15" s="5">
        <f t="shared" si="37"/>
        <v>80.639999999999986</v>
      </c>
      <c r="U15" s="5">
        <f t="shared" si="37"/>
        <v>91.84</v>
      </c>
      <c r="V15" s="5">
        <f t="shared" si="37"/>
        <v>103.04</v>
      </c>
      <c r="X15" s="5">
        <f t="shared" ref="X15" si="38">X13-X14</f>
        <v>-49.067999999999984</v>
      </c>
      <c r="Y15" s="5">
        <f t="shared" ref="Y15" si="39">Y13-Y14</f>
        <v>51.699999999999989</v>
      </c>
      <c r="Z15" s="5">
        <f t="shared" ref="Z15" si="40">Z13-Z14</f>
        <v>135.03599999999997</v>
      </c>
      <c r="AA15" s="5">
        <f t="shared" ref="AA15" si="41">AA13-AA14</f>
        <v>407.58299999999997</v>
      </c>
      <c r="AB15" s="5">
        <f t="shared" ref="AB15" si="42">AB13-AB14</f>
        <v>680.60717999999997</v>
      </c>
      <c r="AC15" s="5">
        <f t="shared" ref="AC15" si="43">AC13-AC14</f>
        <v>993.15829800000006</v>
      </c>
      <c r="AD15" s="5">
        <f t="shared" ref="AD15" si="44">AD13-AD14</f>
        <v>1381.7062710000002</v>
      </c>
      <c r="AE15" s="5">
        <f t="shared" ref="AE15" si="45">AE13-AE14</f>
        <v>1850.4279189000006</v>
      </c>
      <c r="AF15" s="5">
        <f t="shared" ref="AF15" si="46">AF13-AF14</f>
        <v>2314.7863233659996</v>
      </c>
      <c r="AG15" s="5">
        <f t="shared" ref="AG15" si="47">AG13-AG14</f>
        <v>2810.5404968322</v>
      </c>
      <c r="AH15" s="5">
        <f t="shared" ref="AH15" si="48">AH13-AH14</f>
        <v>3501.5439225115801</v>
      </c>
      <c r="AI15" s="5">
        <f t="shared" ref="AI15" si="49">AI13-AI14</f>
        <v>4241.5369666534261</v>
      </c>
      <c r="AJ15" s="3">
        <f>AI15*0.99</f>
        <v>4199.1215969868917</v>
      </c>
      <c r="AK15" s="3">
        <f t="shared" ref="AK15:CF15" si="50">AJ15*0.99</f>
        <v>4157.130381017023</v>
      </c>
      <c r="AL15" s="3">
        <f t="shared" si="50"/>
        <v>4115.5590772068526</v>
      </c>
      <c r="AM15" s="3">
        <f t="shared" si="50"/>
        <v>4074.4034864347841</v>
      </c>
      <c r="AN15" s="3">
        <f t="shared" si="50"/>
        <v>4033.6594515704364</v>
      </c>
      <c r="AO15" s="3">
        <f t="shared" si="50"/>
        <v>3993.3228570547321</v>
      </c>
      <c r="AP15" s="3">
        <f t="shared" si="50"/>
        <v>3953.3896284841849</v>
      </c>
      <c r="AQ15" s="3">
        <f t="shared" si="50"/>
        <v>3913.855732199343</v>
      </c>
      <c r="AR15" s="3">
        <f t="shared" si="50"/>
        <v>3874.7171748773494</v>
      </c>
      <c r="AS15" s="3">
        <f t="shared" si="50"/>
        <v>3835.9700031285761</v>
      </c>
      <c r="AT15" s="3">
        <f t="shared" si="50"/>
        <v>3797.6103030972904</v>
      </c>
      <c r="AU15" s="3">
        <f t="shared" si="50"/>
        <v>3759.6342000663176</v>
      </c>
      <c r="AV15" s="3">
        <f t="shared" si="50"/>
        <v>3722.0378580656543</v>
      </c>
      <c r="AW15" s="3">
        <f t="shared" si="50"/>
        <v>3684.8174794849979</v>
      </c>
      <c r="AX15" s="3">
        <f t="shared" si="50"/>
        <v>3647.969304690148</v>
      </c>
      <c r="AY15" s="3">
        <f t="shared" si="50"/>
        <v>3611.4896116432465</v>
      </c>
      <c r="AZ15" s="3">
        <f t="shared" si="50"/>
        <v>3575.3747155268138</v>
      </c>
      <c r="BA15" s="3">
        <f t="shared" si="50"/>
        <v>3539.6209683715456</v>
      </c>
      <c r="BB15" s="3">
        <f t="shared" si="50"/>
        <v>3504.2247586878302</v>
      </c>
      <c r="BC15" s="3">
        <f t="shared" si="50"/>
        <v>3469.1825111009521</v>
      </c>
      <c r="BD15" s="3">
        <f t="shared" si="50"/>
        <v>3434.4906859899424</v>
      </c>
      <c r="BE15" s="3">
        <f t="shared" si="50"/>
        <v>3400.1457791300431</v>
      </c>
      <c r="BF15" s="3">
        <f t="shared" si="50"/>
        <v>3366.1443213387429</v>
      </c>
      <c r="BG15" s="3">
        <f t="shared" si="50"/>
        <v>3332.4828781253555</v>
      </c>
      <c r="BH15" s="3">
        <f t="shared" si="50"/>
        <v>3299.158049344102</v>
      </c>
      <c r="BI15" s="3">
        <f t="shared" si="50"/>
        <v>3266.1664688506607</v>
      </c>
      <c r="BJ15" s="3">
        <f t="shared" si="50"/>
        <v>3233.504804162154</v>
      </c>
      <c r="BK15" s="3">
        <f t="shared" si="50"/>
        <v>3201.1697561205324</v>
      </c>
      <c r="BL15" s="3">
        <f t="shared" si="50"/>
        <v>3169.1580585593269</v>
      </c>
      <c r="BM15" s="3">
        <f t="shared" si="50"/>
        <v>3137.4664779737336</v>
      </c>
      <c r="BN15" s="3">
        <f t="shared" si="50"/>
        <v>3106.0918131939961</v>
      </c>
      <c r="BO15" s="3">
        <f t="shared" si="50"/>
        <v>3075.0308950620561</v>
      </c>
      <c r="BP15" s="3">
        <f t="shared" si="50"/>
        <v>3044.2805861114357</v>
      </c>
      <c r="BQ15" s="3">
        <f t="shared" si="50"/>
        <v>3013.8377802503214</v>
      </c>
      <c r="BR15" s="3">
        <f t="shared" si="50"/>
        <v>2983.6994024478181</v>
      </c>
      <c r="BS15" s="3">
        <f t="shared" si="50"/>
        <v>2953.8624084233397</v>
      </c>
      <c r="BT15" s="3">
        <f t="shared" si="50"/>
        <v>2924.3237843391062</v>
      </c>
      <c r="BU15" s="3">
        <f t="shared" si="50"/>
        <v>2895.0805464957152</v>
      </c>
      <c r="BV15" s="3">
        <f t="shared" si="50"/>
        <v>2866.1297410307579</v>
      </c>
      <c r="BW15" s="3">
        <f t="shared" si="50"/>
        <v>2837.4684436204502</v>
      </c>
      <c r="BX15" s="3">
        <f t="shared" si="50"/>
        <v>2809.0937591842458</v>
      </c>
      <c r="BY15" s="3">
        <f t="shared" si="50"/>
        <v>2781.0028215924031</v>
      </c>
      <c r="BZ15" s="3">
        <f t="shared" si="50"/>
        <v>2753.1927933764791</v>
      </c>
      <c r="CA15" s="3">
        <f t="shared" si="50"/>
        <v>2725.6608654427141</v>
      </c>
      <c r="CB15" s="3">
        <f t="shared" si="50"/>
        <v>2698.4042567882871</v>
      </c>
      <c r="CC15" s="3">
        <f t="shared" si="50"/>
        <v>2671.420214220404</v>
      </c>
      <c r="CD15" s="3">
        <f t="shared" si="50"/>
        <v>2644.7060120781998</v>
      </c>
      <c r="CE15" s="3">
        <f t="shared" si="50"/>
        <v>2618.2589519574176</v>
      </c>
      <c r="CF15" s="3">
        <f t="shared" si="50"/>
        <v>2592.0763624378433</v>
      </c>
    </row>
    <row r="16" spans="1:84" x14ac:dyDescent="0.15">
      <c r="B16" s="1" t="s">
        <v>32</v>
      </c>
      <c r="G16" s="8">
        <f>G15/G17</f>
        <v>0</v>
      </c>
      <c r="H16" s="8">
        <f>H15/H17</f>
        <v>-9.38808288956378E-2</v>
      </c>
      <c r="I16" s="8">
        <f>I15/I17</f>
        <v>-8.3564365451455999E-2</v>
      </c>
      <c r="J16" s="8" t="e">
        <f>J15/J17</f>
        <v>#DIV/0!</v>
      </c>
      <c r="K16" s="8">
        <f>K15/K17</f>
        <v>-8.7917275857768512E-2</v>
      </c>
      <c r="L16" s="8">
        <f>L15/L17</f>
        <v>-8.5402253253211713E-2</v>
      </c>
      <c r="M16" s="8">
        <f>M15/M17</f>
        <v>-0.10337316197514006</v>
      </c>
      <c r="N16" s="8">
        <f>N15/N17</f>
        <v>8.3033932135728544E-2</v>
      </c>
      <c r="O16" s="8" t="e">
        <f>O15/O17</f>
        <v>#DIV/0!</v>
      </c>
      <c r="P16" s="8" t="e">
        <f>P15/P17</f>
        <v>#DIV/0!</v>
      </c>
      <c r="Q16" s="8" t="e">
        <f>Q15/Q17</f>
        <v>#DIV/0!</v>
      </c>
      <c r="R16" s="8" t="e">
        <f>R15/R17</f>
        <v>#DIV/0!</v>
      </c>
      <c r="S16" s="8" t="e">
        <f t="shared" ref="S16:V16" si="51">S15/S17</f>
        <v>#DIV/0!</v>
      </c>
      <c r="T16" s="8" t="e">
        <f t="shared" si="51"/>
        <v>#DIV/0!</v>
      </c>
      <c r="U16" s="8" t="e">
        <f t="shared" si="51"/>
        <v>#DIV/0!</v>
      </c>
      <c r="V16" s="8" t="e">
        <f t="shared" si="51"/>
        <v>#DIV/0!</v>
      </c>
      <c r="X16" s="2">
        <f>X15/X17</f>
        <v>-9.7940119760479005E-2</v>
      </c>
      <c r="Y16" s="2">
        <f t="shared" ref="Y16:AI16" si="52">Y15/Y17</f>
        <v>0.10319361277445108</v>
      </c>
      <c r="Z16" s="2">
        <f t="shared" si="52"/>
        <v>0.26953293413173646</v>
      </c>
      <c r="AA16" s="2">
        <f t="shared" si="52"/>
        <v>0.81353892215568857</v>
      </c>
      <c r="AB16" s="2">
        <f t="shared" si="52"/>
        <v>1.358497365269461</v>
      </c>
      <c r="AC16" s="2">
        <f t="shared" si="52"/>
        <v>1.982351892215569</v>
      </c>
      <c r="AD16" s="2">
        <f t="shared" si="52"/>
        <v>2.7578967485029944</v>
      </c>
      <c r="AE16" s="2">
        <f t="shared" si="52"/>
        <v>3.6934689000000009</v>
      </c>
      <c r="AF16" s="2">
        <f t="shared" si="52"/>
        <v>4.6203319827664666</v>
      </c>
      <c r="AG16" s="2">
        <f t="shared" si="52"/>
        <v>5.6098612711221554</v>
      </c>
      <c r="AH16" s="2">
        <f t="shared" si="52"/>
        <v>6.9891096257716168</v>
      </c>
      <c r="AI16" s="2">
        <f t="shared" si="52"/>
        <v>8.466141650006838</v>
      </c>
    </row>
    <row r="17" spans="2:35" s="3" customFormat="1" x14ac:dyDescent="0.15">
      <c r="B17" s="3" t="s">
        <v>1</v>
      </c>
      <c r="C17" s="5"/>
      <c r="D17" s="5"/>
      <c r="E17" s="5"/>
      <c r="F17" s="5"/>
      <c r="G17" s="5">
        <v>476.19970999999998</v>
      </c>
      <c r="H17" s="5">
        <v>479.73585800000001</v>
      </c>
      <c r="I17" s="5">
        <v>484.03407099999998</v>
      </c>
      <c r="J17" s="5"/>
      <c r="K17" s="5">
        <v>489.994709</v>
      </c>
      <c r="L17" s="5">
        <v>494.19070799999997</v>
      </c>
      <c r="M17" s="5">
        <v>497.70171499999998</v>
      </c>
      <c r="N17" s="5">
        <v>501</v>
      </c>
      <c r="O17" s="5"/>
      <c r="P17" s="5"/>
      <c r="Q17" s="5"/>
      <c r="R17" s="5"/>
      <c r="X17" s="3">
        <f>N17</f>
        <v>501</v>
      </c>
      <c r="Y17" s="3">
        <f>X17</f>
        <v>501</v>
      </c>
      <c r="Z17" s="3">
        <f t="shared" ref="Z17:AI17" si="53">Y17</f>
        <v>501</v>
      </c>
      <c r="AA17" s="3">
        <f t="shared" si="53"/>
        <v>501</v>
      </c>
      <c r="AB17" s="3">
        <f t="shared" si="53"/>
        <v>501</v>
      </c>
      <c r="AC17" s="3">
        <f t="shared" si="53"/>
        <v>501</v>
      </c>
      <c r="AD17" s="3">
        <f t="shared" si="53"/>
        <v>501</v>
      </c>
      <c r="AE17" s="3">
        <f t="shared" si="53"/>
        <v>501</v>
      </c>
      <c r="AF17" s="3">
        <f t="shared" si="53"/>
        <v>501</v>
      </c>
      <c r="AG17" s="3">
        <f t="shared" si="53"/>
        <v>501</v>
      </c>
      <c r="AH17" s="3">
        <f t="shared" si="53"/>
        <v>501</v>
      </c>
      <c r="AI17" s="3">
        <f t="shared" si="53"/>
        <v>501</v>
      </c>
    </row>
    <row r="19" spans="2:35" s="10" customFormat="1" x14ac:dyDescent="0.15">
      <c r="B19" s="10" t="s">
        <v>33</v>
      </c>
      <c r="C19" s="11"/>
      <c r="D19" s="11"/>
      <c r="E19" s="11"/>
      <c r="F19" s="11"/>
      <c r="G19" s="11"/>
      <c r="H19" s="11"/>
      <c r="I19" s="11"/>
      <c r="J19" s="11"/>
      <c r="K19" s="12">
        <f>K5/G5-1</f>
        <v>0.68989889789598302</v>
      </c>
      <c r="L19" s="12">
        <f>L5/H5-1</f>
        <v>0.71248287533241994</v>
      </c>
      <c r="M19" s="12">
        <f>M5/I5-1</f>
        <v>0.54901642009429374</v>
      </c>
      <c r="N19" s="12" t="e">
        <f>N5/J5-1</f>
        <v>#DIV/0!</v>
      </c>
      <c r="O19" s="12">
        <f>O5/K5-1</f>
        <v>0.67085278170038931</v>
      </c>
      <c r="P19" s="12">
        <f>P5/L5-1</f>
        <v>0.69410170257221093</v>
      </c>
      <c r="Q19" s="12">
        <f>Q5/M5-1</f>
        <v>0.95595756049156533</v>
      </c>
      <c r="R19" s="12">
        <f>R5/N5-1</f>
        <v>0.76923076923076916</v>
      </c>
      <c r="S19" s="12">
        <f t="shared" ref="S19:V19" si="54">S5/O5-1</f>
        <v>0.39999999999999991</v>
      </c>
      <c r="T19" s="12">
        <f t="shared" si="54"/>
        <v>0.39999999999999991</v>
      </c>
      <c r="U19" s="12">
        <f t="shared" si="54"/>
        <v>0.39999999999999991</v>
      </c>
      <c r="V19" s="12">
        <f t="shared" si="54"/>
        <v>0.39999999999999991</v>
      </c>
      <c r="Y19" s="14">
        <f>Y5/X5-1</f>
        <v>0.77490514630289553</v>
      </c>
      <c r="Z19" s="14">
        <f>Z5/Y5-1</f>
        <v>0.39999999999999991</v>
      </c>
      <c r="AA19" s="14">
        <f>AA5/Z5-1</f>
        <v>0.8</v>
      </c>
      <c r="AB19" s="14">
        <f>AB5/AA5-1</f>
        <v>0.39999999999999991</v>
      </c>
      <c r="AC19" s="14">
        <f>AC5/AB5-1</f>
        <v>0.30000000000000004</v>
      </c>
      <c r="AD19" s="14">
        <f>AD5/AC5-1</f>
        <v>0.30000000000000004</v>
      </c>
      <c r="AE19" s="14">
        <f>AE5/AD5-1</f>
        <v>0.30000000000000004</v>
      </c>
      <c r="AF19" s="14">
        <f>AF5/AE5-1</f>
        <v>0.19999999999999996</v>
      </c>
      <c r="AG19" s="14">
        <f>AG5/AF5-1</f>
        <v>0.19999999999999996</v>
      </c>
      <c r="AH19" s="14">
        <f>AH5/AG5-1</f>
        <v>0.19999999999999996</v>
      </c>
      <c r="AI19" s="14">
        <f>AI5/AH5-1</f>
        <v>0.19999999999999996</v>
      </c>
    </row>
    <row r="20" spans="2:35" x14ac:dyDescent="0.15">
      <c r="B20" s="1" t="s">
        <v>21</v>
      </c>
      <c r="G20" s="9">
        <f>G7/G5</f>
        <v>0</v>
      </c>
      <c r="H20" s="9">
        <f>H7/H5</f>
        <v>0.23520025787734714</v>
      </c>
      <c r="I20" s="9">
        <f>I7/I5</f>
        <v>0.22120571673489897</v>
      </c>
      <c r="K20" s="9">
        <f>K7/K5</f>
        <v>0.26058835577306577</v>
      </c>
      <c r="L20" s="9">
        <f>L7/L5</f>
        <v>0.25563994691814668</v>
      </c>
      <c r="M20" s="9">
        <f>M7/M5</f>
        <v>0.26711701396839943</v>
      </c>
      <c r="N20" s="9">
        <f>N7/N5</f>
        <v>0.32</v>
      </c>
      <c r="O20" s="9">
        <f>O7/O5</f>
        <v>0.3</v>
      </c>
      <c r="P20" s="9">
        <f>P7/P5</f>
        <v>0.3</v>
      </c>
      <c r="Q20" s="9">
        <f>Q7/Q5</f>
        <v>0.3</v>
      </c>
      <c r="R20" s="9">
        <f>R7/R5</f>
        <v>0.3</v>
      </c>
      <c r="S20" s="9">
        <f t="shared" ref="S20:AI20" si="55">S7/S5</f>
        <v>0.32</v>
      </c>
      <c r="T20" s="9">
        <f t="shared" si="55"/>
        <v>0.32</v>
      </c>
      <c r="U20" s="9">
        <f t="shared" si="55"/>
        <v>0.32</v>
      </c>
      <c r="V20" s="9">
        <f t="shared" si="55"/>
        <v>0.32</v>
      </c>
      <c r="X20" s="9">
        <f t="shared" si="55"/>
        <v>0.27875692097753479</v>
      </c>
      <c r="Y20" s="9">
        <f t="shared" si="55"/>
        <v>0.31</v>
      </c>
      <c r="Z20" s="9">
        <f t="shared" si="55"/>
        <v>0.33</v>
      </c>
      <c r="AA20" s="9">
        <f t="shared" si="55"/>
        <v>0.35</v>
      </c>
      <c r="AB20" s="9">
        <f t="shared" si="55"/>
        <v>0.37</v>
      </c>
      <c r="AC20" s="9">
        <f t="shared" si="55"/>
        <v>0.39000000000000007</v>
      </c>
      <c r="AD20" s="9">
        <f t="shared" si="55"/>
        <v>0.4</v>
      </c>
      <c r="AE20" s="9">
        <f t="shared" si="55"/>
        <v>0.4</v>
      </c>
      <c r="AF20" s="9">
        <f t="shared" si="55"/>
        <v>0.41</v>
      </c>
      <c r="AG20" s="9">
        <f t="shared" si="55"/>
        <v>0.41</v>
      </c>
      <c r="AH20" s="9">
        <f t="shared" si="55"/>
        <v>0.42</v>
      </c>
      <c r="AI20" s="9">
        <f t="shared" si="55"/>
        <v>0.42</v>
      </c>
    </row>
    <row r="24" spans="2:35" x14ac:dyDescent="0.15">
      <c r="AG24" s="1" t="s">
        <v>45</v>
      </c>
      <c r="AH24" s="13">
        <v>0.1</v>
      </c>
    </row>
    <row r="25" spans="2:35" x14ac:dyDescent="0.15">
      <c r="AG25" s="1" t="s">
        <v>46</v>
      </c>
      <c r="AH25" s="13">
        <v>-0.01</v>
      </c>
    </row>
    <row r="26" spans="2:35" x14ac:dyDescent="0.15">
      <c r="AG26" s="1" t="s">
        <v>47</v>
      </c>
      <c r="AH26" s="3">
        <f>NPV(AH24,Y15:CF15)</f>
        <v>21687.375238970915</v>
      </c>
    </row>
    <row r="27" spans="2:35" x14ac:dyDescent="0.15">
      <c r="AG27" s="1" t="s">
        <v>48</v>
      </c>
      <c r="AH27" s="2">
        <f>AH26/Main!L3</f>
        <v>43.668188037781185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2024-11-27T19:58:22Z</dcterms:created>
  <dcterms:modified xsi:type="dcterms:W3CDTF">2024-11-27T20:43:46Z</dcterms:modified>
</cp:coreProperties>
</file>