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9DFEB33-0065-430D-A463-7ADF5E7F75A4}" xr6:coauthVersionLast="47" xr6:coauthVersionMax="47" xr10:uidLastSave="{00000000-0000-0000-0000-000000000000}"/>
  <bookViews>
    <workbookView xWindow="-23535" yWindow="1920" windowWidth="22185" windowHeight="15960" activeTab="3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Hemlibra" sheetId="134" r:id="rId9"/>
    <sheet name="Avastin" sheetId="113" r:id="rId10"/>
    <sheet name="Avastin Model" sheetId="128" r:id="rId11"/>
    <sheet name="Polivy" sheetId="133" r:id="rId12"/>
    <sheet name="Herceptin" sheetId="118" r:id="rId13"/>
    <sheet name="Pegasys" sheetId="119" r:id="rId14"/>
    <sheet name="Xeloda" sheetId="127" r:id="rId15"/>
    <sheet name="Actemra" sheetId="112" r:id="rId16"/>
    <sheet name="Lucentis" sheetId="123" r:id="rId17"/>
    <sheet name="Perjeta" sheetId="117" r:id="rId18"/>
    <sheet name="Ocrevus" sheetId="126" r:id="rId19"/>
    <sheet name="Kadcyla" sheetId="130" r:id="rId20"/>
    <sheet name="Mircera" sheetId="102" r:id="rId21"/>
    <sheet name="Tarceva" sheetId="122" r:id="rId22"/>
    <sheet name="Failures" sheetId="125" r:id="rId23"/>
    <sheet name="dalcetrapib" sheetId="111" r:id="rId24"/>
    <sheet name="aleglitazar" sheetId="120" r:id="rId25"/>
    <sheet name="R1626" sheetId="114" r:id="rId26"/>
    <sheet name="taspoglutide" sheetId="116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34" i="99" l="1"/>
  <c r="EB34" i="99" s="1"/>
  <c r="EA33" i="99"/>
  <c r="EB33" i="99" s="1"/>
  <c r="EA44" i="99"/>
  <c r="EB44" i="99" s="1"/>
  <c r="EA37" i="99"/>
  <c r="EA38" i="99"/>
  <c r="EA40" i="99"/>
  <c r="EB40" i="99" s="1"/>
  <c r="EA41" i="99"/>
  <c r="EA39" i="99"/>
  <c r="EB39" i="99" s="1"/>
  <c r="EA36" i="99"/>
  <c r="EA32" i="99"/>
  <c r="EB32" i="99" s="1"/>
  <c r="EA29" i="99"/>
  <c r="EB29" i="99" s="1"/>
  <c r="EA28" i="99"/>
  <c r="EA27" i="99"/>
  <c r="EA26" i="99"/>
  <c r="EA25" i="99"/>
  <c r="EA22" i="99"/>
  <c r="EA21" i="99"/>
  <c r="EA20" i="99"/>
  <c r="EB20" i="99" s="1"/>
  <c r="EA19" i="99"/>
  <c r="EA18" i="99"/>
  <c r="EA17" i="99"/>
  <c r="EA16" i="99"/>
  <c r="EA15" i="99"/>
  <c r="EA14" i="99"/>
  <c r="EB14" i="99" s="1"/>
  <c r="EA13" i="99"/>
  <c r="EA12" i="99"/>
  <c r="EB12" i="99" s="1"/>
  <c r="EA11" i="99"/>
  <c r="EB11" i="99" s="1"/>
  <c r="EA10" i="99"/>
  <c r="EA9" i="99"/>
  <c r="EB9" i="99" s="1"/>
  <c r="EB41" i="99"/>
  <c r="EB38" i="99"/>
  <c r="EB37" i="99"/>
  <c r="EB23" i="99"/>
  <c r="FC36" i="99"/>
  <c r="EB28" i="99"/>
  <c r="EB27" i="99"/>
  <c r="EB26" i="99"/>
  <c r="EB25" i="99"/>
  <c r="EB22" i="99"/>
  <c r="EB21" i="99"/>
  <c r="EB19" i="99"/>
  <c r="EB18" i="99"/>
  <c r="EB17" i="99"/>
  <c r="EB16" i="99"/>
  <c r="EB15" i="99"/>
  <c r="EB13" i="99"/>
  <c r="EB10" i="99"/>
  <c r="FC165" i="99"/>
  <c r="FC164" i="99"/>
  <c r="FC161" i="99"/>
  <c r="FC157" i="99"/>
  <c r="FC152" i="99"/>
  <c r="FC150" i="99"/>
  <c r="FB83" i="99"/>
  <c r="FC77" i="99"/>
  <c r="FC75" i="99"/>
  <c r="FB79" i="99"/>
  <c r="FC61" i="99"/>
  <c r="FC60" i="99"/>
  <c r="FC59" i="99"/>
  <c r="FC58" i="99"/>
  <c r="FC57" i="99"/>
  <c r="FC56" i="99"/>
  <c r="FC55" i="99"/>
  <c r="FC54" i="99"/>
  <c r="FC27" i="99"/>
  <c r="FC6" i="99"/>
  <c r="DY24" i="99"/>
  <c r="FC24" i="99" s="1"/>
  <c r="DY20" i="99"/>
  <c r="FC20" i="99" s="1"/>
  <c r="DY27" i="99"/>
  <c r="DY23" i="99"/>
  <c r="FC23" i="99" s="1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FC18" i="99" s="1"/>
  <c r="DY16" i="99"/>
  <c r="FC16" i="99" s="1"/>
  <c r="DY15" i="99"/>
  <c r="FC15" i="99" s="1"/>
  <c r="DY14" i="99"/>
  <c r="FC14" i="99" s="1"/>
  <c r="DY13" i="99"/>
  <c r="FC13" i="99" s="1"/>
  <c r="DY12" i="99"/>
  <c r="FC12" i="99" s="1"/>
  <c r="DY11" i="99"/>
  <c r="FC11" i="99" s="1"/>
  <c r="DY10" i="99"/>
  <c r="FC10" i="99" s="1"/>
  <c r="DY9" i="99"/>
  <c r="FC9" i="99" s="1"/>
  <c r="DZ3" i="99"/>
  <c r="FB28" i="99"/>
  <c r="FB17" i="99"/>
  <c r="FB26" i="99"/>
  <c r="FB19" i="99"/>
  <c r="FB30" i="99"/>
  <c r="FB25" i="99"/>
  <c r="FB24" i="99"/>
  <c r="FB21" i="99"/>
  <c r="FB15" i="99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C149" i="99" l="1"/>
  <c r="FC159" i="99"/>
  <c r="FC169" i="99"/>
  <c r="FB67" i="99"/>
  <c r="FC67" i="99"/>
  <c r="FC70" i="99" s="1"/>
  <c r="FC76" i="99" s="1"/>
  <c r="FC79" i="99" s="1"/>
  <c r="FC81" i="99" s="1"/>
  <c r="FC83" i="99" s="1"/>
  <c r="DY3" i="99"/>
  <c r="DU3" i="99"/>
  <c r="FA105" i="99"/>
  <c r="EZ77" i="99"/>
  <c r="EZ75" i="99"/>
  <c r="FA77" i="99"/>
  <c r="FA75" i="99"/>
  <c r="EZ66" i="99"/>
  <c r="FA66" i="99"/>
  <c r="FA20" i="99"/>
  <c r="EZ20" i="99"/>
  <c r="DR3" i="99"/>
  <c r="FC99" i="99" l="1"/>
  <c r="EZ3" i="99"/>
  <c r="FA3" i="99"/>
  <c r="FA67" i="99"/>
  <c r="FA90" i="99" s="1"/>
  <c r="EZ67" i="99"/>
  <c r="EZ70" i="99" s="1"/>
  <c r="EZ89" i="99" s="1"/>
  <c r="EN20" i="99"/>
  <c r="EO20" i="99"/>
  <c r="ER20" i="99"/>
  <c r="ES20" i="99"/>
  <c r="FA92" i="99" l="1"/>
  <c r="FB99" i="99"/>
  <c r="FA91" i="99"/>
  <c r="FA70" i="99"/>
  <c r="FA99" i="99"/>
  <c r="FA76" i="99"/>
  <c r="FA89" i="99"/>
  <c r="ES63" i="99"/>
  <c r="ER63" i="99"/>
  <c r="ES11" i="99"/>
  <c r="ET11" i="99" s="1"/>
  <c r="EU11" i="99" s="1"/>
  <c r="EV11" i="99" s="1"/>
  <c r="EW11" i="99" s="1"/>
  <c r="EX11" i="99" s="1"/>
  <c r="ER11" i="99"/>
  <c r="ES62" i="99"/>
  <c r="ET62" i="99" s="1"/>
  <c r="EU62" i="99" s="1"/>
  <c r="EV62" i="99" s="1"/>
  <c r="EW62" i="99" s="1"/>
  <c r="EX62" i="99" s="1"/>
  <c r="ER62" i="99"/>
  <c r="ES61" i="99"/>
  <c r="ER61" i="99"/>
  <c r="ES60" i="99"/>
  <c r="ER60" i="99"/>
  <c r="ES59" i="99"/>
  <c r="ER59" i="99"/>
  <c r="ES58" i="99"/>
  <c r="ER58" i="99"/>
  <c r="ES57" i="99"/>
  <c r="ER57" i="99"/>
  <c r="ES56" i="99"/>
  <c r="ER56" i="99"/>
  <c r="ES55" i="99"/>
  <c r="ER55" i="99"/>
  <c r="ES54" i="99"/>
  <c r="ER54" i="99"/>
  <c r="ES53" i="99"/>
  <c r="ET53" i="99" s="1"/>
  <c r="EU53" i="99" s="1"/>
  <c r="EV53" i="99" s="1"/>
  <c r="EW53" i="99" s="1"/>
  <c r="EX53" i="99" s="1"/>
  <c r="ER53" i="99"/>
  <c r="ES52" i="99"/>
  <c r="ER52" i="99"/>
  <c r="ES25" i="99"/>
  <c r="ER25" i="99"/>
  <c r="ES27" i="99"/>
  <c r="ER27" i="99"/>
  <c r="ES50" i="99"/>
  <c r="ER50" i="99"/>
  <c r="ES49" i="99"/>
  <c r="ET49" i="99" s="1"/>
  <c r="EU49" i="99" s="1"/>
  <c r="EV49" i="99" s="1"/>
  <c r="EW49" i="99" s="1"/>
  <c r="EX49" i="99" s="1"/>
  <c r="EY49" i="99" s="1"/>
  <c r="ER49" i="99"/>
  <c r="ES15" i="99"/>
  <c r="ER15" i="99"/>
  <c r="ES28" i="99"/>
  <c r="ER28" i="99"/>
  <c r="ES48" i="99"/>
  <c r="ER48" i="99"/>
  <c r="ES14" i="99"/>
  <c r="ER14" i="99"/>
  <c r="ES46" i="99"/>
  <c r="ER46" i="99"/>
  <c r="ES45" i="99"/>
  <c r="ER45" i="99"/>
  <c r="ES43" i="99"/>
  <c r="ER43" i="99"/>
  <c r="ES42" i="99"/>
  <c r="ER42" i="99"/>
  <c r="ES24" i="99"/>
  <c r="ER24" i="99"/>
  <c r="ES18" i="99"/>
  <c r="ER18" i="99"/>
  <c r="ER22" i="99"/>
  <c r="EQ61" i="99"/>
  <c r="EQ60" i="99"/>
  <c r="EQ59" i="99"/>
  <c r="EQ58" i="99"/>
  <c r="EQ57" i="99"/>
  <c r="EQ56" i="99"/>
  <c r="EQ55" i="99"/>
  <c r="EQ54" i="99"/>
  <c r="ES22" i="99"/>
  <c r="EO22" i="99"/>
  <c r="EN22" i="99"/>
  <c r="EK22" i="99"/>
  <c r="EJ22" i="99"/>
  <c r="FA93" i="99" l="1"/>
  <c r="FA79" i="99"/>
  <c r="EP89" i="99"/>
  <c r="EQ77" i="99"/>
  <c r="EQ75" i="99"/>
  <c r="EQ8" i="99"/>
  <c r="EQ7" i="99"/>
  <c r="EQ6" i="99"/>
  <c r="EQ5" i="99"/>
  <c r="EQ4" i="99"/>
  <c r="EQ52" i="99"/>
  <c r="ET52" i="99" s="1"/>
  <c r="EU52" i="99" s="1"/>
  <c r="EV52" i="99" s="1"/>
  <c r="EW52" i="99" s="1"/>
  <c r="EX52" i="99" s="1"/>
  <c r="EY52" i="99" s="1"/>
  <c r="EQ51" i="99"/>
  <c r="CC66" i="99"/>
  <c r="CC67" i="99" s="1"/>
  <c r="CB66" i="99"/>
  <c r="CB67" i="99" s="1"/>
  <c r="BZ66" i="99"/>
  <c r="V14" i="99"/>
  <c r="V52" i="99"/>
  <c r="V51" i="99"/>
  <c r="BY66" i="99"/>
  <c r="BY67" i="99" s="1"/>
  <c r="V6" i="99"/>
  <c r="V25" i="99"/>
  <c r="V27" i="99"/>
  <c r="V50" i="99"/>
  <c r="V49" i="99"/>
  <c r="V15" i="99"/>
  <c r="V28" i="99"/>
  <c r="V48" i="99"/>
  <c r="V47" i="99"/>
  <c r="V46" i="99"/>
  <c r="V45" i="99"/>
  <c r="V43" i="99"/>
  <c r="V42" i="99"/>
  <c r="V24" i="99"/>
  <c r="V18" i="99"/>
  <c r="X18" i="99" s="1"/>
  <c r="V20" i="99"/>
  <c r="X20" i="99" s="1"/>
  <c r="V22" i="99"/>
  <c r="X22" i="99" s="1"/>
  <c r="CA46" i="99"/>
  <c r="EQ46" i="99" s="1"/>
  <c r="FA95" i="99" l="1"/>
  <c r="FA94" i="99"/>
  <c r="FA81" i="99"/>
  <c r="FA83" i="99" s="1"/>
  <c r="FA96" i="99" s="1"/>
  <c r="BZ67" i="99"/>
  <c r="BY122" i="99"/>
  <c r="BZ122" i="99"/>
  <c r="CC122" i="99"/>
  <c r="BY123" i="99"/>
  <c r="BZ123" i="99"/>
  <c r="CC123" i="99"/>
  <c r="CA53" i="99"/>
  <c r="CA14" i="99"/>
  <c r="EQ14" i="99" s="1"/>
  <c r="U52" i="99"/>
  <c r="CA25" i="99"/>
  <c r="CA27" i="99"/>
  <c r="CA50" i="99"/>
  <c r="CA49" i="99"/>
  <c r="EQ49" i="99" s="1"/>
  <c r="CA15" i="99"/>
  <c r="CA48" i="99"/>
  <c r="CA47" i="99"/>
  <c r="U46" i="99"/>
  <c r="CA45" i="99"/>
  <c r="CA43" i="99"/>
  <c r="CA42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ET20" i="99"/>
  <c r="EU20" i="99" s="1"/>
  <c r="EV20" i="99" s="1"/>
  <c r="EW20" i="99" s="1"/>
  <c r="EX20" i="99" s="1"/>
  <c r="EY20" i="99" s="1"/>
  <c r="U42" i="99"/>
  <c r="EQ42" i="99"/>
  <c r="U50" i="99"/>
  <c r="EQ50" i="99"/>
  <c r="U14" i="99"/>
  <c r="U18" i="99"/>
  <c r="W18" i="99" s="1"/>
  <c r="EQ18" i="99"/>
  <c r="ET18" i="99" s="1"/>
  <c r="EU18" i="99" s="1"/>
  <c r="EV18" i="99" s="1"/>
  <c r="EW18" i="99" s="1"/>
  <c r="EX18" i="99" s="1"/>
  <c r="EY18" i="99" s="1"/>
  <c r="U48" i="99"/>
  <c r="EQ48" i="99"/>
  <c r="U24" i="99"/>
  <c r="EQ24" i="99"/>
  <c r="U45" i="99"/>
  <c r="EQ45" i="99"/>
  <c r="U15" i="99"/>
  <c r="EQ15" i="99"/>
  <c r="U25" i="99"/>
  <c r="EQ25" i="99"/>
  <c r="U49" i="99"/>
  <c r="U47" i="99"/>
  <c r="EQ47" i="99"/>
  <c r="U43" i="99"/>
  <c r="EQ43" i="99"/>
  <c r="U27" i="99"/>
  <c r="EQ27" i="99"/>
  <c r="U53" i="99"/>
  <c r="V53" i="99" s="1"/>
  <c r="V67" i="99" s="1"/>
  <c r="EQ53" i="99"/>
  <c r="U22" i="99"/>
  <c r="W22" i="99" s="1"/>
  <c r="CA66" i="99"/>
  <c r="EQ66" i="99" s="1"/>
  <c r="U28" i="99"/>
  <c r="EQ28" i="99"/>
  <c r="U51" i="99"/>
  <c r="ET66" i="99" l="1"/>
  <c r="EU66" i="99" s="1"/>
  <c r="EV66" i="99" s="1"/>
  <c r="EW66" i="99" s="1"/>
  <c r="EX66" i="99" s="1"/>
  <c r="EY66" i="99" s="1"/>
  <c r="CA67" i="99"/>
  <c r="U67" i="99"/>
  <c r="CA3" i="99"/>
  <c r="EQ3" i="99" s="1"/>
  <c r="EQ67" i="99" s="1"/>
  <c r="EQ70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42" i="99"/>
  <c r="Q43" i="99"/>
  <c r="Q45" i="99"/>
  <c r="Q46" i="99"/>
  <c r="Q47" i="99"/>
  <c r="Q48" i="99"/>
  <c r="Q54" i="99"/>
  <c r="Q15" i="99"/>
  <c r="Q49" i="99"/>
  <c r="Q50" i="99"/>
  <c r="Q27" i="99"/>
  <c r="Q63" i="99"/>
  <c r="Q25" i="99"/>
  <c r="Q51" i="99"/>
  <c r="Q52" i="99"/>
  <c r="Q8" i="99"/>
  <c r="Q67" i="99" s="1"/>
  <c r="Q92" i="99" s="1"/>
  <c r="BT28" i="99"/>
  <c r="EO28" i="99" s="1"/>
  <c r="BT42" i="99"/>
  <c r="EO42" i="99" s="1"/>
  <c r="BT43" i="99"/>
  <c r="R43" i="99" s="1"/>
  <c r="BT45" i="99"/>
  <c r="BT129" i="99" s="1"/>
  <c r="BT46" i="99"/>
  <c r="R46" i="99" s="1"/>
  <c r="BT48" i="99"/>
  <c r="R48" i="99" s="1"/>
  <c r="BS4" i="99"/>
  <c r="BT4" i="99" s="1"/>
  <c r="BS5" i="99"/>
  <c r="BT5" i="99" s="1"/>
  <c r="R5" i="99" s="1"/>
  <c r="BS8" i="99"/>
  <c r="BT8" i="99" s="1"/>
  <c r="BU8" i="99"/>
  <c r="BU66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6" i="99"/>
  <c r="BL3" i="99" s="1"/>
  <c r="BM66" i="99"/>
  <c r="BM3" i="99" s="1"/>
  <c r="BN66" i="99"/>
  <c r="BN67" i="99" s="1"/>
  <c r="BO66" i="99"/>
  <c r="BO3" i="99" s="1"/>
  <c r="BP66" i="99"/>
  <c r="BP3" i="99" s="1"/>
  <c r="BQ66" i="99"/>
  <c r="BQ3" i="99" s="1"/>
  <c r="BR66" i="99"/>
  <c r="BW22" i="99"/>
  <c r="BW20" i="99"/>
  <c r="BW18" i="99"/>
  <c r="BW24" i="99"/>
  <c r="BX24" i="99" s="1"/>
  <c r="T24" i="99" s="1"/>
  <c r="BW28" i="99"/>
  <c r="BW42" i="99"/>
  <c r="BX42" i="99" s="1"/>
  <c r="T42" i="99" s="1"/>
  <c r="BW43" i="99"/>
  <c r="BX43" i="99" s="1"/>
  <c r="BW45" i="99"/>
  <c r="BX45" i="99" s="1"/>
  <c r="BW46" i="99"/>
  <c r="BW47" i="99"/>
  <c r="BX47" i="99" s="1"/>
  <c r="BW48" i="99"/>
  <c r="BX48" i="99" s="1"/>
  <c r="BW54" i="99"/>
  <c r="BX54" i="99" s="1"/>
  <c r="T54" i="99" s="1"/>
  <c r="BW15" i="99"/>
  <c r="BW49" i="99"/>
  <c r="BX49" i="99" s="1"/>
  <c r="T49" i="99" s="1"/>
  <c r="BW50" i="99"/>
  <c r="BX50" i="99" s="1"/>
  <c r="EP50" i="99" s="1"/>
  <c r="ET50" i="99" s="1"/>
  <c r="EU50" i="99" s="1"/>
  <c r="EV50" i="99" s="1"/>
  <c r="EW50" i="99" s="1"/>
  <c r="EX50" i="99" s="1"/>
  <c r="EY50" i="99" s="1"/>
  <c r="BW27" i="99"/>
  <c r="BX27" i="99" s="1"/>
  <c r="BW63" i="99"/>
  <c r="BW25" i="99"/>
  <c r="BX25" i="99" s="1"/>
  <c r="BW51" i="99"/>
  <c r="BX51" i="99" s="1"/>
  <c r="BW14" i="99"/>
  <c r="EP14" i="99" s="1"/>
  <c r="EG3" i="99"/>
  <c r="EH3" i="99"/>
  <c r="EI3" i="99"/>
  <c r="EJ18" i="99"/>
  <c r="EJ24" i="99"/>
  <c r="EJ28" i="99"/>
  <c r="EJ42" i="99"/>
  <c r="EJ43" i="99"/>
  <c r="EJ45" i="99"/>
  <c r="EJ46" i="99"/>
  <c r="EJ47" i="99"/>
  <c r="EJ48" i="99"/>
  <c r="EJ54" i="99"/>
  <c r="EJ15" i="99"/>
  <c r="EJ49" i="99"/>
  <c r="EJ50" i="99"/>
  <c r="EJ27" i="99"/>
  <c r="EJ63" i="99"/>
  <c r="EJ25" i="99"/>
  <c r="EJ51" i="99"/>
  <c r="EJ55" i="99"/>
  <c r="EJ56" i="99"/>
  <c r="EJ57" i="99"/>
  <c r="EJ58" i="99"/>
  <c r="EJ59" i="99"/>
  <c r="EJ60" i="99"/>
  <c r="EJ61" i="99"/>
  <c r="EJ65" i="99"/>
  <c r="EK18" i="99"/>
  <c r="EK24" i="99"/>
  <c r="EK28" i="99"/>
  <c r="EK42" i="99"/>
  <c r="EK43" i="99"/>
  <c r="EK45" i="99"/>
  <c r="EK46" i="99"/>
  <c r="EK47" i="99"/>
  <c r="EK48" i="99"/>
  <c r="EK54" i="99"/>
  <c r="EK15" i="99"/>
  <c r="EK49" i="99"/>
  <c r="EK50" i="99"/>
  <c r="EK27" i="99"/>
  <c r="EK63" i="99"/>
  <c r="EK25" i="99"/>
  <c r="EK51" i="99"/>
  <c r="EK55" i="99"/>
  <c r="EK56" i="99"/>
  <c r="EK57" i="99"/>
  <c r="EK58" i="99"/>
  <c r="EK59" i="99"/>
  <c r="EK60" i="99"/>
  <c r="EK61" i="99"/>
  <c r="EK65" i="99"/>
  <c r="L22" i="99"/>
  <c r="EL22" i="99" s="1"/>
  <c r="L20" i="99"/>
  <c r="EL20" i="99" s="1"/>
  <c r="L18" i="99"/>
  <c r="EL18" i="99" s="1"/>
  <c r="L24" i="99"/>
  <c r="EL24" i="99" s="1"/>
  <c r="L28" i="99"/>
  <c r="EL28" i="99" s="1"/>
  <c r="L42" i="99"/>
  <c r="EL42" i="99" s="1"/>
  <c r="L43" i="99"/>
  <c r="EL43" i="99" s="1"/>
  <c r="L45" i="99"/>
  <c r="EL45" i="99" s="1"/>
  <c r="L46" i="99"/>
  <c r="EL46" i="99" s="1"/>
  <c r="L47" i="99"/>
  <c r="EL47" i="99" s="1"/>
  <c r="L48" i="99"/>
  <c r="EL48" i="99" s="1"/>
  <c r="L54" i="99"/>
  <c r="EL54" i="99" s="1"/>
  <c r="L15" i="99"/>
  <c r="EL15" i="99" s="1"/>
  <c r="L49" i="99"/>
  <c r="EL49" i="99" s="1"/>
  <c r="L50" i="99"/>
  <c r="EL50" i="99" s="1"/>
  <c r="L27" i="99"/>
  <c r="EL27" i="99" s="1"/>
  <c r="L63" i="99"/>
  <c r="EL63" i="99" s="1"/>
  <c r="L25" i="99"/>
  <c r="EL25" i="99" s="1"/>
  <c r="L51" i="99"/>
  <c r="EL51" i="99" s="1"/>
  <c r="L55" i="99"/>
  <c r="EL55" i="99" s="1"/>
  <c r="EL65" i="99"/>
  <c r="N22" i="99"/>
  <c r="EM22" i="99" s="1"/>
  <c r="N20" i="99"/>
  <c r="EM20" i="99" s="1"/>
  <c r="N18" i="99"/>
  <c r="EM18" i="99" s="1"/>
  <c r="N24" i="99"/>
  <c r="EM24" i="99" s="1"/>
  <c r="N28" i="99"/>
  <c r="EM28" i="99" s="1"/>
  <c r="N42" i="99"/>
  <c r="EM42" i="99" s="1"/>
  <c r="N43" i="99"/>
  <c r="EM43" i="99" s="1"/>
  <c r="N45" i="99"/>
  <c r="EM45" i="99" s="1"/>
  <c r="N46" i="99"/>
  <c r="EM46" i="99" s="1"/>
  <c r="N47" i="99"/>
  <c r="EM47" i="99" s="1"/>
  <c r="N48" i="99"/>
  <c r="EM48" i="99" s="1"/>
  <c r="N54" i="99"/>
  <c r="EM54" i="99" s="1"/>
  <c r="N15" i="99"/>
  <c r="EM15" i="99" s="1"/>
  <c r="N49" i="99"/>
  <c r="EM49" i="99" s="1"/>
  <c r="N50" i="99"/>
  <c r="EM50" i="99" s="1"/>
  <c r="N27" i="99"/>
  <c r="EM27" i="99" s="1"/>
  <c r="N63" i="99"/>
  <c r="EM63" i="99" s="1"/>
  <c r="N25" i="99"/>
  <c r="EM25" i="99" s="1"/>
  <c r="N51" i="99"/>
  <c r="EM51" i="99" s="1"/>
  <c r="EM52" i="99"/>
  <c r="N55" i="99"/>
  <c r="EM55" i="99" s="1"/>
  <c r="EN18" i="99"/>
  <c r="EN24" i="99"/>
  <c r="EN28" i="99"/>
  <c r="EN42" i="99"/>
  <c r="EN43" i="99"/>
  <c r="EN45" i="99"/>
  <c r="EN46" i="99"/>
  <c r="EN47" i="99"/>
  <c r="EN48" i="99"/>
  <c r="EN54" i="99"/>
  <c r="EN15" i="99"/>
  <c r="EN49" i="99"/>
  <c r="EN50" i="99"/>
  <c r="EN27" i="99"/>
  <c r="EN63" i="99"/>
  <c r="EN25" i="99"/>
  <c r="EN51" i="99"/>
  <c r="EN52" i="99"/>
  <c r="EO18" i="99"/>
  <c r="EO24" i="99"/>
  <c r="EO47" i="99"/>
  <c r="EO54" i="99"/>
  <c r="EO15" i="99"/>
  <c r="EO49" i="99"/>
  <c r="EO50" i="99"/>
  <c r="EO27" i="99"/>
  <c r="EO63" i="99"/>
  <c r="EO25" i="99"/>
  <c r="EO51" i="99"/>
  <c r="EO52" i="99"/>
  <c r="BV66" i="99"/>
  <c r="ET48" i="99"/>
  <c r="EU48" i="99" s="1"/>
  <c r="EV48" i="99" s="1"/>
  <c r="EW48" i="99" s="1"/>
  <c r="EX48" i="99" s="1"/>
  <c r="EY48" i="99" s="1"/>
  <c r="ET14" i="99"/>
  <c r="EU14" i="99" s="1"/>
  <c r="EV14" i="99" s="1"/>
  <c r="EW14" i="99" s="1"/>
  <c r="EX14" i="99" s="1"/>
  <c r="EY14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5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42" i="99"/>
  <c r="P42" i="99"/>
  <c r="J43" i="99"/>
  <c r="P43" i="99"/>
  <c r="J45" i="99"/>
  <c r="P45" i="99"/>
  <c r="J46" i="99"/>
  <c r="P46" i="99"/>
  <c r="J47" i="99"/>
  <c r="P47" i="99"/>
  <c r="R47" i="99"/>
  <c r="J48" i="99"/>
  <c r="P48" i="99"/>
  <c r="J54" i="99"/>
  <c r="P54" i="99"/>
  <c r="R54" i="99"/>
  <c r="J15" i="99"/>
  <c r="P15" i="99"/>
  <c r="R15" i="99"/>
  <c r="J49" i="99"/>
  <c r="P49" i="99"/>
  <c r="R49" i="99"/>
  <c r="J50" i="99"/>
  <c r="P50" i="99"/>
  <c r="R50" i="99"/>
  <c r="J27" i="99"/>
  <c r="P27" i="99"/>
  <c r="R27" i="99"/>
  <c r="J63" i="99"/>
  <c r="P63" i="99"/>
  <c r="R63" i="99"/>
  <c r="J25" i="99"/>
  <c r="P25" i="99"/>
  <c r="R25" i="99"/>
  <c r="J51" i="99"/>
  <c r="P51" i="99"/>
  <c r="R51" i="99"/>
  <c r="P52" i="99"/>
  <c r="R52" i="99"/>
  <c r="T52" i="99"/>
  <c r="J55" i="99"/>
  <c r="T14" i="99"/>
  <c r="I66" i="99"/>
  <c r="K66" i="99"/>
  <c r="O66" i="99"/>
  <c r="BH66" i="99"/>
  <c r="BH67" i="99" s="1"/>
  <c r="BI66" i="99"/>
  <c r="BI67" i="99" s="1"/>
  <c r="BJ66" i="99"/>
  <c r="BJ67" i="99" s="1"/>
  <c r="BK66" i="99"/>
  <c r="BK67" i="99" s="1"/>
  <c r="I67" i="99"/>
  <c r="K67" i="99"/>
  <c r="K70" i="99" s="1"/>
  <c r="K89" i="99" s="1"/>
  <c r="O67" i="99"/>
  <c r="O70" i="99" s="1"/>
  <c r="BV67" i="99"/>
  <c r="J68" i="99"/>
  <c r="EK68" i="99" s="1"/>
  <c r="L68" i="99"/>
  <c r="EL68" i="99" s="1"/>
  <c r="M68" i="99"/>
  <c r="N68" i="99" s="1"/>
  <c r="EM68" i="99" s="1"/>
  <c r="P68" i="99"/>
  <c r="EN68" i="99" s="1"/>
  <c r="R68" i="99"/>
  <c r="EO68" i="99" s="1"/>
  <c r="T68" i="99"/>
  <c r="J69" i="99"/>
  <c r="EK69" i="99" s="1"/>
  <c r="L69" i="99"/>
  <c r="EL69" i="99" s="1"/>
  <c r="N69" i="99"/>
  <c r="EM69" i="99" s="1"/>
  <c r="P69" i="99"/>
  <c r="EN69" i="99" s="1"/>
  <c r="R69" i="99"/>
  <c r="EO69" i="99" s="1"/>
  <c r="T69" i="99"/>
  <c r="EP69" i="99" s="1"/>
  <c r="J71" i="99"/>
  <c r="L71" i="99"/>
  <c r="EL71" i="99" s="1"/>
  <c r="N71" i="99"/>
  <c r="EM71" i="99" s="1"/>
  <c r="P71" i="99"/>
  <c r="EN71" i="99" s="1"/>
  <c r="R71" i="99"/>
  <c r="EO71" i="99" s="1"/>
  <c r="T71" i="99"/>
  <c r="EP71" i="99" s="1"/>
  <c r="ER71" i="99" s="1"/>
  <c r="J72" i="99"/>
  <c r="L72" i="99"/>
  <c r="EL72" i="99" s="1"/>
  <c r="EL108" i="99" s="1"/>
  <c r="N72" i="99"/>
  <c r="EM72" i="99" s="1"/>
  <c r="P72" i="99"/>
  <c r="R72" i="99"/>
  <c r="EO72" i="99" s="1"/>
  <c r="T72" i="99"/>
  <c r="J73" i="99"/>
  <c r="EK73" i="99" s="1"/>
  <c r="EK109" i="99" s="1"/>
  <c r="L73" i="99"/>
  <c r="EL73" i="99" s="1"/>
  <c r="N73" i="99"/>
  <c r="P73" i="99"/>
  <c r="EN73" i="99" s="1"/>
  <c r="R73" i="99"/>
  <c r="EO73" i="99" s="1"/>
  <c r="T73" i="99"/>
  <c r="EP73" i="99" s="1"/>
  <c r="M74" i="99"/>
  <c r="N74" i="99" s="1"/>
  <c r="O75" i="99"/>
  <c r="Q75" i="99"/>
  <c r="S75" i="99"/>
  <c r="J77" i="99"/>
  <c r="L77" i="99"/>
  <c r="EL77" i="99" s="1"/>
  <c r="N77" i="99"/>
  <c r="EM77" i="99" s="1"/>
  <c r="P77" i="99"/>
  <c r="R77" i="99"/>
  <c r="EO77" i="99" s="1"/>
  <c r="T77" i="99"/>
  <c r="EP77" i="99" s="1"/>
  <c r="EP87" i="99"/>
  <c r="T78" i="99"/>
  <c r="EP78" i="99" s="1"/>
  <c r="T80" i="99"/>
  <c r="EP80" i="99" s="1"/>
  <c r="T82" i="99"/>
  <c r="EP82" i="99" s="1"/>
  <c r="J78" i="99"/>
  <c r="L78" i="99"/>
  <c r="EL78" i="99" s="1"/>
  <c r="N78" i="99"/>
  <c r="EM78" i="99" s="1"/>
  <c r="P78" i="99"/>
  <c r="R78" i="99"/>
  <c r="EO78" i="99" s="1"/>
  <c r="J80" i="99"/>
  <c r="L80" i="99"/>
  <c r="EL80" i="99" s="1"/>
  <c r="N80" i="99"/>
  <c r="EM80" i="99" s="1"/>
  <c r="R80" i="99"/>
  <c r="EO80" i="99" s="1"/>
  <c r="J82" i="99"/>
  <c r="L82" i="99"/>
  <c r="EL82" i="99" s="1"/>
  <c r="N82" i="99"/>
  <c r="EM82" i="99" s="1"/>
  <c r="P82" i="99"/>
  <c r="R82" i="99"/>
  <c r="EO82" i="99" s="1"/>
  <c r="P85" i="99"/>
  <c r="Q85" i="99" s="1"/>
  <c r="R85" i="99" s="1"/>
  <c r="S85" i="99" s="1"/>
  <c r="T85" i="99" s="1"/>
  <c r="EL85" i="99"/>
  <c r="EM85" i="99" s="1"/>
  <c r="EN85" i="99" s="1"/>
  <c r="EO85" i="99" s="1"/>
  <c r="EP85" i="99" s="1"/>
  <c r="EQ85" i="99" s="1"/>
  <c r="ER85" i="99" s="1"/>
  <c r="ES85" i="99" s="1"/>
  <c r="ET85" i="99" s="1"/>
  <c r="EN87" i="99"/>
  <c r="EO87" i="99"/>
  <c r="EH89" i="99"/>
  <c r="EI89" i="99"/>
  <c r="EJ89" i="99"/>
  <c r="EK107" i="99"/>
  <c r="EK108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T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T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T124" i="99"/>
  <c r="BU124" i="99"/>
  <c r="BV124" i="99"/>
  <c r="BY124" i="99"/>
  <c r="BZ124" i="99"/>
  <c r="CC124" i="99"/>
  <c r="BB125" i="99"/>
  <c r="BC125" i="99"/>
  <c r="BD125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B126" i="99"/>
  <c r="BC126" i="99"/>
  <c r="BD126" i="99"/>
  <c r="BE126" i="99"/>
  <c r="BF126" i="99"/>
  <c r="BG126" i="99"/>
  <c r="BH126" i="99"/>
  <c r="BI126" i="99"/>
  <c r="BJ126" i="99"/>
  <c r="BK126" i="99"/>
  <c r="BL126" i="99"/>
  <c r="BM126" i="99"/>
  <c r="BN126" i="99"/>
  <c r="BO126" i="99"/>
  <c r="BP126" i="99"/>
  <c r="BQ126" i="99"/>
  <c r="BR126" i="99"/>
  <c r="BS126" i="99"/>
  <c r="BU126" i="99"/>
  <c r="BV126" i="99"/>
  <c r="BB127" i="99"/>
  <c r="BC127" i="99"/>
  <c r="BD127" i="99"/>
  <c r="BE127" i="99"/>
  <c r="BF127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U129" i="99"/>
  <c r="BV129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U130" i="99"/>
  <c r="BV130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BB133" i="99"/>
  <c r="BC133" i="99"/>
  <c r="BD133" i="99"/>
  <c r="BE133" i="99"/>
  <c r="BF133" i="99"/>
  <c r="BG133" i="99"/>
  <c r="BH133" i="99"/>
  <c r="BI133" i="99"/>
  <c r="BJ133" i="99"/>
  <c r="BK133" i="99"/>
  <c r="BL133" i="99"/>
  <c r="BM133" i="99"/>
  <c r="BN133" i="99"/>
  <c r="BO133" i="99"/>
  <c r="BP133" i="99"/>
  <c r="BQ133" i="99"/>
  <c r="BR133" i="99"/>
  <c r="BS133" i="99"/>
  <c r="BT133" i="99"/>
  <c r="BU133" i="99"/>
  <c r="BV133" i="99"/>
  <c r="BB134" i="99"/>
  <c r="BC134" i="99"/>
  <c r="BD134" i="99"/>
  <c r="BE134" i="99"/>
  <c r="BF134" i="99"/>
  <c r="BG134" i="99"/>
  <c r="BH134" i="99"/>
  <c r="BI134" i="99"/>
  <c r="BJ134" i="99"/>
  <c r="BK134" i="99"/>
  <c r="BL134" i="99"/>
  <c r="BM134" i="99"/>
  <c r="BN134" i="99"/>
  <c r="BO134" i="99"/>
  <c r="BP134" i="99"/>
  <c r="BQ134" i="99"/>
  <c r="BR134" i="99"/>
  <c r="BS134" i="99"/>
  <c r="BT134" i="99"/>
  <c r="BU134" i="99"/>
  <c r="BV134" i="99"/>
  <c r="BB135" i="99"/>
  <c r="BC135" i="99"/>
  <c r="BD135" i="99"/>
  <c r="BE135" i="99"/>
  <c r="BF135" i="99"/>
  <c r="BG135" i="99"/>
  <c r="BH135" i="99"/>
  <c r="BI135" i="99"/>
  <c r="BJ135" i="99"/>
  <c r="BK135" i="99"/>
  <c r="BL135" i="99"/>
  <c r="BM135" i="99"/>
  <c r="BN135" i="99"/>
  <c r="BO135" i="99"/>
  <c r="BP135" i="99"/>
  <c r="BQ135" i="99"/>
  <c r="BR135" i="99"/>
  <c r="BS135" i="99"/>
  <c r="BT135" i="99"/>
  <c r="BU135" i="99"/>
  <c r="BV135" i="99"/>
  <c r="BB136" i="99"/>
  <c r="BC136" i="99"/>
  <c r="BD136" i="99"/>
  <c r="BE136" i="99"/>
  <c r="BF136" i="99"/>
  <c r="BG136" i="99"/>
  <c r="BH136" i="99"/>
  <c r="BI136" i="99"/>
  <c r="BJ136" i="99"/>
  <c r="BK136" i="99"/>
  <c r="BL136" i="99"/>
  <c r="BM136" i="99"/>
  <c r="BN136" i="99"/>
  <c r="BO136" i="99"/>
  <c r="BP136" i="99"/>
  <c r="BQ136" i="99"/>
  <c r="BR136" i="99"/>
  <c r="BS136" i="99"/>
  <c r="BT136" i="99"/>
  <c r="BU136" i="99"/>
  <c r="BV136" i="99"/>
  <c r="BB137" i="99"/>
  <c r="BC137" i="99"/>
  <c r="BD137" i="99"/>
  <c r="BE137" i="99"/>
  <c r="BF137" i="99"/>
  <c r="BG137" i="99"/>
  <c r="BH137" i="99"/>
  <c r="BI137" i="99"/>
  <c r="BJ137" i="99"/>
  <c r="BK137" i="99"/>
  <c r="BL137" i="99"/>
  <c r="BM137" i="99"/>
  <c r="BN137" i="99"/>
  <c r="BO137" i="99"/>
  <c r="BP137" i="99"/>
  <c r="BQ137" i="99"/>
  <c r="BR137" i="99"/>
  <c r="BS137" i="99"/>
  <c r="BT137" i="99"/>
  <c r="BU137" i="99"/>
  <c r="BV137" i="99"/>
  <c r="EN145" i="99"/>
  <c r="EO145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6" i="99"/>
  <c r="EQ89" i="99"/>
  <c r="AB44" i="115"/>
  <c r="Y44" i="115"/>
  <c r="ET22" i="99"/>
  <c r="ER68" i="99"/>
  <c r="ES68" i="99" s="1"/>
  <c r="ET68" i="99" s="1"/>
  <c r="EU68" i="99" s="1"/>
  <c r="EV68" i="99" s="1"/>
  <c r="EW68" i="99" s="1"/>
  <c r="EX68" i="99" s="1"/>
  <c r="EY68" i="99" s="1"/>
  <c r="EP68" i="99"/>
  <c r="BW124" i="99"/>
  <c r="BR67" i="99"/>
  <c r="BV99" i="99" s="1"/>
  <c r="Q91" i="99"/>
  <c r="BW123" i="99"/>
  <c r="CA123" i="99"/>
  <c r="BX20" i="99"/>
  <c r="EP20" i="99" s="1"/>
  <c r="BW122" i="99"/>
  <c r="CA122" i="99"/>
  <c r="BT125" i="99"/>
  <c r="CA124" i="99"/>
  <c r="EQ105" i="99"/>
  <c r="EO46" i="99"/>
  <c r="EM108" i="99"/>
  <c r="R28" i="99"/>
  <c r="BM67" i="99"/>
  <c r="EY105" i="99"/>
  <c r="K90" i="99"/>
  <c r="BL67" i="99"/>
  <c r="EN105" i="99"/>
  <c r="BT128" i="99"/>
  <c r="EX105" i="99"/>
  <c r="EL109" i="99"/>
  <c r="K92" i="99"/>
  <c r="K99" i="99"/>
  <c r="EU105" i="99"/>
  <c r="ET105" i="99"/>
  <c r="K91" i="99"/>
  <c r="R75" i="99"/>
  <c r="BP67" i="99"/>
  <c r="EO43" i="99"/>
  <c r="EP49" i="99"/>
  <c r="EW105" i="99"/>
  <c r="ES105" i="99"/>
  <c r="EV105" i="99"/>
  <c r="ER105" i="99"/>
  <c r="EP25" i="99"/>
  <c r="ET25" i="99" s="1"/>
  <c r="EU25" i="99" s="1"/>
  <c r="EV25" i="99" s="1"/>
  <c r="EW25" i="99" s="1"/>
  <c r="EX25" i="99" s="1"/>
  <c r="T25" i="99"/>
  <c r="EP47" i="99"/>
  <c r="T47" i="99"/>
  <c r="EO8" i="99"/>
  <c r="R8" i="99"/>
  <c r="EM105" i="99"/>
  <c r="BT130" i="99"/>
  <c r="BT127" i="99"/>
  <c r="O92" i="99"/>
  <c r="O91" i="99"/>
  <c r="BQ67" i="99"/>
  <c r="R42" i="99"/>
  <c r="EM8" i="99"/>
  <c r="EK6" i="99"/>
  <c r="EO5" i="99"/>
  <c r="EO48" i="99"/>
  <c r="BW66" i="99"/>
  <c r="BW3" i="99" s="1"/>
  <c r="M67" i="99"/>
  <c r="M66" i="99"/>
  <c r="BY3" i="99"/>
  <c r="BX18" i="99"/>
  <c r="BT126" i="99"/>
  <c r="Q99" i="99"/>
  <c r="EJ6" i="99"/>
  <c r="EP42" i="99"/>
  <c r="ET42" i="99" s="1"/>
  <c r="EU42" i="99" s="1"/>
  <c r="EV42" i="99" s="1"/>
  <c r="EW42" i="99" s="1"/>
  <c r="EX42" i="99" s="1"/>
  <c r="EY42" i="99" s="1"/>
  <c r="EP24" i="99"/>
  <c r="BS66" i="99"/>
  <c r="BS3" i="99" s="1"/>
  <c r="O89" i="99"/>
  <c r="O76" i="99"/>
  <c r="O79" i="99" s="1"/>
  <c r="O81" i="99" s="1"/>
  <c r="O83" i="99" s="1"/>
  <c r="O84" i="99" s="1"/>
  <c r="EP48" i="99"/>
  <c r="T48" i="99"/>
  <c r="EP43" i="99"/>
  <c r="ET43" i="99" s="1"/>
  <c r="EU43" i="99" s="1"/>
  <c r="EV43" i="99" s="1"/>
  <c r="EW43" i="99" s="1"/>
  <c r="EX43" i="99" s="1"/>
  <c r="EY43" i="99" s="1"/>
  <c r="T43" i="99"/>
  <c r="EL107" i="99"/>
  <c r="EM107" i="99"/>
  <c r="EM74" i="99"/>
  <c r="N75" i="99"/>
  <c r="BU3" i="99"/>
  <c r="BU67" i="99"/>
  <c r="T27" i="99"/>
  <c r="EP27" i="99"/>
  <c r="ET27" i="99" s="1"/>
  <c r="EU27" i="99" s="1"/>
  <c r="EV27" i="99" s="1"/>
  <c r="EW27" i="99" s="1"/>
  <c r="EX27" i="99" s="1"/>
  <c r="EY27" i="99" s="1"/>
  <c r="T45" i="99"/>
  <c r="EP45" i="99"/>
  <c r="ET45" i="99" s="1"/>
  <c r="EU45" i="99" s="1"/>
  <c r="EV45" i="99" s="1"/>
  <c r="EW45" i="99" s="1"/>
  <c r="EX45" i="99" s="1"/>
  <c r="EY45" i="99" s="1"/>
  <c r="EO75" i="99"/>
  <c r="E14" i="128"/>
  <c r="J7" i="101"/>
  <c r="Q90" i="99"/>
  <c r="I90" i="99"/>
  <c r="M75" i="99"/>
  <c r="I70" i="99"/>
  <c r="I76" i="99" s="1"/>
  <c r="I79" i="99" s="1"/>
  <c r="I81" i="99" s="1"/>
  <c r="I83" i="99" s="1"/>
  <c r="I84" i="99" s="1"/>
  <c r="BO67" i="99"/>
  <c r="T50" i="99"/>
  <c r="O90" i="99"/>
  <c r="EL74" i="99"/>
  <c r="EL75" i="99" s="1"/>
  <c r="EP72" i="99"/>
  <c r="EP75" i="99" s="1"/>
  <c r="Q70" i="99"/>
  <c r="EP54" i="99"/>
  <c r="D11" i="128"/>
  <c r="T75" i="99"/>
  <c r="K76" i="99"/>
  <c r="L67" i="99"/>
  <c r="EM73" i="99"/>
  <c r="EN72" i="99"/>
  <c r="EN75" i="99" s="1"/>
  <c r="P75" i="99"/>
  <c r="ES71" i="99"/>
  <c r="P66" i="99"/>
  <c r="EL8" i="99"/>
  <c r="L66" i="99"/>
  <c r="EL66" i="99" s="1"/>
  <c r="J66" i="99"/>
  <c r="J67" i="99"/>
  <c r="EN4" i="99"/>
  <c r="P67" i="99"/>
  <c r="BT66" i="99"/>
  <c r="BT3" i="99" s="1"/>
  <c r="R4" i="99"/>
  <c r="EO4" i="99"/>
  <c r="EO45" i="99"/>
  <c r="R45" i="99"/>
  <c r="EM3" i="99"/>
  <c r="N66" i="99"/>
  <c r="EL3" i="99"/>
  <c r="EP51" i="99"/>
  <c r="T51" i="99"/>
  <c r="BR3" i="99"/>
  <c r="BN3" i="99"/>
  <c r="EN66" i="99"/>
  <c r="EN67" i="99" s="1"/>
  <c r="N67" i="99"/>
  <c r="EO6" i="99"/>
  <c r="EL4" i="99"/>
  <c r="Q65" i="99"/>
  <c r="Q3" i="99" s="1"/>
  <c r="G9" i="128"/>
  <c r="EJ3" i="99"/>
  <c r="BX63" i="99"/>
  <c r="T63" i="99" s="1"/>
  <c r="BX15" i="99"/>
  <c r="T15" i="99" s="1"/>
  <c r="BX46" i="99"/>
  <c r="T46" i="99" s="1"/>
  <c r="BX28" i="99"/>
  <c r="T28" i="99" s="1"/>
  <c r="BX22" i="99"/>
  <c r="T22" i="99" s="1"/>
  <c r="EN3" i="99"/>
  <c r="EK3" i="99"/>
  <c r="E8" i="128"/>
  <c r="EP22" i="99" l="1"/>
  <c r="BR99" i="99"/>
  <c r="EU22" i="99"/>
  <c r="EO66" i="99"/>
  <c r="EO67" i="99" s="1"/>
  <c r="EP18" i="99"/>
  <c r="BX123" i="99"/>
  <c r="CB123" i="99"/>
  <c r="BX122" i="99"/>
  <c r="CB122" i="99"/>
  <c r="T20" i="99"/>
  <c r="BP99" i="99"/>
  <c r="O93" i="99"/>
  <c r="BQ99" i="99"/>
  <c r="BS67" i="99"/>
  <c r="BS99" i="99" s="1"/>
  <c r="EM66" i="99"/>
  <c r="T18" i="99"/>
  <c r="BW67" i="99"/>
  <c r="S3" i="99"/>
  <c r="T3" i="99" s="1"/>
  <c r="EP63" i="99"/>
  <c r="O95" i="99"/>
  <c r="EP46" i="99"/>
  <c r="ET46" i="99" s="1"/>
  <c r="EU46" i="99" s="1"/>
  <c r="EV46" i="99" s="1"/>
  <c r="EW46" i="99" s="1"/>
  <c r="EX46" i="99" s="1"/>
  <c r="M70" i="99"/>
  <c r="M91" i="99"/>
  <c r="M92" i="99"/>
  <c r="M90" i="99"/>
  <c r="M99" i="99"/>
  <c r="O99" i="99"/>
  <c r="ER72" i="99"/>
  <c r="ES72" i="99" s="1"/>
  <c r="ET72" i="99" s="1"/>
  <c r="BU99" i="99"/>
  <c r="S66" i="99"/>
  <c r="S67" i="99" s="1"/>
  <c r="BY99" i="99"/>
  <c r="EP28" i="99"/>
  <c r="ET28" i="99" s="1"/>
  <c r="EU28" i="99" s="1"/>
  <c r="EV28" i="99" s="1"/>
  <c r="EW28" i="99" s="1"/>
  <c r="EX28" i="99" s="1"/>
  <c r="EY28" i="99" s="1"/>
  <c r="EP15" i="99"/>
  <c r="ET15" i="99" s="1"/>
  <c r="EU15" i="99" s="1"/>
  <c r="EV15" i="99" s="1"/>
  <c r="EW15" i="99" s="1"/>
  <c r="EX15" i="99" s="1"/>
  <c r="EY15" i="99" s="1"/>
  <c r="BT67" i="99"/>
  <c r="BT99" i="99" s="1"/>
  <c r="R65" i="99"/>
  <c r="Q76" i="99"/>
  <c r="Q89" i="99"/>
  <c r="R3" i="99"/>
  <c r="R67" i="99" s="1"/>
  <c r="R91" i="99" s="1"/>
  <c r="EM109" i="99"/>
  <c r="EM75" i="99"/>
  <c r="J70" i="99"/>
  <c r="J76" i="99" s="1"/>
  <c r="J79" i="99" s="1"/>
  <c r="J81" i="99" s="1"/>
  <c r="J83" i="99" s="1"/>
  <c r="J84" i="99" s="1"/>
  <c r="J90" i="99"/>
  <c r="EK67" i="99"/>
  <c r="ET71" i="99"/>
  <c r="EN91" i="99"/>
  <c r="K79" i="99"/>
  <c r="K93" i="99"/>
  <c r="EN70" i="99"/>
  <c r="EN90" i="99"/>
  <c r="EN92" i="99"/>
  <c r="BX66" i="99"/>
  <c r="BX67" i="99" s="1"/>
  <c r="BX124" i="99"/>
  <c r="CB124" i="99"/>
  <c r="EO105" i="99"/>
  <c r="EP105" i="99"/>
  <c r="E11" i="128"/>
  <c r="F8" i="128"/>
  <c r="H9" i="128"/>
  <c r="G14" i="128"/>
  <c r="EM67" i="99"/>
  <c r="EN99" i="99" s="1"/>
  <c r="N70" i="99"/>
  <c r="N90" i="99"/>
  <c r="N91" i="99"/>
  <c r="N99" i="99"/>
  <c r="P70" i="99"/>
  <c r="P92" i="99"/>
  <c r="P90" i="99"/>
  <c r="P99" i="99"/>
  <c r="P91" i="99"/>
  <c r="N92" i="99"/>
  <c r="EL67" i="99"/>
  <c r="L70" i="99"/>
  <c r="L92" i="99"/>
  <c r="L90" i="99"/>
  <c r="L91" i="99"/>
  <c r="L99" i="99"/>
  <c r="ER3" i="99" l="1"/>
  <c r="ET24" i="99"/>
  <c r="ES3" i="99"/>
  <c r="EV22" i="99"/>
  <c r="EP66" i="99"/>
  <c r="EP67" i="99" s="1"/>
  <c r="EP70" i="99" s="1"/>
  <c r="ER67" i="99"/>
  <c r="BW99" i="99"/>
  <c r="EO3" i="99"/>
  <c r="ER75" i="99"/>
  <c r="BX99" i="99"/>
  <c r="R92" i="99"/>
  <c r="ES75" i="99"/>
  <c r="S70" i="99"/>
  <c r="S92" i="99"/>
  <c r="S91" i="99"/>
  <c r="S99" i="99"/>
  <c r="S90" i="99"/>
  <c r="R99" i="99"/>
  <c r="BX3" i="99"/>
  <c r="T66" i="99"/>
  <c r="T67" i="99" s="1"/>
  <c r="R90" i="99"/>
  <c r="M76" i="99"/>
  <c r="M89" i="99"/>
  <c r="R70" i="99"/>
  <c r="R89" i="99" s="1"/>
  <c r="Q79" i="99"/>
  <c r="Q93" i="99"/>
  <c r="N89" i="99"/>
  <c r="N76" i="99"/>
  <c r="K81" i="99"/>
  <c r="K83" i="99" s="1"/>
  <c r="K84" i="99" s="1"/>
  <c r="K95" i="99"/>
  <c r="EK70" i="99"/>
  <c r="EK99" i="99"/>
  <c r="EL70" i="99"/>
  <c r="EL99" i="99"/>
  <c r="EM70" i="99"/>
  <c r="EM99" i="99"/>
  <c r="G8" i="128"/>
  <c r="F11" i="128"/>
  <c r="EO90" i="99"/>
  <c r="EO99" i="99"/>
  <c r="EO92" i="99"/>
  <c r="EO91" i="99"/>
  <c r="EU71" i="99"/>
  <c r="ET75" i="99"/>
  <c r="EN76" i="99"/>
  <c r="EN89" i="99"/>
  <c r="EU72" i="99"/>
  <c r="L76" i="99"/>
  <c r="L89" i="99"/>
  <c r="P76" i="99"/>
  <c r="P89" i="99"/>
  <c r="H14" i="128"/>
  <c r="I9" i="128"/>
  <c r="EW22" i="99" l="1"/>
  <c r="EU24" i="99"/>
  <c r="ET3" i="99"/>
  <c r="EO70" i="99"/>
  <c r="EO76" i="99" s="1"/>
  <c r="EO93" i="99" s="1"/>
  <c r="R76" i="99"/>
  <c r="R93" i="99" s="1"/>
  <c r="M79" i="99"/>
  <c r="M93" i="99"/>
  <c r="S89" i="99"/>
  <c r="S76" i="99"/>
  <c r="Q81" i="99"/>
  <c r="Q83" i="99" s="1"/>
  <c r="Q84" i="99" s="1"/>
  <c r="Q95" i="99"/>
  <c r="EV72" i="99"/>
  <c r="T70" i="99"/>
  <c r="T92" i="99"/>
  <c r="T90" i="99"/>
  <c r="T99" i="99"/>
  <c r="T91" i="99"/>
  <c r="P79" i="99"/>
  <c r="P93" i="99"/>
  <c r="H8" i="128"/>
  <c r="G11" i="128"/>
  <c r="EL89" i="99"/>
  <c r="EL76" i="99"/>
  <c r="EV71" i="99"/>
  <c r="EU75" i="99"/>
  <c r="N79" i="99"/>
  <c r="N93" i="99"/>
  <c r="I14" i="128"/>
  <c r="J9" i="128"/>
  <c r="L79" i="99"/>
  <c r="L93" i="99"/>
  <c r="EN79" i="99"/>
  <c r="EN93" i="99"/>
  <c r="EP3" i="99"/>
  <c r="EM89" i="99"/>
  <c r="EM76" i="99"/>
  <c r="EN110" i="99" s="1"/>
  <c r="EK76" i="99"/>
  <c r="EK89" i="99"/>
  <c r="EO110" i="99" l="1"/>
  <c r="EV24" i="99"/>
  <c r="EU3" i="99"/>
  <c r="EX22" i="99"/>
  <c r="EO79" i="99"/>
  <c r="EO81" i="99" s="1"/>
  <c r="EO83" i="99" s="1"/>
  <c r="R79" i="99"/>
  <c r="R95" i="99" s="1"/>
  <c r="S93" i="99"/>
  <c r="S79" i="99"/>
  <c r="M81" i="99"/>
  <c r="M83" i="99" s="1"/>
  <c r="M84" i="99" s="1"/>
  <c r="M95" i="99"/>
  <c r="EP76" i="99"/>
  <c r="EP110" i="99" s="1"/>
  <c r="EP91" i="99"/>
  <c r="EP90" i="99"/>
  <c r="EP92" i="99"/>
  <c r="EP99" i="99"/>
  <c r="EL79" i="99"/>
  <c r="EL81" i="99" s="1"/>
  <c r="EL83" i="99" s="1"/>
  <c r="EL84" i="99" s="1"/>
  <c r="EL93" i="99"/>
  <c r="EN94" i="99"/>
  <c r="EN95" i="99"/>
  <c r="EN81" i="99"/>
  <c r="EN83" i="99" s="1"/>
  <c r="EW71" i="99"/>
  <c r="EV75" i="99"/>
  <c r="EQ92" i="99"/>
  <c r="EQ90" i="99"/>
  <c r="EQ99" i="99"/>
  <c r="EQ91" i="99"/>
  <c r="T76" i="99"/>
  <c r="T89" i="99"/>
  <c r="P81" i="99"/>
  <c r="P83" i="99" s="1"/>
  <c r="P84" i="99" s="1"/>
  <c r="P95" i="99"/>
  <c r="EM93" i="99"/>
  <c r="EM79" i="99"/>
  <c r="EM81" i="99" s="1"/>
  <c r="EM83" i="99" s="1"/>
  <c r="EM84" i="99" s="1"/>
  <c r="J14" i="128"/>
  <c r="K9" i="128"/>
  <c r="EK79" i="99"/>
  <c r="EK81" i="99" s="1"/>
  <c r="EK83" i="99" s="1"/>
  <c r="EK110" i="99"/>
  <c r="L81" i="99"/>
  <c r="L83" i="99" s="1"/>
  <c r="L84" i="99" s="1"/>
  <c r="L95" i="99"/>
  <c r="N81" i="99"/>
  <c r="N83" i="99" s="1"/>
  <c r="N84" i="99" s="1"/>
  <c r="N95" i="99"/>
  <c r="H11" i="128"/>
  <c r="I8" i="128"/>
  <c r="EW72" i="99"/>
  <c r="EO94" i="99" l="1"/>
  <c r="R94" i="99"/>
  <c r="R81" i="99"/>
  <c r="R83" i="99" s="1"/>
  <c r="R87" i="99" s="1"/>
  <c r="EY22" i="99"/>
  <c r="EW24" i="99"/>
  <c r="EV3" i="99"/>
  <c r="EO95" i="99"/>
  <c r="S95" i="99"/>
  <c r="S94" i="99"/>
  <c r="S81" i="99"/>
  <c r="S83" i="99" s="1"/>
  <c r="S84" i="99" s="1"/>
  <c r="EX72" i="99"/>
  <c r="T79" i="99"/>
  <c r="T93" i="99"/>
  <c r="EW75" i="99"/>
  <c r="EX71" i="99"/>
  <c r="EN84" i="99"/>
  <c r="EN117" i="99" s="1"/>
  <c r="EN142" i="99"/>
  <c r="EN96" i="99"/>
  <c r="EO84" i="99"/>
  <c r="EO142" i="99"/>
  <c r="EO96" i="99"/>
  <c r="I11" i="128"/>
  <c r="J8" i="128"/>
  <c r="L9" i="128"/>
  <c r="K14" i="128"/>
  <c r="ER70" i="99"/>
  <c r="ER76" i="99" s="1"/>
  <c r="ER92" i="99"/>
  <c r="ER99" i="99"/>
  <c r="ER90" i="99"/>
  <c r="ER91" i="99"/>
  <c r="EQ93" i="99"/>
  <c r="EP79" i="99"/>
  <c r="EP93" i="99"/>
  <c r="R84" i="99" l="1"/>
  <c r="EX24" i="99"/>
  <c r="EW3" i="99"/>
  <c r="EP81" i="99"/>
  <c r="EP83" i="99" s="1"/>
  <c r="EP94" i="99"/>
  <c r="EP95" i="99"/>
  <c r="ER69" i="99"/>
  <c r="EY71" i="99"/>
  <c r="EX75" i="99"/>
  <c r="T81" i="99"/>
  <c r="T83" i="99" s="1"/>
  <c r="T84" i="99" s="1"/>
  <c r="T94" i="99"/>
  <c r="T95" i="99"/>
  <c r="K8" i="128"/>
  <c r="J11" i="128"/>
  <c r="EO117" i="99"/>
  <c r="ER93" i="99"/>
  <c r="L14" i="128"/>
  <c r="M9" i="128"/>
  <c r="ES70" i="99"/>
  <c r="ES76" i="99" s="1"/>
  <c r="ES92" i="99"/>
  <c r="ES99" i="99"/>
  <c r="ES90" i="99"/>
  <c r="ES91" i="99"/>
  <c r="EY72" i="99"/>
  <c r="EY24" i="99" l="1"/>
  <c r="EX3" i="99"/>
  <c r="ES69" i="99"/>
  <c r="M14" i="128"/>
  <c r="N9" i="128"/>
  <c r="EP84" i="99"/>
  <c r="EP117" i="99" s="1"/>
  <c r="EP96" i="99"/>
  <c r="EQ87" i="99"/>
  <c r="L8" i="128"/>
  <c r="K11" i="128"/>
  <c r="EY75" i="99"/>
  <c r="ES93" i="99"/>
  <c r="ET99" i="99"/>
  <c r="ET92" i="99"/>
  <c r="ET70" i="99"/>
  <c r="ET76" i="99" s="1"/>
  <c r="ET90" i="99"/>
  <c r="ET91" i="99"/>
  <c r="EY3" i="99" l="1"/>
  <c r="ET69" i="99"/>
  <c r="L11" i="128"/>
  <c r="M8" i="128"/>
  <c r="N14" i="128"/>
  <c r="O9" i="128"/>
  <c r="ET93" i="99"/>
  <c r="EU70" i="99"/>
  <c r="EU76" i="99" s="1"/>
  <c r="EU92" i="99"/>
  <c r="EU99" i="99"/>
  <c r="EU91" i="99"/>
  <c r="EU90" i="99"/>
  <c r="EQ79" i="99"/>
  <c r="EQ95" i="99" l="1"/>
  <c r="EQ94" i="99"/>
  <c r="EU69" i="99"/>
  <c r="M11" i="128"/>
  <c r="N8" i="128"/>
  <c r="EV70" i="99"/>
  <c r="EV76" i="99" s="1"/>
  <c r="EV99" i="99"/>
  <c r="EV92" i="99"/>
  <c r="EV91" i="99"/>
  <c r="EV90" i="99"/>
  <c r="P9" i="128"/>
  <c r="O14" i="128"/>
  <c r="EU93" i="99"/>
  <c r="EQ81" i="99" l="1"/>
  <c r="EQ83" i="99" s="1"/>
  <c r="ER87" i="99" s="1"/>
  <c r="EV69" i="99"/>
  <c r="O8" i="128"/>
  <c r="N11" i="128"/>
  <c r="EV93" i="99"/>
  <c r="EW70" i="99"/>
  <c r="EW76" i="99" s="1"/>
  <c r="EW92" i="99"/>
  <c r="EW99" i="99"/>
  <c r="EW90" i="99"/>
  <c r="EW91" i="99"/>
  <c r="P14" i="128"/>
  <c r="Q9" i="128"/>
  <c r="EQ96" i="99" l="1"/>
  <c r="EQ84" i="99"/>
  <c r="EW93" i="99"/>
  <c r="Q14" i="128"/>
  <c r="R9" i="128"/>
  <c r="EW69" i="99"/>
  <c r="ER77" i="99"/>
  <c r="ER79" i="99" s="1"/>
  <c r="P8" i="128"/>
  <c r="O11" i="128"/>
  <c r="EX70" i="99"/>
  <c r="EX76" i="99" s="1"/>
  <c r="EX92" i="99"/>
  <c r="EX99" i="99"/>
  <c r="EX91" i="99"/>
  <c r="EX90" i="99"/>
  <c r="R14" i="128" l="1"/>
  <c r="S9" i="128"/>
  <c r="P11" i="128"/>
  <c r="Q8" i="128"/>
  <c r="EY70" i="99"/>
  <c r="EY76" i="99" s="1"/>
  <c r="EY92" i="99"/>
  <c r="EY99" i="99"/>
  <c r="EY90" i="99"/>
  <c r="EY91" i="99"/>
  <c r="EX93" i="99"/>
  <c r="EX69" i="99"/>
  <c r="ER94" i="99"/>
  <c r="ER80" i="99"/>
  <c r="ER95" i="99" s="1"/>
  <c r="EY69" i="99" l="1"/>
  <c r="ER81" i="99"/>
  <c r="ER83" i="99" s="1"/>
  <c r="ER84" i="99" s="1"/>
  <c r="Q11" i="128"/>
  <c r="R8" i="128"/>
  <c r="T9" i="128"/>
  <c r="S14" i="128"/>
  <c r="EZ76" i="99"/>
  <c r="EZ92" i="99"/>
  <c r="EZ99" i="99"/>
  <c r="EZ90" i="99"/>
  <c r="EZ91" i="99"/>
  <c r="EY93" i="99"/>
  <c r="ES87" i="99" l="1"/>
  <c r="ES77" i="99" s="1"/>
  <c r="ES79" i="99" s="1"/>
  <c r="ER96" i="99"/>
  <c r="T14" i="128"/>
  <c r="U9" i="128"/>
  <c r="S8" i="128"/>
  <c r="R11" i="128"/>
  <c r="EZ93" i="99"/>
  <c r="U14" i="128" l="1"/>
  <c r="V9" i="128"/>
  <c r="T8" i="128"/>
  <c r="S11" i="128"/>
  <c r="ES80" i="99"/>
  <c r="ES95" i="99" s="1"/>
  <c r="ES94" i="99"/>
  <c r="ES81" i="99" l="1"/>
  <c r="ES83" i="99" s="1"/>
  <c r="T11" i="128"/>
  <c r="U8" i="128"/>
  <c r="V14" i="128"/>
  <c r="W9" i="128"/>
  <c r="ET87" i="99" l="1"/>
  <c r="ET77" i="99" s="1"/>
  <c r="ET79" i="99" s="1"/>
  <c r="ES96" i="99"/>
  <c r="ES84" i="99"/>
  <c r="X9" i="128"/>
  <c r="W14" i="128"/>
  <c r="U11" i="128"/>
  <c r="V8" i="128"/>
  <c r="X14" i="128" l="1"/>
  <c r="Y9" i="128"/>
  <c r="W8" i="128"/>
  <c r="V11" i="128"/>
  <c r="ET80" i="99"/>
  <c r="ET95" i="99" s="1"/>
  <c r="ET94" i="99"/>
  <c r="ET81" i="99" l="1"/>
  <c r="ET83" i="99" s="1"/>
  <c r="X8" i="128"/>
  <c r="W11" i="128"/>
  <c r="Y14" i="128"/>
  <c r="Z9" i="128"/>
  <c r="Z14" i="128" s="1"/>
  <c r="EU87" i="99" l="1"/>
  <c r="EU77" i="99" s="1"/>
  <c r="EU79" i="99" s="1"/>
  <c r="ET96" i="99"/>
  <c r="ET84" i="99"/>
  <c r="X11" i="128"/>
  <c r="Y8" i="128"/>
  <c r="Y11" i="128" l="1"/>
  <c r="Z8" i="128"/>
  <c r="Z11" i="128" s="1"/>
  <c r="EU80" i="99"/>
  <c r="EU95" i="99" s="1"/>
  <c r="EU94" i="99"/>
  <c r="EU81" i="99" l="1"/>
  <c r="EU83" i="99" s="1"/>
  <c r="EU96" i="99" l="1"/>
  <c r="EV87" i="99"/>
  <c r="EV77" i="99" s="1"/>
  <c r="EV79" i="99" s="1"/>
  <c r="EV94" i="99" l="1"/>
  <c r="EV80" i="99"/>
  <c r="EV95" i="99" s="1"/>
  <c r="EV81" i="99" l="1"/>
  <c r="EV83" i="99" s="1"/>
  <c r="EV96" i="99" l="1"/>
  <c r="EW87" i="99"/>
  <c r="EW77" i="99" l="1"/>
  <c r="EW79" i="99" s="1"/>
  <c r="EW80" i="99" l="1"/>
  <c r="EW95" i="99" s="1"/>
  <c r="EW94" i="99"/>
  <c r="EW81" i="99" l="1"/>
  <c r="EW83" i="99" s="1"/>
  <c r="EW96" i="99" s="1"/>
  <c r="EX87" i="99" l="1"/>
  <c r="EX77" i="99" s="1"/>
  <c r="EX79" i="99" s="1"/>
  <c r="EX80" i="99" l="1"/>
  <c r="EX95" i="99" s="1"/>
  <c r="EX94" i="99"/>
  <c r="EX81" i="99" l="1"/>
  <c r="EX83" i="99" s="1"/>
  <c r="EX96" i="99" s="1"/>
  <c r="EY87" i="99" l="1"/>
  <c r="EY77" i="99" s="1"/>
  <c r="EY79" i="99" s="1"/>
  <c r="EY80" i="99" l="1"/>
  <c r="EY95" i="99" s="1"/>
  <c r="EY94" i="99"/>
  <c r="EY81" i="99" l="1"/>
  <c r="EY83" i="99" s="1"/>
  <c r="EY96" i="99" s="1"/>
  <c r="EZ79" i="99" l="1"/>
  <c r="EZ94" i="99" l="1"/>
  <c r="EZ95" i="99"/>
  <c r="EZ81" i="99"/>
  <c r="EZ83" i="99" s="1"/>
  <c r="EZ96" i="99" s="1"/>
  <c r="FD83" i="99" l="1"/>
  <c r="FE83" i="99" s="1"/>
  <c r="FF83" i="99" s="1"/>
  <c r="FG83" i="99" s="1"/>
  <c r="FH83" i="99" s="1"/>
  <c r="FI83" i="99" s="1"/>
  <c r="FJ83" i="99" s="1"/>
  <c r="FK83" i="99" s="1"/>
  <c r="FL83" i="99" s="1"/>
  <c r="FM83" i="99" s="1"/>
  <c r="FN83" i="99" s="1"/>
  <c r="FO83" i="99" s="1"/>
  <c r="FP83" i="99" s="1"/>
  <c r="FQ83" i="99" s="1"/>
  <c r="FR83" i="99" s="1"/>
  <c r="FS83" i="99" s="1"/>
  <c r="FT83" i="99" s="1"/>
  <c r="FU83" i="99" s="1"/>
  <c r="FV83" i="99" s="1"/>
  <c r="FW83" i="99" s="1"/>
  <c r="FX83" i="99" s="1"/>
  <c r="FY83" i="99" s="1"/>
  <c r="FZ83" i="99" s="1"/>
  <c r="GA83" i="99" s="1"/>
  <c r="GB83" i="99" s="1"/>
  <c r="GC83" i="99" s="1"/>
  <c r="GD83" i="99" s="1"/>
  <c r="GE83" i="99" s="1"/>
  <c r="GF83" i="99" s="1"/>
  <c r="GG83" i="99" s="1"/>
  <c r="GH83" i="99" s="1"/>
  <c r="GI83" i="99" s="1"/>
  <c r="GJ83" i="99" s="1"/>
  <c r="GK83" i="99" s="1"/>
  <c r="GL83" i="99" s="1"/>
  <c r="GM83" i="99" s="1"/>
  <c r="GN83" i="99" s="1"/>
  <c r="GO83" i="99" s="1"/>
  <c r="GP83" i="99" s="1"/>
  <c r="GQ83" i="99" s="1"/>
  <c r="GR83" i="99" s="1"/>
  <c r="GS83" i="99" s="1"/>
  <c r="GT83" i="99" s="1"/>
  <c r="GU83" i="99" s="1"/>
  <c r="GV83" i="99" s="1"/>
  <c r="GW83" i="99" s="1"/>
  <c r="GX83" i="99" s="1"/>
  <c r="GY83" i="99" s="1"/>
  <c r="GZ83" i="99" s="1"/>
  <c r="HA83" i="99" s="1"/>
  <c r="HB83" i="99" s="1"/>
  <c r="HC83" i="99" s="1"/>
  <c r="HD83" i="99" s="1"/>
  <c r="HE83" i="99" s="1"/>
  <c r="HF83" i="99" s="1"/>
  <c r="HG83" i="99" s="1"/>
  <c r="HH83" i="99" s="1"/>
  <c r="HI83" i="99" s="1"/>
  <c r="HJ83" i="99" s="1"/>
  <c r="HK83" i="99" s="1"/>
  <c r="HL83" i="99" s="1"/>
  <c r="HM83" i="99" s="1"/>
  <c r="HN83" i="99" s="1"/>
  <c r="HO83" i="99" s="1"/>
  <c r="HP83" i="99" s="1"/>
  <c r="HQ83" i="99" s="1"/>
  <c r="HR83" i="99" s="1"/>
  <c r="HS83" i="99" s="1"/>
  <c r="HT83" i="99" s="1"/>
  <c r="HU83" i="99" s="1"/>
  <c r="HV83" i="99" s="1"/>
  <c r="HW83" i="99" s="1"/>
  <c r="HX83" i="99" s="1"/>
  <c r="HY83" i="99" s="1"/>
  <c r="FJ92" i="99" l="1"/>
  <c r="FJ93" i="99" s="1"/>
  <c r="FJ94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42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8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8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49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6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7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7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7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7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7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7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7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7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69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71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72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73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73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7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8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80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80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80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82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84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84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84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84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5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5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7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5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9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99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100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100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100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100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101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101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101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101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101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101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6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6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10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10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7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7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7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<sst xmlns="http://schemas.openxmlformats.org/spreadsheetml/2006/main" count="1436" uniqueCount="960">
  <si>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</si>
  <si>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</si>
  <si>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</si>
  <si>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</si>
  <si>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</si>
  <si>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</si>
  <si>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</si>
  <si>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</si>
  <si>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</si>
  <si>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</si>
  <si>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</si>
  <si>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</si>
  <si>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</si>
  <si>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</si>
  <si>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</si>
  <si>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</si>
  <si>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</si>
  <si>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</si>
  <si>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</si>
  <si>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</si>
  <si>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</si>
  <si>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</si>
  <si>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</si>
  <si>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</si>
  <si>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</si>
  <si>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</si>
  <si>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</si>
  <si>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</si>
  <si>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</si>
  <si>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</si>
  <si>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</si>
  <si>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</si>
  <si>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</si>
  <si>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</si>
  <si>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</si>
  <si>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</si>
  <si>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</si>
  <si>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</si>
  <si>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</si>
  <si>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</si>
  <si>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</si>
  <si>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</si>
  <si>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</si>
  <si>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</si>
  <si>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</si>
  <si>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</si>
  <si>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</si>
  <si>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</si>
  <si>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</si>
  <si>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</si>
  <si>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</si>
  <si>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</si>
  <si>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</si>
  <si>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</si>
  <si>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</si>
  <si>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</si>
  <si>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</si>
  <si>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</si>
  <si>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</si>
  <si>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</si>
  <si>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</si>
  <si>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</si>
  <si>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</si>
  <si>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</si>
  <si>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</si>
  <si>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</si>
  <si>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</si>
  <si>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</si>
  <si>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</si>
  <si>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</si>
  <si>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</si>
  <si>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</si>
  <si>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</si>
  <si>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</si>
  <si>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</si>
  <si>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</si>
  <si>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</si>
  <si>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</si>
  <si>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</si>
  <si>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</si>
  <si>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</si>
  <si>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</si>
  <si>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</si>
  <si>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</si>
  <si>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</si>
  <si>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</si>
  <si>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</si>
  <si>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</si>
  <si>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</si>
  <si>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</si>
  <si>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</si>
  <si>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</si>
  <si>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</si>
  <si>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</si>
  <si>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</si>
  <si>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</si>
  <si>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</si>
  <si>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</si>
  <si>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</si>
  <si>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</si>
  <si>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</si>
  <si>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</si>
  <si>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</si>
  <si>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</si>
  <si>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</si>
  <si>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</si>
  <si>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</si>
  <si>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</si>
  <si>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</si>
  <si>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</si>
  <si>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</si>
  <si>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</si>
  <si>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</si>
  <si>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</si>
  <si>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</si>
  <si>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</si>
  <si>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</si>
  <si>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</si>
  <si>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</si>
  <si>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</si>
  <si>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</si>
  <si>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</si>
  <si>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</si>
  <si>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</si>
  <si>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</si>
  <si>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</si>
  <si>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</si>
  <si>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</si>
  <si>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</si>
  <si>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</si>
  <si>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</si>
  <si>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</si>
  <si>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</si>
  <si>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</si>
  <si>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</si>
  <si>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</si>
  <si>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</si>
  <si>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</si>
  <si>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</si>
  <si>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</si>
  <si>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</si>
  <si>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</si>
  <si>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</si>
  <si>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</si>
  <si>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</si>
  <si>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</si>
  <si>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</si>
  <si>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</si>
  <si>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</si>
  <si>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</si>
  <si>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</si>
  <si>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</si>
  <si>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</si>
  <si>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</si>
  <si>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</si>
  <si>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</si>
  <si>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</si>
  <si>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</si>
  <si>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</si>
  <si>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</si>
  <si>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</si>
  <si>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</si>
  <si>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</si>
  <si>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</si>
  <si>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</si>
  <si>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</si>
  <si>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</si>
  <si>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</si>
  <si>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</si>
  <si>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</si>
  <si>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</si>
  <si>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</si>
  <si>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</si>
  <si>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</si>
  <si>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</si>
  <si>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</si>
  <si>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</si>
  <si>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</si>
  <si>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</si>
  <si>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</si>
  <si>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</si>
  <si>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</si>
  <si>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</si>
  <si>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</si>
  <si>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</si>
  <si>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</si>
  <si>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</si>
  <si>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</si>
  <si>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</si>
  <si>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</si>
  <si>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</si>
  <si>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</si>
  <si>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</si>
  <si>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</si>
  <si>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</si>
  <si>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</si>
  <si>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</si>
  <si>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</si>
  <si>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</si>
  <si>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</si>
  <si>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</si>
  <si>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</si>
  <si>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</si>
  <si>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</si>
  <si>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</si>
  <si>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</si>
  <si>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</si>
  <si>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</si>
  <si>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</si>
  <si>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</si>
  <si>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</si>
  <si>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</si>
  <si>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</si>
  <si>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</si>
  <si>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</si>
  <si>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</si>
  <si>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</si>
  <si>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</si>
  <si>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</si>
  <si>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</si>
  <si>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</si>
  <si>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</si>
  <si>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</si>
  <si>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</si>
  <si>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</si>
  <si>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</si>
  <si>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</si>
  <si>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</si>
  <si>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</si>
  <si>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</si>
  <si>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</si>
  <si>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</si>
  <si>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</si>
  <si>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</si>
  <si>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</si>
  <si>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</si>
  <si>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</si>
  <si>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</si>
  <si>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</si>
  <si>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</si>
  <si>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</si>
  <si>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</si>
  <si>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</si>
  <si>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</si>
  <si>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</si>
  <si>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</si>
  <si>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</si>
  <si>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</si>
  <si>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</si>
  <si>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</si>
  <si>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</si>
  <si>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</si>
  <si>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</si>
  <si>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</si>
  <si>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</si>
  <si>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</si>
  <si>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</si>
  <si>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</si>
  <si>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</si>
  <si>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</si>
  <si>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</si>
  <si>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</si>
  <si>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</si>
  <si>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</si>
  <si>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</si>
  <si>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</si>
  <si>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</si>
  <si>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</si>
  <si>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</si>
  <si>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</si>
  <si>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</si>
  <si>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</si>
  <si>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</si>
  <si>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</si>
  <si>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</si>
  <si>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</si>
  <si>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</si>
  <si>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</si>
  <si>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</si>
  <si>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</si>
  <si>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</si>
  <si>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</si>
  <si>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</si>
  <si>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</si>
  <si>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</si>
  <si>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</si>
  <si>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</si>
  <si>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</si>
  <si>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</si>
  <si>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</si>
  <si>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</si>
  <si>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</si>
  <si>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</si>
  <si>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</si>
  <si>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</si>
  <si>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</si>
  <si>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</si>
  <si>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</si>
  <si>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</si>
  <si>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</si>
  <si>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</si>
  <si>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</si>
  <si>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</si>
  <si>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</si>
  <si>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</si>
  <si>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</si>
  <si>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</si>
  <si>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</si>
  <si>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</si>
  <si>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</si>
  <si>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</si>
  <si>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</si>
  <si>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</si>
  <si>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</si>
  <si>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</si>
  <si>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</si>
  <si>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</si>
  <si>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</si>
  <si>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</si>
  <si>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</si>
  <si>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</si>
  <si>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</si>
  <si>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</si>
  <si>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</si>
  <si>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</si>
  <si>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</si>
  <si>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</si>
  <si>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</si>
  <si>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</si>
  <si>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</si>
  <si>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</si>
  <si>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</si>
  <si>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</si>
  <si>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</si>
  <si>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</si>
  <si>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</si>
  <si>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</si>
  <si>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</si>
  <si>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</si>
  <si>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</si>
  <si>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</si>
  <si>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</si>
  <si>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</si>
  <si>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</si>
  <si>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</si>
  <si>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</si>
  <si>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</si>
  <si>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</si>
  <si>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</si>
  <si>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</si>
  <si>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</si>
  <si>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</si>
  <si>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</si>
  <si>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</si>
  <si>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</si>
  <si>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</si>
  <si>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</si>
  <si>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</si>
  <si>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</si>
  <si>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</si>
  <si>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</si>
  <si>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</si>
  <si>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</si>
  <si>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</si>
  <si>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</si>
  <si>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</si>
  <si>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</si>
  <si>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</si>
  <si>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</si>
  <si>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</si>
  <si>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</si>
  <si>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</si>
  <si>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</si>
  <si>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</si>
  <si>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</si>
  <si>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</si>
  <si>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</si>
  <si>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</si>
  <si>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</si>
  <si>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</si>
  <si>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</si>
  <si>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</si>
  <si>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</si>
  <si>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</si>
  <si>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</si>
  <si>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</si>
  <si>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</si>
  <si>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</si>
  <si>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</si>
  <si>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</si>
  <si>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</si>
  <si>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</si>
  <si>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</si>
  <si>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</si>
  <si>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</si>
  <si>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</si>
  <si>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</si>
  <si>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</si>
  <si>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</si>
  <si>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</si>
  <si>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</si>
  <si>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</si>
  <si>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</si>
  <si>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</si>
  <si>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</si>
  <si>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</si>
  <si>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</si>
  <si>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</si>
  <si>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</si>
  <si>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</si>
  <si>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</si>
  <si>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</si>
  <si>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</si>
  <si>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</si>
  <si>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</si>
  <si>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</si>
  <si>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</si>
  <si>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</si>
  <si>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</si>
  <si>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</si>
  <si>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</si>
  <si>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</si>
  <si>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</si>
  <si>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</si>
  <si>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</si>
  <si>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</si>
  <si>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</si>
  <si>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</si>
  <si>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</si>
  <si>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</si>
  <si>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</si>
  <si>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</si>
  <si>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</si>
  <si>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</si>
  <si>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</si>
  <si>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</si>
  <si>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</si>
  <si>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</si>
  <si>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</si>
  <si>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</si>
  <si>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</si>
  <si>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</si>
  <si>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</si>
  <si>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</si>
  <si>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</si>
  <si>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</si>
  <si>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</si>
  <si>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</si>
  <si>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</si>
  <si>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</si>
  <si>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</si>
  <si>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</si>
  <si>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</si>
  <si>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</si>
  <si>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</si>
  <si>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</si>
  <si>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</si>
  <si>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</si>
  <si>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</si>
  <si>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</si>
  <si>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</si>
  <si>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</si>
  <si>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</si>
  <si>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</si>
  <si>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</si>
  <si>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</si>
  <si>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</si>
  <si>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</si>
  <si>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</si>
  <si>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</si>
  <si>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</si>
  <si>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</si>
  <si>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</si>
  <si>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</si>
  <si>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</si>
  <si>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</si>
  <si>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</si>
  <si>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</si>
  <si>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</si>
  <si>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</si>
  <si>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</si>
  <si>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</si>
  <si>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</si>
  <si>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</si>
  <si>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</si>
  <si>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</si>
  <si>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</si>
  <si>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</si>
  <si>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</si>
  <si>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</si>
  <si>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</si>
  <si>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</si>
  <si>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</si>
  <si>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</si>
  <si>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</si>
  <si>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</si>
  <si>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</si>
  <si>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</si>
  <si>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</si>
  <si>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</si>
  <si>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</si>
  <si>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</si>
  <si>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</si>
  <si>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</si>
  <si>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</si>
  <si>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</si>
  <si>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</si>
  <si>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</si>
  <si>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</si>
  <si>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</si>
  <si>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</si>
  <si>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</si>
  <si>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</si>
  <si>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</si>
  <si>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</si>
  <si>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</si>
  <si>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</si>
  <si>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</si>
  <si>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</si>
  <si>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</si>
  <si>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</si>
  <si>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</si>
  <si>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</si>
  <si>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</si>
  <si>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</si>
  <si>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</si>
  <si>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</si>
  <si>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</si>
  <si>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</si>
  <si>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</si>
  <si>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</si>
  <si>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</si>
  <si>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</si>
  <si>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</si>
  <si>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</si>
  <si>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</si>
  <si>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</si>
  <si>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</si>
  <si>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</si>
  <si>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</si>
  <si>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</si>
  <si>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</si>
  <si>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</si>
  <si>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</si>
  <si>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</si>
  <si>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</si>
  <si>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</si>
  <si>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</si>
  <si>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</si>
  <si>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</si>
  <si>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</si>
  <si>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</si>
  <si>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</si>
  <si>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</si>
  <si>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</si>
  <si>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</si>
  <si>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</si>
  <si>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</si>
  <si>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</si>
  <si>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</si>
  <si>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</si>
  <si>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</si>
  <si>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</si>
  <si>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</si>
  <si>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</si>
  <si>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</si>
  <si>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</si>
  <si>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</si>
  <si>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</si>
  <si>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</si>
  <si>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</si>
  <si>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</si>
  <si>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</si>
  <si>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</si>
  <si>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</si>
  <si>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</si>
  <si>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</si>
  <si>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</si>
  <si>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</si>
  <si>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</si>
  <si>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</si>
  <si>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</si>
  <si>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</si>
  <si>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</si>
  <si>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</si>
  <si>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</si>
  <si>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</si>
  <si>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</si>
  <si>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</si>
  <si>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</si>
  <si>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</si>
  <si>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</si>
  <si>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</si>
  <si>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</si>
  <si>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</si>
  <si>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</si>
  <si>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</si>
  <si>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</si>
  <si>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</si>
  <si>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</si>
  <si>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</si>
  <si>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</si>
  <si>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</si>
  <si>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</si>
  <si>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</si>
  <si>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</si>
  <si>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</si>
  <si>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</si>
  <si>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</si>
  <si>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</si>
  <si>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</si>
  <si>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</si>
  <si>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</si>
  <si>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</si>
  <si>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</si>
  <si>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</si>
  <si>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</si>
  <si>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</si>
  <si>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</si>
  <si>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</si>
  <si>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</si>
  <si>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</si>
  <si>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</si>
  <si>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</si>
  <si>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</si>
  <si>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</si>
  <si>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</si>
  <si>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</si>
  <si>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</si>
  <si>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</si>
  <si>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</si>
  <si>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</si>
  <si>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</si>
  <si>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</si>
  <si>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</si>
  <si>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</si>
  <si>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</si>
  <si>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</si>
  <si>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</si>
  <si>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</si>
  <si>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</si>
  <si>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</si>
  <si>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</si>
  <si>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</si>
  <si>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</si>
  <si>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</si>
  <si>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</si>
  <si>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</si>
  <si>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</si>
  <si>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</si>
  <si>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</si>
  <si>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</si>
  <si>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</si>
  <si>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</si>
  <si>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</si>
  <si>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</si>
  <si>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</si>
  <si>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</si>
  <si>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</si>
  <si>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</si>
  <si>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</si>
  <si>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</si>
  <si>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</si>
  <si>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</si>
  <si>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</si>
  <si>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</si>
  <si>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</si>
  <si>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</si>
  <si>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</si>
  <si>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</si>
  <si>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</si>
  <si>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</si>
  <si>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</si>
  <si>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</si>
  <si>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</si>
  <si>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</si>
  <si>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</si>
  <si>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</si>
  <si>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</si>
  <si>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</si>
  <si>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</si>
  <si>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</si>
  <si>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</si>
  <si>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</si>
  <si>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</si>
  <si>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</si>
  <si>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</si>
  <si>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</si>
  <si>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</si>
  <si>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</si>
  <si>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</si>
  <si>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</si>
  <si>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</si>
  <si>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</si>
  <si>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</si>
  <si>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</si>
  <si>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</si>
  <si>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</si>
  <si>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</si>
  <si>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</si>
  <si>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</si>
  <si>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</si>
  <si>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</si>
  <si>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</si>
  <si>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</si>
  <si>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</si>
  <si>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</si>
  <si>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</si>
  <si>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</si>
  <si>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</si>
  <si>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</si>
  <si>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</si>
  <si>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</si>
  <si>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</si>
  <si>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</si>
  <si>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</si>
  <si>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</si>
  <si>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</si>
  <si>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</si>
  <si>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</si>
  <si>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</si>
  <si>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</si>
  <si>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</si>
  <si>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</si>
  <si>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</si>
  <si>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</si>
  <si>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</si>
  <si>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</si>
  <si>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</si>
  <si>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</si>
  <si>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</si>
  <si>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</si>
  <si>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</si>
  <si>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</si>
  <si>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</si>
  <si>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</si>
  <si>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</si>
  <si>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</si>
  <si>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</si>
  <si>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</si>
  <si>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</si>
  <si>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</si>
  <si>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</si>
  <si>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</si>
  <si>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</si>
  <si>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</si>
  <si>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</si>
  <si>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</si>
  <si>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</si>
  <si>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</si>
  <si>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</si>
  <si>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</si>
  <si>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</si>
  <si>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</si>
  <si>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</si>
  <si>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</si>
  <si>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</si>
  <si>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</si>
  <si>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</si>
  <si>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</si>
  <si>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</si>
  <si>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</si>
  <si>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</si>
  <si>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</si>
  <si>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</si>
  <si>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</si>
  <si>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</si>
  <si>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</si>
  <si>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</si>
  <si>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</si>
  <si>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</si>
  <si>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</si>
  <si>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</si>
  <si>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</si>
  <si>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</si>
  <si>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</si>
  <si>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</si>
  <si>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</si>
  <si>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</si>
  <si>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</si>
  <si>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</si>
  <si>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</si>
  <si>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</si>
  <si>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</si>
  <si>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</si>
  <si>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</si>
  <si>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</si>
  <si>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</si>
  <si>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</si>
  <si>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</si>
  <si>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</si>
  <si>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</si>
  <si>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</si>
  <si>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</si>
  <si>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</si>
  <si>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</si>
  <si>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</si>
  <si>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</si>
  <si>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</si>
  <si>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</si>
  <si>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</si>
  <si>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</si>
  <si>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</si>
  <si>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</si>
  <si>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</si>
  <si>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</si>
  <si>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</si>
  <si>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</si>
  <si>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</si>
  <si>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</si>
  <si>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</si>
  <si>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</si>
  <si>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</si>
  <si>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</si>
  <si>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</si>
  <si>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</si>
  <si>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</si>
  <si>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</si>
  <si>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</si>
  <si>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</si>
  <si>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</si>
  <si>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</si>
  <si>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</si>
  <si>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</si>
  <si>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</si>
  <si>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</si>
  <si>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</si>
  <si>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</si>
  <si>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</si>
  <si>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</si>
  <si>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</si>
  <si>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</si>
  <si>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</si>
  <si>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</si>
  <si>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</si>
  <si>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</si>
  <si>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</si>
  <si>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</si>
  <si>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</si>
  <si>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</si>
  <si>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</si>
  <si>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</si>
  <si>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</si>
  <si>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</si>
  <si>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</si>
  <si>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</si>
  <si>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</si>
  <si>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</si>
  <si>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</si>
  <si>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</si>
  <si>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</si>
  <si>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</si>
  <si>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</si>
  <si>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</si>
  <si>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</si>
  <si>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</si>
  <si>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</si>
  <si>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</si>
  <si>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</si>
  <si>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</si>
  <si>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</si>
  <si>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</si>
  <si>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</si>
  <si>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</si>
  <si>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</si>
  <si>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</si>
  <si>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</si>
  <si>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</si>
  <si>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</si>
  <si>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</si>
  <si>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</si>
  <si>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</si>
  <si>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</si>
  <si>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</si>
  <si>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</si>
  <si>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</si>
  <si>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</si>
  <si>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</si>
  <si>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</si>
  <si>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</si>
  <si>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</si>
  <si>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</si>
  <si>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</si>
  <si>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</si>
  <si>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</si>
  <si>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</si>
  <si>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</si>
  <si>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</si>
  <si>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</si>
  <si>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</si>
  <si>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</si>
  <si>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</si>
  <si>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</si>
  <si>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</si>
  <si>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</si>
  <si>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</si>
  <si>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</si>
  <si>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</si>
  <si>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</si>
  <si>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</si>
  <si>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</si>
  <si>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</si>
  <si>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</si>
  <si>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</si>
  <si>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</si>
  <si>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</si>
  <si>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</si>
  <si>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</si>
  <si>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</si>
  <si>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</si>
  <si>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</si>
  <si>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</si>
  <si>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</si>
  <si>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</si>
  <si>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</si>
  <si>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</si>
  <si>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</si>
  <si>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</si>
  <si>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</si>
  <si>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</si>
  <si>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</si>
  <si>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</si>
  <si>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</si>
  <si>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</si>
  <si>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</si>
  <si>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</si>
  <si>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</si>
  <si>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</si>
  <si>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</si>
  <si>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</si>
  <si>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</si>
  <si>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</si>
  <si>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</si>
  <si>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</si>
  <si>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</si>
  <si>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</si>
  <si>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</si>
  <si>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</si>
  <si>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</si>
  <si>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</si>
  <si>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</si>
  <si>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</si>
  <si>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</si>
  <si>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</si>
  <si>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</si>
  <si>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</si>
  <si>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</si>
  <si>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</si>
  <si>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</si>
  <si>
    <t>Hemlibra (emicizumab)</t>
  </si>
  <si>
    <t>100%?</t>
  </si>
  <si>
    <t>CEO: Thomas Schinecker replaced Severin Schwann</t>
  </si>
  <si>
    <t>CFO: Alan Hippe</t>
  </si>
  <si>
    <t>CEO Pharma: Teresa Graham</t>
  </si>
  <si>
    <t>CEO Diagnostics: Matt Sause replaced Thomas Schinecker</t>
  </si>
  <si>
    <t>Luxturna</t>
  </si>
  <si>
    <t>Lunsumio</t>
  </si>
  <si>
    <t>Columvi</t>
  </si>
  <si>
    <t>Elevidys</t>
  </si>
  <si>
    <t>Piasky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</si>
</sst>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115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176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161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131</xdr:col>
      <xdr:colOff>474593</xdr:colOff>
      <xdr:row>0</xdr:row>
      <xdr:rowOff>0</xdr:rowOff>
    </xdr:from>
    <xdr:to>
      <xdr:col>131</xdr:col>
      <xdr:colOff>474593</xdr:colOff>
      <xdr:row>83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6735463" y="0"/>
          <a:ext cx="0" cy="117004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Alexandra/WIP/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Desktop%20Model%20Folder/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TS0016/RSCH1/Health%20Services/hospitals/uhs/MODELS/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TROPHIN/Work/research/Porter/GELX/MODELS/CURRENT/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Sammy/WINDOWS/DESKTOP/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lxwork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 Builder"/>
      <sheetName val="LRP Scenario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R67" dT="2022-07-08T05:58:42.15" personId="{F29822AD-7CF0-4443-937D-C2B9090ACE38}" id="{4F67C440-F225-48E5-8977-D72DD0D3FDD6}">
    <text>45499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39" t="s">
        <v>55</v>
      </c>
    </row>
    <row r="2" spans="1:3" x14ac:dyDescent="0.2">
      <c r="B2" s="1" t="s">
        <v>307</v>
      </c>
      <c r="C2" s="2" t="s">
        <v>453</v>
      </c>
    </row>
    <row r="3" spans="1:3" x14ac:dyDescent="0.2">
      <c r="B3" s="1" t="s">
        <v>309</v>
      </c>
      <c r="C3" s="2" t="s">
        <v>454</v>
      </c>
    </row>
    <row r="4" spans="1:3" x14ac:dyDescent="0.2">
      <c r="B4" s="1" t="s">
        <v>332</v>
      </c>
      <c r="C4" s="2" t="s">
        <v>456</v>
      </c>
    </row>
    <row r="5" spans="1:3" x14ac:dyDescent="0.2">
      <c r="B5" s="2" t="s">
        <v>444</v>
      </c>
      <c r="C5" s="2" t="s">
        <v>455</v>
      </c>
    </row>
    <row r="6" spans="1:3" x14ac:dyDescent="0.2">
      <c r="B6" s="2" t="s">
        <v>447</v>
      </c>
      <c r="C6" s="2" t="s">
        <v>506</v>
      </c>
    </row>
    <row r="7" spans="1:3" x14ac:dyDescent="0.2">
      <c r="B7" s="2" t="s">
        <v>449</v>
      </c>
      <c r="C7" s="2" t="s">
        <v>450</v>
      </c>
    </row>
    <row r="8" spans="1:3" x14ac:dyDescent="0.2">
      <c r="B8" s="2" t="s">
        <v>411</v>
      </c>
      <c r="C8" s="2" t="s">
        <v>412</v>
      </c>
    </row>
    <row r="9" spans="1:3" x14ac:dyDescent="0.2">
      <c r="B9" s="2" t="s">
        <v>445</v>
      </c>
      <c r="C9" s="2" t="s">
        <v>446</v>
      </c>
    </row>
    <row r="10" spans="1:3" x14ac:dyDescent="0.2">
      <c r="B10" s="2" t="s">
        <v>417</v>
      </c>
      <c r="C10" s="2" t="s">
        <v>420</v>
      </c>
    </row>
    <row r="11" spans="1:3" x14ac:dyDescent="0.2">
      <c r="B11" s="2" t="s">
        <v>418</v>
      </c>
      <c r="C11" s="2" t="s">
        <v>419</v>
      </c>
    </row>
    <row r="12" spans="1:3" x14ac:dyDescent="0.2">
      <c r="B12" s="2" t="s">
        <v>421</v>
      </c>
      <c r="C12" s="2" t="s">
        <v>422</v>
      </c>
    </row>
    <row r="13" spans="1:3" x14ac:dyDescent="0.2">
      <c r="B13" s="2" t="s">
        <v>451</v>
      </c>
      <c r="C13" s="2" t="s">
        <v>452</v>
      </c>
    </row>
    <row r="19" spans="2:3" x14ac:dyDescent="0.2">
      <c r="B19" s="2" t="s">
        <v>406</v>
      </c>
    </row>
    <row r="20" spans="2:3" x14ac:dyDescent="0.2">
      <c r="B20" s="2" t="s">
        <v>463</v>
      </c>
    </row>
    <row r="22" spans="2:3" x14ac:dyDescent="0.2">
      <c r="B22" s="40" t="s">
        <v>824</v>
      </c>
    </row>
    <row r="23" spans="2:3" x14ac:dyDescent="0.2">
      <c r="B23" s="1" t="s">
        <v>308</v>
      </c>
      <c r="C23" s="2" t="s">
        <v>825</v>
      </c>
    </row>
    <row r="24" spans="2:3" x14ac:dyDescent="0.2">
      <c r="B24" s="1" t="s">
        <v>310</v>
      </c>
      <c r="C24" s="2" t="s">
        <v>826</v>
      </c>
    </row>
    <row r="25" spans="2:3" x14ac:dyDescent="0.2">
      <c r="B25" s="2" t="s">
        <v>448</v>
      </c>
      <c r="C25" s="2" t="s">
        <v>827</v>
      </c>
    </row>
    <row r="26" spans="2:3" x14ac:dyDescent="0.2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ColWidth="9.140625"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534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532</v>
      </c>
    </row>
    <row r="9" spans="1:3" x14ac:dyDescent="0.2">
      <c r="B9" s="5" t="s">
        <v>66</v>
      </c>
      <c r="C9" s="3" t="s">
        <v>531</v>
      </c>
    </row>
    <row r="10" spans="1:3" x14ac:dyDescent="0.2">
      <c r="B10" s="5" t="s">
        <v>81</v>
      </c>
      <c r="C10" s="5" t="s">
        <v>526</v>
      </c>
    </row>
    <row r="11" spans="1:3" x14ac:dyDescent="0.2">
      <c r="B11" s="3" t="s">
        <v>75</v>
      </c>
      <c r="C11" s="3" t="s">
        <v>561</v>
      </c>
    </row>
    <row r="12" spans="1:3" x14ac:dyDescent="0.2">
      <c r="B12" s="3" t="s">
        <v>96</v>
      </c>
      <c r="C12" s="3" t="s">
        <v>533</v>
      </c>
    </row>
    <row r="13" spans="1:3" x14ac:dyDescent="0.2">
      <c r="B13" s="3"/>
      <c r="C13" s="3" t="s">
        <v>535</v>
      </c>
    </row>
    <row r="14" spans="1:3" x14ac:dyDescent="0.2">
      <c r="B14" s="3"/>
      <c r="C14" s="3" t="s">
        <v>538</v>
      </c>
    </row>
    <row r="15" spans="1:3" x14ac:dyDescent="0.2">
      <c r="B15" s="3"/>
      <c r="C15" s="3" t="s">
        <v>545</v>
      </c>
    </row>
    <row r="16" spans="1:3" x14ac:dyDescent="0.2">
      <c r="B16" s="3"/>
      <c r="C16" s="3" t="s">
        <v>554</v>
      </c>
    </row>
    <row r="17" spans="2:3" x14ac:dyDescent="0.2">
      <c r="B17" s="3"/>
      <c r="C17" s="3" t="s">
        <v>562</v>
      </c>
    </row>
    <row r="18" spans="2:3" x14ac:dyDescent="0.2">
      <c r="B18" s="3"/>
      <c r="C18" s="3" t="s">
        <v>568</v>
      </c>
    </row>
    <row r="19" spans="2:3" x14ac:dyDescent="0.2">
      <c r="B19" s="5" t="s">
        <v>53</v>
      </c>
    </row>
    <row r="20" spans="2:3" x14ac:dyDescent="0.2">
      <c r="C20" s="16" t="s">
        <v>430</v>
      </c>
    </row>
    <row r="21" spans="2:3" x14ac:dyDescent="0.2">
      <c r="C21" s="3" t="s">
        <v>428</v>
      </c>
    </row>
    <row r="22" spans="2:3" x14ac:dyDescent="0.2">
      <c r="C22" s="3" t="s">
        <v>429</v>
      </c>
    </row>
    <row r="23" spans="2:3" x14ac:dyDescent="0.2">
      <c r="C23" s="3"/>
    </row>
    <row r="24" spans="2:3" x14ac:dyDescent="0.2">
      <c r="C24" s="16" t="s">
        <v>596</v>
      </c>
    </row>
    <row r="25" spans="2:3" x14ac:dyDescent="0.2">
      <c r="C25" s="3" t="s">
        <v>668</v>
      </c>
    </row>
    <row r="26" spans="2:3" x14ac:dyDescent="0.2">
      <c r="C26" s="16"/>
    </row>
    <row r="27" spans="2:3" x14ac:dyDescent="0.2">
      <c r="C27" s="16" t="s">
        <v>597</v>
      </c>
    </row>
    <row r="28" spans="2:3" x14ac:dyDescent="0.2">
      <c r="C28" s="3" t="s">
        <v>666</v>
      </c>
    </row>
    <row r="29" spans="2:3" x14ac:dyDescent="0.2">
      <c r="C29" s="3" t="s">
        <v>667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598</v>
      </c>
    </row>
    <row r="33" spans="3:3" x14ac:dyDescent="0.2">
      <c r="C33" s="16" t="s">
        <v>669</v>
      </c>
    </row>
    <row r="34" spans="3:3" x14ac:dyDescent="0.2">
      <c r="C34" s="3"/>
    </row>
    <row r="35" spans="3:3" x14ac:dyDescent="0.2">
      <c r="C35" s="16" t="s">
        <v>525</v>
      </c>
    </row>
    <row r="36" spans="3:3" x14ac:dyDescent="0.2">
      <c r="C36" s="3" t="s">
        <v>567</v>
      </c>
    </row>
    <row r="37" spans="3:3" x14ac:dyDescent="0.2">
      <c r="C37" s="3" t="s">
        <v>566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541</v>
      </c>
    </row>
    <row r="45" spans="3:3" x14ac:dyDescent="0.2">
      <c r="C45" s="16" t="s">
        <v>540</v>
      </c>
    </row>
    <row r="46" spans="3:3" x14ac:dyDescent="0.2">
      <c r="C46" s="3" t="s">
        <v>539</v>
      </c>
    </row>
    <row r="47" spans="3:3" x14ac:dyDescent="0.2">
      <c r="C47" s="3" t="s">
        <v>542</v>
      </c>
    </row>
    <row r="48" spans="3:3" x14ac:dyDescent="0.2">
      <c r="C48" s="3"/>
    </row>
    <row r="49" spans="3:3" x14ac:dyDescent="0.2">
      <c r="C49" s="16" t="s">
        <v>426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423</v>
      </c>
    </row>
    <row r="56" spans="3:3" x14ac:dyDescent="0.2">
      <c r="C56" s="3" t="s">
        <v>427</v>
      </c>
    </row>
    <row r="57" spans="3:3" x14ac:dyDescent="0.2">
      <c r="C57" s="16"/>
    </row>
    <row r="58" spans="3:3" x14ac:dyDescent="0.2">
      <c r="C58" s="3" t="s">
        <v>424</v>
      </c>
    </row>
    <row r="59" spans="3:3" x14ac:dyDescent="0.2">
      <c r="C59" s="3" t="s">
        <v>425</v>
      </c>
    </row>
    <row r="60" spans="3:3" x14ac:dyDescent="0.2">
      <c r="C60" s="3"/>
    </row>
    <row r="61" spans="3:3" x14ac:dyDescent="0.2">
      <c r="C61" s="16" t="s">
        <v>536</v>
      </c>
    </row>
    <row r="62" spans="3:3" x14ac:dyDescent="0.2">
      <c r="C62" s="3" t="s">
        <v>537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555</v>
      </c>
    </row>
    <row r="69" spans="3:3" x14ac:dyDescent="0.2">
      <c r="C69" s="3" t="s">
        <v>556</v>
      </c>
    </row>
    <row r="70" spans="3:3" x14ac:dyDescent="0.2">
      <c r="C70" s="3" t="s">
        <v>557</v>
      </c>
    </row>
    <row r="71" spans="3:3" x14ac:dyDescent="0.2">
      <c r="C71" s="3" t="s">
        <v>558</v>
      </c>
    </row>
    <row r="73" spans="3:3" x14ac:dyDescent="0.2">
      <c r="C73" s="16" t="s">
        <v>439</v>
      </c>
    </row>
    <row r="74" spans="3:3" x14ac:dyDescent="0.2">
      <c r="C74" s="3" t="s">
        <v>437</v>
      </c>
    </row>
    <row r="75" spans="3:3" x14ac:dyDescent="0.2">
      <c r="C75" s="3" t="s">
        <v>440</v>
      </c>
    </row>
    <row r="76" spans="3:3" x14ac:dyDescent="0.2">
      <c r="C76" s="3" t="s">
        <v>441</v>
      </c>
    </row>
    <row r="77" spans="3:3" x14ac:dyDescent="0.2">
      <c r="C77" s="3"/>
    </row>
    <row r="78" spans="3:3" x14ac:dyDescent="0.2">
      <c r="C78" s="16" t="s">
        <v>432</v>
      </c>
    </row>
    <row r="79" spans="3:3" x14ac:dyDescent="0.2">
      <c r="C79" s="3" t="s">
        <v>433</v>
      </c>
    </row>
    <row r="80" spans="3:3" x14ac:dyDescent="0.2">
      <c r="C80" s="3"/>
    </row>
    <row r="81" spans="3:3" x14ac:dyDescent="0.2">
      <c r="C81" s="16" t="s">
        <v>434</v>
      </c>
    </row>
    <row r="82" spans="3:3" x14ac:dyDescent="0.2">
      <c r="C82" s="3" t="s">
        <v>435</v>
      </c>
    </row>
    <row r="83" spans="3:3" x14ac:dyDescent="0.2">
      <c r="C83" s="3"/>
    </row>
    <row r="84" spans="3:3" x14ac:dyDescent="0.2">
      <c r="C84" s="3" t="s">
        <v>415</v>
      </c>
    </row>
    <row r="85" spans="3:3" x14ac:dyDescent="0.2">
      <c r="C85" s="16" t="s">
        <v>438</v>
      </c>
    </row>
    <row r="86" spans="3:3" x14ac:dyDescent="0.2">
      <c r="C86" s="16"/>
    </row>
    <row r="87" spans="3:3" x14ac:dyDescent="0.2">
      <c r="C87" s="16" t="s">
        <v>523</v>
      </c>
    </row>
    <row r="88" spans="3:3" x14ac:dyDescent="0.2">
      <c r="C88" s="3" t="s">
        <v>524</v>
      </c>
    </row>
    <row r="89" spans="3:3" x14ac:dyDescent="0.2">
      <c r="C89" s="3"/>
    </row>
    <row r="90" spans="3:3" x14ac:dyDescent="0.2">
      <c r="C90" s="16" t="s">
        <v>546</v>
      </c>
    </row>
    <row r="91" spans="3:3" x14ac:dyDescent="0.2">
      <c r="C91" s="3" t="s">
        <v>547</v>
      </c>
    </row>
    <row r="92" spans="3:3" x14ac:dyDescent="0.2">
      <c r="C92" s="3"/>
    </row>
    <row r="93" spans="3:3" x14ac:dyDescent="0.2">
      <c r="C93" s="16" t="s">
        <v>559</v>
      </c>
    </row>
    <row r="94" spans="3:3" x14ac:dyDescent="0.2">
      <c r="C94" s="3"/>
    </row>
    <row r="95" spans="3:3" x14ac:dyDescent="0.2">
      <c r="C95" s="16" t="s">
        <v>560</v>
      </c>
    </row>
    <row r="96" spans="3:3" x14ac:dyDescent="0.2">
      <c r="C96" s="16"/>
    </row>
    <row r="97" spans="2:4" x14ac:dyDescent="0.2">
      <c r="C97" s="16" t="s">
        <v>563</v>
      </c>
    </row>
    <row r="98" spans="2:4" x14ac:dyDescent="0.2">
      <c r="C98" s="16"/>
    </row>
    <row r="99" spans="2:4" x14ac:dyDescent="0.2">
      <c r="C99" s="16" t="s">
        <v>564</v>
      </c>
    </row>
    <row r="100" spans="2:4" x14ac:dyDescent="0.2">
      <c r="C100" s="16"/>
    </row>
    <row r="101" spans="2:4" x14ac:dyDescent="0.2">
      <c r="C101" s="16" t="s">
        <v>565</v>
      </c>
    </row>
    <row r="102" spans="2:4" x14ac:dyDescent="0.2">
      <c r="C102" s="16"/>
    </row>
    <row r="103" spans="2:4" x14ac:dyDescent="0.2">
      <c r="C103" s="16" t="s">
        <v>569</v>
      </c>
    </row>
    <row r="104" spans="2:4" x14ac:dyDescent="0.2">
      <c r="C104" s="3" t="s">
        <v>570</v>
      </c>
    </row>
    <row r="105" spans="2:4" x14ac:dyDescent="0.2">
      <c r="C105" s="16"/>
    </row>
    <row r="106" spans="2:4" x14ac:dyDescent="0.2">
      <c r="C106" s="16" t="s">
        <v>571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397</v>
      </c>
    </row>
    <row r="111" spans="2:4" x14ac:dyDescent="0.2">
      <c r="C111" s="55">
        <v>39387</v>
      </c>
      <c r="D111" s="5">
        <v>194</v>
      </c>
    </row>
    <row r="112" spans="2:4" x14ac:dyDescent="0.2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ColWidth="8.85546875" defaultRowHeight="12.75" x14ac:dyDescent="0.2"/>
  <cols>
    <col min="1" max="1" width="5" bestFit="1" customWidth="1"/>
    <col min="2" max="2" width="22.42578125" customWidth="1"/>
    <col min="3" max="26" width="8.7109375" customWidth="1"/>
  </cols>
  <sheetData>
    <row r="1" spans="1:26" x14ac:dyDescent="0.2">
      <c r="A1" s="39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543</v>
      </c>
    </row>
    <row r="5" spans="1:26" x14ac:dyDescent="0.2">
      <c r="B5" s="2" t="s">
        <v>544</v>
      </c>
    </row>
    <row r="8" spans="1:26" x14ac:dyDescent="0.2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x14ac:dyDescent="0.2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ColWidth="8.85546875" defaultRowHeight="12.75" x14ac:dyDescent="0.2"/>
  <cols>
    <col min="1" max="1" width="5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801</v>
      </c>
    </row>
    <row r="3" spans="1:3" x14ac:dyDescent="0.2">
      <c r="B3" s="2" t="s">
        <v>815</v>
      </c>
      <c r="C3" s="2" t="s">
        <v>851</v>
      </c>
    </row>
    <row r="4" spans="1:3" x14ac:dyDescent="0.2">
      <c r="B4" s="2" t="s">
        <v>44</v>
      </c>
      <c r="C4" s="2" t="s">
        <v>857</v>
      </c>
    </row>
    <row r="5" spans="1:3" x14ac:dyDescent="0.2">
      <c r="B5" s="2" t="s">
        <v>818</v>
      </c>
      <c r="C5" s="2" t="s">
        <v>849</v>
      </c>
    </row>
    <row r="6" spans="1:3" x14ac:dyDescent="0.2">
      <c r="B6" s="2" t="s">
        <v>65</v>
      </c>
      <c r="C6" s="2" t="s">
        <v>847</v>
      </c>
    </row>
    <row r="7" spans="1:3" x14ac:dyDescent="0.2">
      <c r="B7" s="2" t="s">
        <v>53</v>
      </c>
    </row>
    <row r="8" spans="1:3" x14ac:dyDescent="0.2">
      <c r="C8" s="40" t="s">
        <v>853</v>
      </c>
    </row>
    <row r="9" spans="1:3" x14ac:dyDescent="0.2">
      <c r="C9" s="2" t="s">
        <v>852</v>
      </c>
    </row>
    <row r="10" spans="1:3" x14ac:dyDescent="0.2">
      <c r="C10" s="2" t="s">
        <v>854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286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442</v>
      </c>
    </row>
    <row r="17" spans="2:4" x14ac:dyDescent="0.2">
      <c r="C17" s="3" t="s">
        <v>443</v>
      </c>
    </row>
    <row r="18" spans="2:4" x14ac:dyDescent="0.2">
      <c r="C18" s="15"/>
    </row>
    <row r="19" spans="2:4" x14ac:dyDescent="0.2">
      <c r="C19" s="16" t="s">
        <v>436</v>
      </c>
    </row>
    <row r="21" spans="2:4" x14ac:dyDescent="0.2">
      <c r="B21" s="3" t="s">
        <v>397</v>
      </c>
    </row>
    <row r="22" spans="2:4" x14ac:dyDescent="0.2">
      <c r="C22" s="55">
        <v>39387</v>
      </c>
      <c r="D22" s="5">
        <v>109</v>
      </c>
    </row>
    <row r="23" spans="2:4" x14ac:dyDescent="0.2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510</v>
      </c>
    </row>
    <row r="4" spans="1:3" x14ac:dyDescent="0.2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311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501</v>
      </c>
    </row>
    <row r="17" spans="3:3" x14ac:dyDescent="0.2">
      <c r="C17" s="4" t="s">
        <v>242</v>
      </c>
    </row>
    <row r="18" spans="3:3" x14ac:dyDescent="0.2">
      <c r="C18" s="3" t="s">
        <v>500</v>
      </c>
    </row>
    <row r="19" spans="3:3" x14ac:dyDescent="0.2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ColWidth="9.140625" defaultRowHeight="12.75" x14ac:dyDescent="0.2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 x14ac:dyDescent="0.2">
      <c r="A1" s="56" t="s">
        <v>55</v>
      </c>
    </row>
    <row r="2" spans="1:4" x14ac:dyDescent="0.2">
      <c r="B2" s="58" t="s">
        <v>49</v>
      </c>
      <c r="C2" s="58" t="s">
        <v>29</v>
      </c>
    </row>
    <row r="3" spans="1:4" x14ac:dyDescent="0.2">
      <c r="B3" s="58" t="s">
        <v>397</v>
      </c>
    </row>
    <row r="4" spans="1:4" x14ac:dyDescent="0.2">
      <c r="C4" s="59">
        <v>39387</v>
      </c>
      <c r="D4" s="57">
        <v>69</v>
      </c>
    </row>
    <row r="5" spans="1:4" x14ac:dyDescent="0.2">
      <c r="C5" s="59">
        <v>39356</v>
      </c>
      <c r="D5" s="57">
        <v>74</v>
      </c>
    </row>
    <row r="6" spans="1:4" x14ac:dyDescent="0.2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690</v>
      </c>
    </row>
    <row r="9" spans="1:3" x14ac:dyDescent="0.2">
      <c r="C9" s="3" t="s">
        <v>691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ColWidth="9.140625" defaultRowHeight="12.75" x14ac:dyDescent="0.2"/>
  <cols>
    <col min="1" max="1" width="5" style="76" bestFit="1" customWidth="1"/>
    <col min="2" max="2" width="14" style="76" bestFit="1" customWidth="1"/>
    <col min="3" max="16384" width="9.140625" style="76"/>
  </cols>
  <sheetData>
    <row r="1" spans="1:3" x14ac:dyDescent="0.2">
      <c r="A1" s="78" t="s">
        <v>55</v>
      </c>
    </row>
    <row r="2" spans="1:3" x14ac:dyDescent="0.2">
      <c r="B2" s="76" t="s">
        <v>49</v>
      </c>
      <c r="C2" s="76" t="s">
        <v>498</v>
      </c>
    </row>
    <row r="3" spans="1:3" x14ac:dyDescent="0.2">
      <c r="B3" s="76" t="s">
        <v>51</v>
      </c>
      <c r="C3" s="76" t="s">
        <v>497</v>
      </c>
    </row>
    <row r="4" spans="1:3" x14ac:dyDescent="0.2">
      <c r="B4" s="76" t="s">
        <v>44</v>
      </c>
      <c r="C4" s="76" t="s">
        <v>352</v>
      </c>
    </row>
    <row r="5" spans="1:3" x14ac:dyDescent="0.2">
      <c r="B5" s="76" t="s">
        <v>66</v>
      </c>
      <c r="C5" s="76" t="s">
        <v>496</v>
      </c>
    </row>
    <row r="6" spans="1:3" x14ac:dyDescent="0.2">
      <c r="B6" s="76" t="s">
        <v>65</v>
      </c>
      <c r="C6" s="76" t="s">
        <v>495</v>
      </c>
    </row>
    <row r="7" spans="1:3" x14ac:dyDescent="0.2">
      <c r="C7" s="76" t="s">
        <v>494</v>
      </c>
    </row>
    <row r="8" spans="1:3" x14ac:dyDescent="0.2">
      <c r="C8" s="76" t="s">
        <v>493</v>
      </c>
    </row>
    <row r="9" spans="1:3" x14ac:dyDescent="0.2">
      <c r="C9" s="76" t="s">
        <v>492</v>
      </c>
    </row>
    <row r="10" spans="1:3" x14ac:dyDescent="0.2">
      <c r="B10" s="76" t="s">
        <v>491</v>
      </c>
    </row>
    <row r="11" spans="1:3" x14ac:dyDescent="0.2">
      <c r="C11" s="77" t="s">
        <v>490</v>
      </c>
    </row>
    <row r="12" spans="1:3" x14ac:dyDescent="0.2">
      <c r="C12" s="77"/>
    </row>
    <row r="13" spans="1:3" x14ac:dyDescent="0.2">
      <c r="C13" s="77" t="s">
        <v>499</v>
      </c>
    </row>
    <row r="14" spans="1:3" x14ac:dyDescent="0.2">
      <c r="C14" s="77"/>
    </row>
    <row r="15" spans="1:3" x14ac:dyDescent="0.2">
      <c r="C15" s="77" t="s">
        <v>489</v>
      </c>
    </row>
    <row r="17" spans="3:3" x14ac:dyDescent="0.2">
      <c r="C17" s="77" t="s">
        <v>488</v>
      </c>
    </row>
    <row r="18" spans="3:3" x14ac:dyDescent="0.2">
      <c r="C18" s="76" t="s">
        <v>594</v>
      </c>
    </row>
    <row r="20" spans="3:3" x14ac:dyDescent="0.2">
      <c r="C20" s="77" t="s">
        <v>487</v>
      </c>
    </row>
    <row r="21" spans="3:3" x14ac:dyDescent="0.2">
      <c r="C21" s="76" t="s">
        <v>594</v>
      </c>
    </row>
    <row r="23" spans="3:3" x14ac:dyDescent="0.2">
      <c r="C23" s="77" t="s">
        <v>486</v>
      </c>
    </row>
    <row r="25" spans="3:3" x14ac:dyDescent="0.2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ColWidth="8.85546875" defaultRowHeight="12.75" x14ac:dyDescent="0.2"/>
  <cols>
    <col min="1" max="1" width="5" bestFit="1" customWidth="1"/>
    <col min="2" max="2" width="19.85546875" bestFit="1" customWidth="1"/>
    <col min="9" max="9" width="12.42578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5" t="s">
        <v>55</v>
      </c>
    </row>
    <row r="2" spans="1:19" x14ac:dyDescent="0.2">
      <c r="B2" s="40" t="s">
        <v>611</v>
      </c>
    </row>
    <row r="3" spans="1:19" x14ac:dyDescent="0.2">
      <c r="E3" s="2" t="s">
        <v>635</v>
      </c>
      <c r="F3" s="2" t="s">
        <v>636</v>
      </c>
    </row>
    <row r="4" spans="1:19" x14ac:dyDescent="0.2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39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397</v>
      </c>
      <c r="C3" s="5"/>
      <c r="D3" s="5"/>
    </row>
    <row r="4" spans="1:4" x14ac:dyDescent="0.2">
      <c r="B4" s="5"/>
      <c r="C4" s="55">
        <v>39387</v>
      </c>
      <c r="D4" s="5">
        <v>37</v>
      </c>
    </row>
    <row r="5" spans="1:4" x14ac:dyDescent="0.2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39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ColWidth="9.140625"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0" t="s">
        <v>55</v>
      </c>
    </row>
    <row r="2" spans="1:3" x14ac:dyDescent="0.2">
      <c r="B2" s="5" t="s">
        <v>49</v>
      </c>
      <c r="C2" s="3" t="s">
        <v>528</v>
      </c>
    </row>
    <row r="3" spans="1:3" x14ac:dyDescent="0.2">
      <c r="B3" s="5" t="s">
        <v>51</v>
      </c>
      <c r="C3" s="5" t="s">
        <v>527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521</v>
      </c>
    </row>
    <row r="15" spans="1:3" x14ac:dyDescent="0.2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1" t="s">
        <v>49</v>
      </c>
      <c r="C2" s="1" t="s">
        <v>293</v>
      </c>
    </row>
    <row r="3" spans="1:3" x14ac:dyDescent="0.2">
      <c r="B3" s="1" t="s">
        <v>51</v>
      </c>
      <c r="C3" s="1" t="s">
        <v>294</v>
      </c>
    </row>
    <row r="4" spans="1:3" x14ac:dyDescent="0.2">
      <c r="B4" s="1" t="s">
        <v>44</v>
      </c>
      <c r="C4" s="1" t="s">
        <v>295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ColWidth="9.140625"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507</v>
      </c>
    </row>
    <row r="10" spans="1:3" x14ac:dyDescent="0.2">
      <c r="C10" s="3" t="s">
        <v>508</v>
      </c>
    </row>
    <row r="11" spans="1:3" x14ac:dyDescent="0.2">
      <c r="C11" s="3" t="s">
        <v>509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ColWidth="8.85546875" defaultRowHeight="12.75" x14ac:dyDescent="0.2"/>
  <cols>
    <col min="1" max="1" width="5" bestFit="1" customWidth="1"/>
    <col min="3" max="3" width="11.42578125" customWidth="1"/>
    <col min="6" max="6" width="10.140625" customWidth="1"/>
    <col min="7" max="7" width="13.140625" customWidth="1"/>
  </cols>
  <sheetData>
    <row r="1" spans="1:8" x14ac:dyDescent="0.2">
      <c r="A1" s="39" t="s">
        <v>55</v>
      </c>
    </row>
    <row r="2" spans="1:8" x14ac:dyDescent="0.2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 x14ac:dyDescent="0.2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 x14ac:dyDescent="0.2">
      <c r="B4" s="2" t="s">
        <v>113</v>
      </c>
      <c r="C4" s="2" t="s">
        <v>822</v>
      </c>
      <c r="D4" s="2" t="s">
        <v>206</v>
      </c>
      <c r="E4" s="101">
        <v>36959</v>
      </c>
    </row>
    <row r="6" spans="1:8" x14ac:dyDescent="0.2">
      <c r="B6" s="3" t="s">
        <v>705</v>
      </c>
    </row>
    <row r="7" spans="1:8" x14ac:dyDescent="0.2">
      <c r="B7" s="3" t="s">
        <v>732</v>
      </c>
    </row>
    <row r="8" spans="1:8" x14ac:dyDescent="0.2">
      <c r="B8" s="3" t="s">
        <v>751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746</v>
      </c>
    </row>
    <row r="13" spans="1:8" x14ac:dyDescent="0.2">
      <c r="B13" s="3" t="s">
        <v>745</v>
      </c>
    </row>
    <row r="14" spans="1:8" x14ac:dyDescent="0.2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">
      <c r="B26" s="53" t="s">
        <v>880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879</v>
      </c>
      <c r="H26" s="35" t="s">
        <v>253</v>
      </c>
    </row>
    <row r="27" spans="2:8" x14ac:dyDescent="0.2">
      <c r="B27" s="53" t="s">
        <v>881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">
      <c r="B29" s="53" t="s">
        <v>346</v>
      </c>
      <c r="C29" s="10" t="s">
        <v>283</v>
      </c>
      <c r="D29" s="10" t="s">
        <v>80</v>
      </c>
      <c r="E29" s="41" t="s">
        <v>882</v>
      </c>
      <c r="F29" s="10" t="s">
        <v>347</v>
      </c>
      <c r="G29" s="36" t="s">
        <v>161</v>
      </c>
    </row>
    <row r="30" spans="2:8" x14ac:dyDescent="0.2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 x14ac:dyDescent="0.2">
      <c r="B35" s="53" t="s">
        <v>893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tabSelected="1" zoomScale="130" zoomScaleNormal="130" workbookViewId="0">
      <selection activeCell="E30" sqref="E30"/>
    </sheetView>
  </sheetViews>
  <sheetFormatPr defaultColWidth="9.140625"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 x14ac:dyDescent="0.2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877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 x14ac:dyDescent="0.2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877</v>
      </c>
    </row>
    <row r="6" spans="1:13" x14ac:dyDescent="0.2">
      <c r="B6" s="38" t="s">
        <v>949</v>
      </c>
      <c r="C6" s="10" t="s">
        <v>821</v>
      </c>
      <c r="D6" s="119">
        <v>43055</v>
      </c>
      <c r="E6" s="10" t="s">
        <v>950</v>
      </c>
      <c r="F6" s="10"/>
      <c r="G6" s="35" t="s">
        <v>161</v>
      </c>
      <c r="I6" s="3" t="s">
        <v>577</v>
      </c>
      <c r="J6" s="21">
        <v>29209</v>
      </c>
      <c r="K6" s="54" t="s">
        <v>877</v>
      </c>
      <c r="L6" s="3"/>
      <c r="M6" s="3"/>
    </row>
    <row r="7" spans="1:13" x14ac:dyDescent="0.2">
      <c r="B7" s="38" t="s">
        <v>811</v>
      </c>
      <c r="C7" s="10" t="s">
        <v>812</v>
      </c>
      <c r="D7" s="119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241211.03400000001</v>
      </c>
      <c r="L7" s="3"/>
      <c r="M7" s="3"/>
    </row>
    <row r="8" spans="1:13" x14ac:dyDescent="0.2">
      <c r="B8" s="38" t="s">
        <v>704</v>
      </c>
      <c r="C8" s="10" t="s">
        <v>405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">
      <c r="B16" s="38" t="s">
        <v>846</v>
      </c>
      <c r="C16" s="10" t="s">
        <v>850</v>
      </c>
      <c r="E16" s="41" t="s">
        <v>847</v>
      </c>
      <c r="F16" s="10" t="s">
        <v>849</v>
      </c>
      <c r="G16" s="83" t="s">
        <v>848</v>
      </c>
    </row>
    <row r="17" spans="2:11" x14ac:dyDescent="0.2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">
      <c r="B19" s="53" t="s">
        <v>909</v>
      </c>
      <c r="C19" s="10" t="s">
        <v>86</v>
      </c>
      <c r="D19" s="123">
        <v>43397</v>
      </c>
      <c r="E19" s="41">
        <v>1</v>
      </c>
      <c r="F19" s="10"/>
      <c r="G19" s="35"/>
    </row>
    <row r="20" spans="2:11" x14ac:dyDescent="0.2">
      <c r="B20" s="53" t="s">
        <v>907</v>
      </c>
      <c r="C20" s="10" t="s">
        <v>908</v>
      </c>
      <c r="D20" s="123">
        <v>44057</v>
      </c>
      <c r="E20" s="41">
        <v>1</v>
      </c>
      <c r="F20" s="10" t="s">
        <v>83</v>
      </c>
      <c r="G20" s="35" t="s">
        <v>161</v>
      </c>
    </row>
    <row r="21" spans="2:11" x14ac:dyDescent="0.2">
      <c r="B21" s="53" t="s">
        <v>903</v>
      </c>
      <c r="C21" s="10" t="s">
        <v>904</v>
      </c>
      <c r="D21" s="123">
        <v>44917</v>
      </c>
      <c r="E21" s="41">
        <v>1</v>
      </c>
      <c r="F21" s="10" t="s">
        <v>884</v>
      </c>
      <c r="G21" s="35" t="s">
        <v>891</v>
      </c>
    </row>
    <row r="22" spans="2:11" x14ac:dyDescent="0.2">
      <c r="B22" s="53" t="s">
        <v>905</v>
      </c>
      <c r="C22" s="10" t="s">
        <v>313</v>
      </c>
      <c r="D22" s="123">
        <v>44589</v>
      </c>
      <c r="E22" s="41"/>
      <c r="F22" s="10" t="s">
        <v>906</v>
      </c>
      <c r="G22" s="35"/>
    </row>
    <row r="23" spans="2:11" x14ac:dyDescent="0.2">
      <c r="B23" s="38" t="s">
        <v>266</v>
      </c>
      <c r="C23" s="11" t="s">
        <v>239</v>
      </c>
      <c r="D23" s="11">
        <v>1998</v>
      </c>
      <c r="E23" s="14">
        <v>1</v>
      </c>
      <c r="F23" s="10" t="s">
        <v>400</v>
      </c>
      <c r="G23" s="83" t="s">
        <v>512</v>
      </c>
      <c r="I23" s="3" t="s">
        <v>951</v>
      </c>
      <c r="K23" s="21"/>
    </row>
    <row r="24" spans="2:11" x14ac:dyDescent="0.2">
      <c r="B24" s="53" t="s">
        <v>729</v>
      </c>
      <c r="C24" s="10" t="s">
        <v>324</v>
      </c>
      <c r="D24" s="10"/>
      <c r="E24" s="37" t="s">
        <v>321</v>
      </c>
      <c r="F24" s="33" t="s">
        <v>325</v>
      </c>
      <c r="G24" s="35" t="s">
        <v>253</v>
      </c>
      <c r="I24" s="3" t="s">
        <v>952</v>
      </c>
    </row>
    <row r="25" spans="2:11" x14ac:dyDescent="0.2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954</v>
      </c>
    </row>
    <row r="26" spans="2:11" x14ac:dyDescent="0.2">
      <c r="B26" s="6"/>
      <c r="C26" s="9"/>
      <c r="D26" s="9" t="s">
        <v>46</v>
      </c>
      <c r="E26" s="9"/>
      <c r="F26" s="9"/>
      <c r="G26" s="12"/>
      <c r="I26" s="3" t="s">
        <v>855</v>
      </c>
    </row>
    <row r="27" spans="2:11" x14ac:dyDescent="0.2">
      <c r="B27" s="120" t="s">
        <v>898</v>
      </c>
      <c r="C27" s="10" t="s">
        <v>878</v>
      </c>
      <c r="D27" s="10" t="s">
        <v>114</v>
      </c>
      <c r="E27" s="41" t="s">
        <v>899</v>
      </c>
      <c r="G27" s="36"/>
      <c r="I27" s="3" t="s">
        <v>953</v>
      </c>
    </row>
    <row r="28" spans="2:11" x14ac:dyDescent="0.2">
      <c r="B28" s="53" t="s">
        <v>883</v>
      </c>
      <c r="C28" s="10" t="s">
        <v>850</v>
      </c>
      <c r="D28" s="10" t="s">
        <v>114</v>
      </c>
      <c r="F28" s="10" t="s">
        <v>884</v>
      </c>
      <c r="G28" s="121" t="s">
        <v>891</v>
      </c>
    </row>
    <row r="29" spans="2:11" x14ac:dyDescent="0.2">
      <c r="B29" s="53" t="s">
        <v>897</v>
      </c>
      <c r="F29" s="10" t="s">
        <v>885</v>
      </c>
      <c r="G29" s="121" t="s">
        <v>161</v>
      </c>
    </row>
    <row r="30" spans="2:11" x14ac:dyDescent="0.2">
      <c r="B30" s="53" t="s">
        <v>900</v>
      </c>
      <c r="C30" s="10" t="s">
        <v>123</v>
      </c>
      <c r="D30" s="10" t="s">
        <v>114</v>
      </c>
      <c r="F30" s="10" t="s">
        <v>901</v>
      </c>
      <c r="G30" s="121"/>
    </row>
    <row r="31" spans="2:11" x14ac:dyDescent="0.2">
      <c r="B31" s="53" t="s">
        <v>910</v>
      </c>
      <c r="C31" s="10"/>
      <c r="D31" s="10" t="s">
        <v>114</v>
      </c>
      <c r="F31" s="10" t="s">
        <v>911</v>
      </c>
      <c r="G31" s="121"/>
      <c r="I31" s="3" t="s">
        <v>679</v>
      </c>
    </row>
    <row r="32" spans="2:11" x14ac:dyDescent="0.2">
      <c r="B32" s="53" t="s">
        <v>886</v>
      </c>
      <c r="C32" s="10" t="s">
        <v>888</v>
      </c>
      <c r="F32" s="10" t="s">
        <v>887</v>
      </c>
      <c r="G32" s="121" t="s">
        <v>529</v>
      </c>
    </row>
    <row r="33" spans="2:7" x14ac:dyDescent="0.2">
      <c r="B33" s="53" t="s">
        <v>889</v>
      </c>
      <c r="C33" s="10" t="s">
        <v>892</v>
      </c>
      <c r="F33" s="10" t="s">
        <v>890</v>
      </c>
      <c r="G33" s="121" t="s">
        <v>891</v>
      </c>
    </row>
    <row r="34" spans="2:7" x14ac:dyDescent="0.2">
      <c r="B34" s="53" t="s">
        <v>895</v>
      </c>
      <c r="C34" s="10"/>
      <c r="F34" s="10" t="s">
        <v>896</v>
      </c>
      <c r="G34" s="121" t="s">
        <v>891</v>
      </c>
    </row>
    <row r="35" spans="2:7" x14ac:dyDescent="0.2">
      <c r="B35" s="53" t="s">
        <v>902</v>
      </c>
      <c r="C35" s="10" t="s">
        <v>359</v>
      </c>
      <c r="D35" s="10" t="s">
        <v>114</v>
      </c>
      <c r="E35" s="41" t="s">
        <v>360</v>
      </c>
      <c r="F35" s="10" t="s">
        <v>361</v>
      </c>
      <c r="G35" s="35" t="s">
        <v>161</v>
      </c>
    </row>
    <row r="36" spans="2:7" x14ac:dyDescent="0.2">
      <c r="B36" s="53" t="s">
        <v>734</v>
      </c>
      <c r="C36" s="10" t="s">
        <v>359</v>
      </c>
      <c r="D36" s="10"/>
      <c r="E36" s="41"/>
      <c r="F36" s="10" t="s">
        <v>361</v>
      </c>
      <c r="G36" s="35" t="s">
        <v>161</v>
      </c>
    </row>
    <row r="37" spans="2:7" x14ac:dyDescent="0.2">
      <c r="B37" s="53" t="s">
        <v>738</v>
      </c>
      <c r="C37" s="10" t="s">
        <v>735</v>
      </c>
      <c r="D37" s="10" t="s">
        <v>110</v>
      </c>
      <c r="E37" s="41">
        <v>1</v>
      </c>
      <c r="F37" s="10" t="s">
        <v>736</v>
      </c>
      <c r="G37" s="35" t="s">
        <v>253</v>
      </c>
    </row>
    <row r="38" spans="2:7" x14ac:dyDescent="0.2">
      <c r="B38" s="53" t="s">
        <v>741</v>
      </c>
      <c r="C38" s="10" t="s">
        <v>359</v>
      </c>
      <c r="D38" s="10" t="s">
        <v>110</v>
      </c>
      <c r="E38" s="41">
        <v>1</v>
      </c>
      <c r="F38" s="10" t="s">
        <v>742</v>
      </c>
      <c r="G38" s="35"/>
    </row>
    <row r="39" spans="2:7" x14ac:dyDescent="0.2">
      <c r="B39" s="53" t="s">
        <v>737</v>
      </c>
      <c r="C39" s="10" t="s">
        <v>359</v>
      </c>
      <c r="D39" s="10" t="s">
        <v>110</v>
      </c>
      <c r="E39" s="41" t="s">
        <v>739</v>
      </c>
      <c r="F39" s="10" t="s">
        <v>740</v>
      </c>
      <c r="G39" s="35" t="s">
        <v>253</v>
      </c>
    </row>
    <row r="40" spans="2:7" x14ac:dyDescent="0.2">
      <c r="B40" s="53" t="s">
        <v>743</v>
      </c>
      <c r="C40" s="10" t="s">
        <v>268</v>
      </c>
      <c r="D40" s="10" t="s">
        <v>110</v>
      </c>
      <c r="E40" s="41">
        <v>1</v>
      </c>
      <c r="F40" s="10" t="s">
        <v>744</v>
      </c>
      <c r="G40" s="35"/>
    </row>
    <row r="41" spans="2:7" x14ac:dyDescent="0.2">
      <c r="B41" s="53" t="s">
        <v>709</v>
      </c>
      <c r="C41" s="10" t="s">
        <v>359</v>
      </c>
      <c r="D41" s="10" t="s">
        <v>110</v>
      </c>
      <c r="E41" s="41">
        <v>1</v>
      </c>
      <c r="F41" s="10" t="s">
        <v>710</v>
      </c>
      <c r="G41" s="35" t="s">
        <v>253</v>
      </c>
    </row>
    <row r="42" spans="2:7" s="17" customFormat="1" x14ac:dyDescent="0.2">
      <c r="B42" s="53" t="s">
        <v>706</v>
      </c>
      <c r="C42" s="10" t="s">
        <v>707</v>
      </c>
      <c r="D42" s="10" t="s">
        <v>110</v>
      </c>
      <c r="E42" s="41">
        <v>1</v>
      </c>
      <c r="F42" s="10" t="s">
        <v>708</v>
      </c>
      <c r="G42" s="35" t="s">
        <v>253</v>
      </c>
    </row>
    <row r="43" spans="2:7" s="17" customFormat="1" x14ac:dyDescent="0.2">
      <c r="B43" s="8" t="s">
        <v>278</v>
      </c>
      <c r="C43" s="11" t="s">
        <v>115</v>
      </c>
      <c r="D43" s="11" t="s">
        <v>110</v>
      </c>
      <c r="E43" s="14">
        <v>1</v>
      </c>
      <c r="F43" s="10" t="s">
        <v>383</v>
      </c>
      <c r="G43" s="35" t="s">
        <v>253</v>
      </c>
    </row>
    <row r="44" spans="2:7" x14ac:dyDescent="0.2">
      <c r="B44" s="53" t="s">
        <v>692</v>
      </c>
      <c r="C44" s="10" t="s">
        <v>115</v>
      </c>
      <c r="D44" s="10" t="s">
        <v>110</v>
      </c>
      <c r="E44" s="41">
        <v>1</v>
      </c>
      <c r="F44" s="10" t="s">
        <v>474</v>
      </c>
      <c r="G44" s="35" t="s">
        <v>161</v>
      </c>
    </row>
    <row r="45" spans="2:7" x14ac:dyDescent="0.2">
      <c r="B45" s="53" t="s">
        <v>279</v>
      </c>
      <c r="C45" s="10" t="s">
        <v>115</v>
      </c>
      <c r="D45" s="10" t="s">
        <v>110</v>
      </c>
      <c r="E45" s="41">
        <v>1</v>
      </c>
      <c r="F45" s="10" t="s">
        <v>606</v>
      </c>
      <c r="G45" s="35"/>
    </row>
    <row r="46" spans="2:7" x14ac:dyDescent="0.2">
      <c r="B46" s="53" t="s">
        <v>370</v>
      </c>
      <c r="C46" s="10" t="s">
        <v>115</v>
      </c>
      <c r="D46" s="10" t="s">
        <v>110</v>
      </c>
      <c r="E46" s="41">
        <v>1</v>
      </c>
      <c r="F46" s="10" t="s">
        <v>473</v>
      </c>
      <c r="G46" s="35" t="s">
        <v>253</v>
      </c>
    </row>
    <row r="47" spans="2:7" x14ac:dyDescent="0.2">
      <c r="B47" s="53" t="s">
        <v>384</v>
      </c>
      <c r="C47" s="10" t="s">
        <v>115</v>
      </c>
      <c r="D47" s="10" t="s">
        <v>110</v>
      </c>
      <c r="E47" s="41">
        <v>1</v>
      </c>
      <c r="F47" s="10" t="s">
        <v>385</v>
      </c>
      <c r="G47" s="35" t="s">
        <v>161</v>
      </c>
    </row>
    <row r="48" spans="2:7" x14ac:dyDescent="0.2">
      <c r="B48" s="53" t="s">
        <v>670</v>
      </c>
      <c r="C48" s="10" t="s">
        <v>115</v>
      </c>
      <c r="D48" s="10" t="s">
        <v>110</v>
      </c>
      <c r="E48" s="41">
        <v>1</v>
      </c>
      <c r="F48" s="10" t="s">
        <v>386</v>
      </c>
      <c r="G48" s="35" t="s">
        <v>253</v>
      </c>
    </row>
    <row r="49" spans="2:7" x14ac:dyDescent="0.2">
      <c r="B49" s="53" t="s">
        <v>371</v>
      </c>
      <c r="C49" s="10" t="s">
        <v>115</v>
      </c>
      <c r="D49" s="10" t="s">
        <v>110</v>
      </c>
      <c r="E49" s="41">
        <v>1</v>
      </c>
      <c r="G49" s="35" t="s">
        <v>253</v>
      </c>
    </row>
    <row r="50" spans="2:7" x14ac:dyDescent="0.2">
      <c r="B50" s="53" t="s">
        <v>368</v>
      </c>
      <c r="C50" s="11" t="s">
        <v>115</v>
      </c>
      <c r="D50" s="11" t="s">
        <v>110</v>
      </c>
      <c r="E50" s="14">
        <v>1</v>
      </c>
      <c r="F50" s="10" t="s">
        <v>369</v>
      </c>
      <c r="G50" s="35" t="s">
        <v>253</v>
      </c>
    </row>
    <row r="51" spans="2:7" x14ac:dyDescent="0.2">
      <c r="B51" s="53" t="s">
        <v>919</v>
      </c>
      <c r="C51" s="10" t="s">
        <v>920</v>
      </c>
      <c r="D51" s="10" t="s">
        <v>110</v>
      </c>
      <c r="E51" s="14">
        <v>1</v>
      </c>
      <c r="F51" s="10" t="s">
        <v>921</v>
      </c>
      <c r="G51" s="35"/>
    </row>
    <row r="52" spans="2:7" x14ac:dyDescent="0.2">
      <c r="B52" s="53" t="s">
        <v>922</v>
      </c>
      <c r="C52" s="10" t="s">
        <v>920</v>
      </c>
      <c r="D52" s="10" t="s">
        <v>110</v>
      </c>
      <c r="E52" s="14">
        <v>1</v>
      </c>
      <c r="F52" s="10" t="s">
        <v>923</v>
      </c>
      <c r="G52" s="35"/>
    </row>
    <row r="53" spans="2:7" x14ac:dyDescent="0.2">
      <c r="B53" s="53" t="s">
        <v>607</v>
      </c>
      <c r="C53" s="10" t="s">
        <v>115</v>
      </c>
      <c r="D53" s="10" t="s">
        <v>110</v>
      </c>
      <c r="E53" s="14">
        <v>1</v>
      </c>
      <c r="F53" s="10"/>
      <c r="G53" s="35" t="s">
        <v>253</v>
      </c>
    </row>
    <row r="54" spans="2:7" x14ac:dyDescent="0.2">
      <c r="B54" s="53" t="s">
        <v>574</v>
      </c>
      <c r="C54" s="10" t="s">
        <v>115</v>
      </c>
      <c r="D54" s="10" t="s">
        <v>110</v>
      </c>
      <c r="E54" s="41" t="s">
        <v>575</v>
      </c>
      <c r="F54" s="10"/>
      <c r="G54" s="35" t="s">
        <v>253</v>
      </c>
    </row>
    <row r="55" spans="2:7" x14ac:dyDescent="0.2">
      <c r="B55" s="53" t="s">
        <v>671</v>
      </c>
      <c r="C55" s="10" t="s">
        <v>605</v>
      </c>
      <c r="D55" s="10" t="s">
        <v>110</v>
      </c>
      <c r="E55" s="41">
        <v>1</v>
      </c>
      <c r="F55" s="10" t="s">
        <v>386</v>
      </c>
      <c r="G55" s="35" t="s">
        <v>253</v>
      </c>
    </row>
    <row r="56" spans="2:7" x14ac:dyDescent="0.2">
      <c r="B56" s="53" t="s">
        <v>375</v>
      </c>
      <c r="C56" s="10" t="s">
        <v>115</v>
      </c>
      <c r="D56" s="10" t="s">
        <v>110</v>
      </c>
      <c r="E56" s="41">
        <v>1</v>
      </c>
      <c r="F56" s="10" t="s">
        <v>472</v>
      </c>
      <c r="G56" s="35" t="s">
        <v>253</v>
      </c>
    </row>
    <row r="57" spans="2:7" x14ac:dyDescent="0.2">
      <c r="B57" s="53" t="s">
        <v>365</v>
      </c>
      <c r="C57" s="10" t="s">
        <v>366</v>
      </c>
      <c r="D57" s="10" t="s">
        <v>110</v>
      </c>
      <c r="E57" s="14">
        <v>1</v>
      </c>
      <c r="F57" s="10" t="s">
        <v>367</v>
      </c>
      <c r="G57" s="35" t="s">
        <v>211</v>
      </c>
    </row>
    <row r="58" spans="2:7" x14ac:dyDescent="0.2">
      <c r="B58" s="53" t="s">
        <v>590</v>
      </c>
      <c r="C58" s="10" t="s">
        <v>115</v>
      </c>
      <c r="D58" s="10" t="s">
        <v>110</v>
      </c>
      <c r="E58" s="14">
        <v>1</v>
      </c>
      <c r="F58" s="10" t="s">
        <v>591</v>
      </c>
      <c r="G58" s="35" t="s">
        <v>253</v>
      </c>
    </row>
    <row r="59" spans="2:7" x14ac:dyDescent="0.2">
      <c r="B59" s="96" t="s">
        <v>733</v>
      </c>
      <c r="C59" s="122" t="s">
        <v>349</v>
      </c>
      <c r="D59" s="122" t="s">
        <v>110</v>
      </c>
      <c r="E59" s="97">
        <v>1</v>
      </c>
      <c r="F59" s="122" t="s">
        <v>350</v>
      </c>
      <c r="G59" s="98" t="s">
        <v>161</v>
      </c>
    </row>
    <row r="60" spans="2:7" s="17" customFormat="1" x14ac:dyDescent="0.2">
      <c r="B60" s="53" t="s">
        <v>576</v>
      </c>
      <c r="C60" s="10" t="s">
        <v>465</v>
      </c>
      <c r="D60" s="10" t="s">
        <v>80</v>
      </c>
      <c r="E60" s="14">
        <v>1</v>
      </c>
      <c r="F60" s="10" t="s">
        <v>466</v>
      </c>
      <c r="G60" s="35" t="s">
        <v>161</v>
      </c>
    </row>
    <row r="61" spans="2:7" x14ac:dyDescent="0.2">
      <c r="B61" s="53" t="s">
        <v>351</v>
      </c>
      <c r="C61" s="10" t="s">
        <v>352</v>
      </c>
      <c r="D61" s="10" t="s">
        <v>110</v>
      </c>
      <c r="E61" s="14">
        <v>1</v>
      </c>
      <c r="F61" s="10" t="s">
        <v>353</v>
      </c>
      <c r="G61" s="35" t="s">
        <v>161</v>
      </c>
    </row>
    <row r="62" spans="2:7" x14ac:dyDescent="0.2">
      <c r="B62" s="53" t="s">
        <v>372</v>
      </c>
      <c r="C62" s="10" t="s">
        <v>115</v>
      </c>
      <c r="D62" s="10" t="s">
        <v>110</v>
      </c>
      <c r="E62" s="41" t="s">
        <v>373</v>
      </c>
      <c r="F62" s="10" t="s">
        <v>374</v>
      </c>
      <c r="G62" s="35" t="s">
        <v>161</v>
      </c>
    </row>
    <row r="63" spans="2:7" x14ac:dyDescent="0.2">
      <c r="B63" s="53" t="s">
        <v>584</v>
      </c>
      <c r="C63" s="10" t="s">
        <v>413</v>
      </c>
      <c r="D63" s="10" t="s">
        <v>110</v>
      </c>
      <c r="E63" s="41" t="s">
        <v>414</v>
      </c>
      <c r="F63" s="10" t="s">
        <v>583</v>
      </c>
      <c r="G63" s="35" t="s">
        <v>253</v>
      </c>
    </row>
    <row r="64" spans="2:7" x14ac:dyDescent="0.2">
      <c r="B64" s="53"/>
      <c r="C64" s="10" t="s">
        <v>388</v>
      </c>
      <c r="D64" s="10" t="s">
        <v>110</v>
      </c>
      <c r="E64" s="41">
        <v>1</v>
      </c>
      <c r="F64" s="10" t="s">
        <v>390</v>
      </c>
      <c r="G64" s="35" t="s">
        <v>253</v>
      </c>
    </row>
    <row r="65" spans="2:7" x14ac:dyDescent="0.2">
      <c r="B65" s="53"/>
      <c r="C65" s="10" t="s">
        <v>389</v>
      </c>
      <c r="D65" s="10" t="s">
        <v>110</v>
      </c>
      <c r="E65" s="41">
        <v>1</v>
      </c>
      <c r="F65" s="10" t="s">
        <v>391</v>
      </c>
      <c r="G65" s="35" t="s">
        <v>161</v>
      </c>
    </row>
    <row r="66" spans="2:7" x14ac:dyDescent="0.2">
      <c r="B66" s="61" t="s">
        <v>343</v>
      </c>
      <c r="C66" s="62" t="s">
        <v>283</v>
      </c>
      <c r="D66" s="62" t="s">
        <v>80</v>
      </c>
      <c r="E66" s="22">
        <v>1</v>
      </c>
      <c r="F66" s="62" t="s">
        <v>344</v>
      </c>
      <c r="G66" s="63" t="s">
        <v>161</v>
      </c>
    </row>
    <row r="68" spans="2:7" x14ac:dyDescent="0.2">
      <c r="B68" s="3"/>
      <c r="F68" s="18" t="s">
        <v>103</v>
      </c>
    </row>
    <row r="69" spans="2:7" x14ac:dyDescent="0.2">
      <c r="B69" s="3"/>
      <c r="F69" s="18" t="s">
        <v>120</v>
      </c>
    </row>
    <row r="70" spans="2:7" x14ac:dyDescent="0.2">
      <c r="B70" s="3"/>
      <c r="F70" s="18" t="s">
        <v>243</v>
      </c>
    </row>
    <row r="71" spans="2:7" x14ac:dyDescent="0.2">
      <c r="F71" s="18" t="s">
        <v>241</v>
      </c>
    </row>
    <row r="72" spans="2:7" x14ac:dyDescent="0.2">
      <c r="F72" s="18" t="s">
        <v>333</v>
      </c>
    </row>
    <row r="73" spans="2:7" x14ac:dyDescent="0.2">
      <c r="F73" s="18" t="s">
        <v>331</v>
      </c>
    </row>
    <row r="74" spans="2:7" x14ac:dyDescent="0.2">
      <c r="F74" s="18" t="s">
        <v>330</v>
      </c>
    </row>
    <row r="75" spans="2:7" x14ac:dyDescent="0.2">
      <c r="F75" s="18" t="s">
        <v>306</v>
      </c>
    </row>
    <row r="76" spans="2:7" x14ac:dyDescent="0.2">
      <c r="F76" s="18" t="s">
        <v>329</v>
      </c>
    </row>
    <row r="77" spans="2:7" x14ac:dyDescent="0.2">
      <c r="F77" s="18" t="s">
        <v>326</v>
      </c>
    </row>
    <row r="78" spans="2:7" x14ac:dyDescent="0.2">
      <c r="F78" s="18" t="s">
        <v>458</v>
      </c>
    </row>
    <row r="79" spans="2:7" x14ac:dyDescent="0.2">
      <c r="F79" s="18" t="s">
        <v>398</v>
      </c>
    </row>
    <row r="80" spans="2:7" x14ac:dyDescent="0.2">
      <c r="F80" s="18" t="s">
        <v>505</v>
      </c>
    </row>
    <row r="81" spans="6:6" x14ac:dyDescent="0.2">
      <c r="F81" s="18" t="s">
        <v>515</v>
      </c>
    </row>
    <row r="82" spans="6:6" x14ac:dyDescent="0.2">
      <c r="F82" s="18" t="s">
        <v>503</v>
      </c>
    </row>
    <row r="83" spans="6:6" x14ac:dyDescent="0.2">
      <c r="F83" s="18" t="s">
        <v>431</v>
      </c>
    </row>
    <row r="84" spans="6:6" x14ac:dyDescent="0.2">
      <c r="F84" s="18" t="s">
        <v>595</v>
      </c>
    </row>
    <row r="85" spans="6:6" x14ac:dyDescent="0.2">
      <c r="F85" s="18" t="s">
        <v>693</v>
      </c>
    </row>
    <row r="86" spans="6:6" x14ac:dyDescent="0.2">
      <c r="F86" s="18" t="s">
        <v>475</v>
      </c>
    </row>
    <row r="87" spans="6:6" x14ac:dyDescent="0.2">
      <c r="F87" s="18" t="s">
        <v>711</v>
      </c>
    </row>
    <row r="89" spans="6:6" x14ac:dyDescent="0.2">
      <c r="F89" s="118" t="s">
        <v>834</v>
      </c>
    </row>
    <row r="90" spans="6:6" x14ac:dyDescent="0.2">
      <c r="F90" s="118" t="s">
        <v>835</v>
      </c>
    </row>
    <row r="91" spans="6:6" x14ac:dyDescent="0.2">
      <c r="F91" s="118"/>
    </row>
    <row r="92" spans="6:6" x14ac:dyDescent="0.2">
      <c r="F92" s="3" t="s">
        <v>856</v>
      </c>
    </row>
    <row r="93" spans="6:6" x14ac:dyDescent="0.2">
      <c r="F93" s="118" t="s">
        <v>842</v>
      </c>
    </row>
    <row r="94" spans="6:6" x14ac:dyDescent="0.2">
      <c r="F94" s="3" t="s">
        <v>947</v>
      </c>
    </row>
    <row r="95" spans="6:6" x14ac:dyDescent="0.2">
      <c r="F95" s="3" t="s">
        <v>948</v>
      </c>
    </row>
    <row r="96" spans="6:6" x14ac:dyDescent="0.2">
      <c r="F96" s="118" t="s">
        <v>924</v>
      </c>
    </row>
    <row r="97" spans="6:6" x14ac:dyDescent="0.2">
      <c r="F97" s="118" t="s">
        <v>925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  <hyperlink ref="B6" location="Hemlibra!A1" display="Hemlibra" xr:uid="{057E581E-A1F4-5642-9D1B-72A6704C2D09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69"/>
  <sheetViews>
    <sheetView zoomScale="115" zoomScaleNormal="115" zoomScaleSheetLayoutView="100" workbookViewId="0">
      <pane xSplit="2" ySplit="2" topLeftCell="DT35" activePane="bottomRight" state="frozen"/>
      <selection activeCell="AT9" sqref="AT9"/>
      <selection pane="topRight" activeCell="AT9" sqref="AT9"/>
      <selection pane="bottomLeft" activeCell="AT9" sqref="AT9"/>
      <selection pane="bottomRight"/>
    </sheetView>
  </sheetViews>
  <sheetFormatPr defaultColWidth="9.140625"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35" width="7.140625" style="93" customWidth="1"/>
    <col min="136" max="136" width="1.7109375" style="5" customWidth="1"/>
    <col min="137" max="137" width="9.140625" style="23" customWidth="1"/>
    <col min="138" max="142" width="8.28515625" style="23" bestFit="1" customWidth="1"/>
    <col min="143" max="156" width="8" style="23" customWidth="1"/>
    <col min="157" max="157" width="7.85546875" style="44" customWidth="1" collapsed="1"/>
    <col min="158" max="158" width="7.85546875" style="15" customWidth="1" collapsed="1"/>
    <col min="159" max="160" width="7.85546875" style="44" customWidth="1" collapsed="1"/>
    <col min="161" max="163" width="9.140625" style="15" collapsed="1"/>
    <col min="164" max="16384" width="9.140625" style="15"/>
  </cols>
  <sheetData>
    <row r="1" spans="1:167" x14ac:dyDescent="0.2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x14ac:dyDescent="0.2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858</v>
      </c>
      <c r="AD2" s="68" t="s">
        <v>859</v>
      </c>
      <c r="AE2" s="68" t="s">
        <v>860</v>
      </c>
      <c r="AF2" s="68" t="s">
        <v>861</v>
      </c>
      <c r="AG2" s="68" t="s">
        <v>862</v>
      </c>
      <c r="AH2" s="68" t="s">
        <v>863</v>
      </c>
      <c r="AI2" s="68" t="s">
        <v>864</v>
      </c>
      <c r="AJ2" s="68" t="s">
        <v>865</v>
      </c>
      <c r="AK2" s="68" t="s">
        <v>866</v>
      </c>
      <c r="AL2" s="68" t="s">
        <v>867</v>
      </c>
      <c r="AM2" s="68" t="s">
        <v>868</v>
      </c>
      <c r="AN2" s="68" t="s">
        <v>869</v>
      </c>
      <c r="AO2" s="68" t="s">
        <v>870</v>
      </c>
      <c r="AP2" s="68" t="s">
        <v>871</v>
      </c>
      <c r="AQ2" s="68" t="s">
        <v>872</v>
      </c>
      <c r="AR2" s="68" t="s">
        <v>873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874</v>
      </c>
      <c r="DW2" s="52" t="s">
        <v>875</v>
      </c>
      <c r="DX2" s="52" t="s">
        <v>876</v>
      </c>
      <c r="DY2" s="52" t="s">
        <v>877</v>
      </c>
      <c r="DZ2" s="52" t="s">
        <v>926</v>
      </c>
      <c r="EA2" s="52" t="s">
        <v>927</v>
      </c>
      <c r="EB2" s="52" t="s">
        <v>928</v>
      </c>
      <c r="EC2" s="52" t="s">
        <v>929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x14ac:dyDescent="0.2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SUM(Q22:Q65)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SUM(AX22:AX65)</f>
        <v>4069.9046424090338</v>
      </c>
      <c r="AY3" s="66">
        <f t="shared" si="12"/>
        <v>4173.6097867001254</v>
      </c>
      <c r="AZ3" s="66">
        <f t="shared" si="12"/>
        <v>4166.2823086574654</v>
      </c>
      <c r="BA3" s="66">
        <f t="shared" si="12"/>
        <v>4238</v>
      </c>
      <c r="BB3" s="66">
        <f t="shared" si="12"/>
        <v>4755</v>
      </c>
      <c r="BC3" s="66">
        <f t="shared" si="12"/>
        <v>4932.7282626022334</v>
      </c>
      <c r="BD3" s="66">
        <f t="shared" si="12"/>
        <v>5009.2717373977657</v>
      </c>
      <c r="BE3" s="66">
        <f t="shared" si="12"/>
        <v>5887</v>
      </c>
      <c r="BF3" s="66">
        <f t="shared" si="12"/>
        <v>5602</v>
      </c>
      <c r="BG3" s="66">
        <f t="shared" si="12"/>
        <v>5550</v>
      </c>
      <c r="BH3" s="66">
        <f t="shared" si="12"/>
        <v>6038.2578675886843</v>
      </c>
      <c r="BI3" s="66">
        <f t="shared" si="12"/>
        <v>6461.146521744965</v>
      </c>
      <c r="BJ3" s="66">
        <f t="shared" si="12"/>
        <v>5116</v>
      </c>
      <c r="BK3" s="66">
        <f t="shared" si="12"/>
        <v>4939</v>
      </c>
      <c r="BL3" s="66">
        <f t="shared" ref="BL3:BU3" si="13">SUM(BL22:BL66)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SUM(BV22:BV65)</f>
        <v>5341</v>
      </c>
      <c r="BW3" s="66">
        <f t="shared" ref="BW3:CC3" si="14">SUM(BW22:BW66)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Z3" si="15">SUM(DN9:DN65)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 t="shared" si="15"/>
        <v>11159</v>
      </c>
      <c r="DS3" s="66">
        <f t="shared" si="15"/>
        <v>10082</v>
      </c>
      <c r="DT3" s="66">
        <f t="shared" si="15"/>
        <v>9636</v>
      </c>
      <c r="DU3" s="66">
        <f t="shared" si="15"/>
        <v>11088</v>
      </c>
      <c r="DV3" s="66">
        <f t="shared" si="15"/>
        <v>10573</v>
      </c>
      <c r="DW3" s="66">
        <f t="shared" si="15"/>
        <v>9974</v>
      </c>
      <c r="DX3" s="66">
        <f t="shared" si="15"/>
        <v>9893</v>
      </c>
      <c r="DY3" s="66">
        <f t="shared" si="15"/>
        <v>9879</v>
      </c>
      <c r="DZ3" s="66">
        <f t="shared" si="15"/>
        <v>10921</v>
      </c>
      <c r="EA3" s="66"/>
      <c r="EB3" s="66"/>
      <c r="EC3" s="66"/>
      <c r="ED3" s="66"/>
      <c r="EE3" s="66"/>
      <c r="EF3" s="5"/>
      <c r="EG3" s="66">
        <f t="shared" ref="EG3:EN3" si="16">SUM(EG22:EG65)</f>
        <v>14673</v>
      </c>
      <c r="EH3" s="66">
        <f t="shared" si="16"/>
        <v>14294</v>
      </c>
      <c r="EI3" s="66">
        <f t="shared" si="16"/>
        <v>15796</v>
      </c>
      <c r="EJ3" s="66">
        <f t="shared" si="16"/>
        <v>16647.796737766625</v>
      </c>
      <c r="EK3" s="66">
        <f t="shared" si="16"/>
        <v>20584</v>
      </c>
      <c r="EL3" s="66">
        <f t="shared" si="16"/>
        <v>22785.404389333649</v>
      </c>
      <c r="EM3" s="66">
        <f t="shared" si="16"/>
        <v>20074</v>
      </c>
      <c r="EN3" s="66">
        <f t="shared" si="16"/>
        <v>19186</v>
      </c>
      <c r="EO3" s="66">
        <f>SUM(EO22:EO66)</f>
        <v>39540</v>
      </c>
      <c r="EP3" s="66">
        <f>SUM(EP22:EP66)</f>
        <v>36911</v>
      </c>
      <c r="EQ3" s="68">
        <f t="shared" ref="EQ3:EQ8" si="17">SUM(BZ3:CC3)</f>
        <v>32794</v>
      </c>
      <c r="ER3" s="66">
        <f t="shared" ref="ER3:EY3" si="18">SUM(ER22:ER66)</f>
        <v>17131</v>
      </c>
      <c r="ES3" s="66">
        <f t="shared" si="18"/>
        <v>17584</v>
      </c>
      <c r="ET3" s="66">
        <f t="shared" si="18"/>
        <v>16271.419999999998</v>
      </c>
      <c r="EU3" s="66">
        <f t="shared" si="18"/>
        <v>15649.399199999998</v>
      </c>
      <c r="EV3" s="66">
        <f t="shared" si="18"/>
        <v>15438.866182000002</v>
      </c>
      <c r="EW3" s="66">
        <f t="shared" si="18"/>
        <v>15093.13838527</v>
      </c>
      <c r="EX3" s="66">
        <f t="shared" si="18"/>
        <v>14957.861871643699</v>
      </c>
      <c r="EY3" s="66">
        <f t="shared" si="18"/>
        <v>11226.904922314505</v>
      </c>
      <c r="EZ3" s="66">
        <f>SUM(EZ9:EZ66)</f>
        <v>44532</v>
      </c>
      <c r="FA3" s="66">
        <f>SUM(FA9:FA66)</f>
        <v>45041</v>
      </c>
      <c r="FB3" s="16"/>
      <c r="FC3" s="46"/>
      <c r="FD3" s="46"/>
    </row>
    <row r="4" spans="1:167" s="26" customFormat="1" x14ac:dyDescent="0.2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9">SUM(BR4:BU4)</f>
        <v>14805</v>
      </c>
      <c r="EP4" s="27">
        <f t="shared" ref="EP4:EP51" si="20">SUM(BV4:BY4)</f>
        <v>14071</v>
      </c>
      <c r="EQ4" s="27">
        <f t="shared" si="17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46"/>
      <c r="FD4" s="46"/>
    </row>
    <row r="5" spans="1:167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1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50" si="22">SUM(M5:N5)</f>
        <v>3399</v>
      </c>
      <c r="EN5" s="27">
        <f>SUM(O5:P5)</f>
        <v>3336</v>
      </c>
      <c r="EO5" s="27">
        <f t="shared" si="19"/>
        <v>4765</v>
      </c>
      <c r="EP5" s="27">
        <f t="shared" si="20"/>
        <v>4319</v>
      </c>
      <c r="EQ5" s="27">
        <f t="shared" si="17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46"/>
      <c r="FD5" s="46"/>
    </row>
    <row r="6" spans="1:167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1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3673</v>
      </c>
      <c r="DZ6" s="24">
        <v>3478</v>
      </c>
      <c r="EA6" s="24"/>
      <c r="EB6" s="24"/>
      <c r="EC6" s="24"/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9"/>
        <v>10055</v>
      </c>
      <c r="EP6" s="27">
        <f t="shared" si="20"/>
        <v>10415</v>
      </c>
      <c r="EQ6" s="27">
        <f t="shared" si="17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14104</v>
      </c>
      <c r="FD6" s="46"/>
    </row>
    <row r="7" spans="1:167" s="26" customFormat="1" x14ac:dyDescent="0.2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9"/>
        <v>2238</v>
      </c>
      <c r="EP7" s="27">
        <f t="shared" si="20"/>
        <v>9201</v>
      </c>
      <c r="EQ7" s="27">
        <f t="shared" si="17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46"/>
      <c r="FD7" s="46"/>
    </row>
    <row r="8" spans="1:167" s="26" customFormat="1" x14ac:dyDescent="0.2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6" si="23">SUM(K8:L8)</f>
        <v>20666</v>
      </c>
      <c r="EM8" s="27">
        <f t="shared" si="22"/>
        <v>22970</v>
      </c>
      <c r="EN8" s="27">
        <f>SUM(O8:P8)</f>
        <v>22164</v>
      </c>
      <c r="EO8" s="27">
        <f t="shared" si="19"/>
        <v>17188</v>
      </c>
      <c r="EP8" s="27">
        <f t="shared" si="20"/>
        <v>9467</v>
      </c>
      <c r="EQ8" s="27">
        <f t="shared" si="17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46"/>
      <c r="FD8" s="46"/>
    </row>
    <row r="9" spans="1:167" s="116" customFormat="1" x14ac:dyDescent="0.2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>
        <f>3359-DZ9</f>
        <v>1701</v>
      </c>
      <c r="EB9" s="54">
        <f>5056-EA9-DZ9</f>
        <v>1697</v>
      </c>
      <c r="EC9" s="54"/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61" si="24">SUM(DV9:DY9)</f>
        <v>6381</v>
      </c>
      <c r="FD9" s="117"/>
    </row>
    <row r="10" spans="1:167" s="26" customFormat="1" x14ac:dyDescent="0.2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>
        <f>2143-DZ10</f>
        <v>1103</v>
      </c>
      <c r="EB10" s="66">
        <f>3280-EA10-DZ10</f>
        <v>1137</v>
      </c>
      <c r="EC10" s="66"/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24"/>
        <v>4147</v>
      </c>
      <c r="FD10" s="46"/>
    </row>
    <row r="11" spans="1:167" s="26" customFormat="1" x14ac:dyDescent="0.2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>
        <f>1921-DZ11</f>
        <v>985</v>
      </c>
      <c r="EB11" s="66">
        <f>2809-EA11-DZ11</f>
        <v>888</v>
      </c>
      <c r="EC11" s="66"/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>
        <f>+ES11*1.5</f>
        <v>489</v>
      </c>
      <c r="EU11" s="25">
        <f>+ET11*1.2</f>
        <v>586.79999999999995</v>
      </c>
      <c r="EV11" s="25">
        <f>+EU11*1.1</f>
        <v>645.48</v>
      </c>
      <c r="EW11" s="25">
        <f t="shared" ref="EW11:EX11" si="25">+EV11*1.1</f>
        <v>710.02800000000013</v>
      </c>
      <c r="EX11" s="25">
        <f t="shared" si="25"/>
        <v>781.03080000000023</v>
      </c>
      <c r="EY11" s="25"/>
      <c r="EZ11" s="25">
        <v>3883</v>
      </c>
      <c r="FA11" s="54">
        <v>3955</v>
      </c>
      <c r="FB11" s="20">
        <f t="shared" ref="FB11:FB30" si="26">SUM(DR11:DU11)</f>
        <v>4087</v>
      </c>
      <c r="FC11" s="54">
        <f t="shared" si="24"/>
        <v>3768</v>
      </c>
      <c r="FD11" s="46"/>
    </row>
    <row r="12" spans="1:167" s="26" customFormat="1" x14ac:dyDescent="0.2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>
        <f>1798-DZ12</f>
        <v>933</v>
      </c>
      <c r="EB12" s="66">
        <f>2703-EA12-DZ12</f>
        <v>905</v>
      </c>
      <c r="EC12" s="66"/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6"/>
        <v>3717</v>
      </c>
      <c r="FC12" s="54">
        <f t="shared" si="24"/>
        <v>3766</v>
      </c>
      <c r="FD12" s="46"/>
    </row>
    <row r="13" spans="1:167" s="26" customFormat="1" x14ac:dyDescent="0.2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>
        <f>1794-DZ13</f>
        <v>947</v>
      </c>
      <c r="EB13" s="66">
        <f>2816-EA13-DZ13</f>
        <v>1022</v>
      </c>
      <c r="EC13" s="66"/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24"/>
        <v>2357</v>
      </c>
      <c r="FD13" s="46"/>
    </row>
    <row r="14" spans="1:167" s="26" customFormat="1" x14ac:dyDescent="0.2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7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8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>
        <f>1276-DZ14</f>
        <v>658</v>
      </c>
      <c r="EB14" s="66">
        <f>1948-EA14-DZ14</f>
        <v>672</v>
      </c>
      <c r="EC14" s="66"/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>
        <f t="shared" ref="ET14:EY14" si="29">ES14*1.1</f>
        <v>1140.7</v>
      </c>
      <c r="EU14" s="25">
        <f t="shared" si="29"/>
        <v>1254.7700000000002</v>
      </c>
      <c r="EV14" s="25">
        <f t="shared" si="29"/>
        <v>1380.2470000000003</v>
      </c>
      <c r="EW14" s="25">
        <f t="shared" si="29"/>
        <v>1518.2717000000005</v>
      </c>
      <c r="EX14" s="25">
        <f t="shared" si="29"/>
        <v>1670.0988700000007</v>
      </c>
      <c r="EY14" s="25">
        <f t="shared" si="29"/>
        <v>1837.1087570000009</v>
      </c>
      <c r="EZ14" s="68">
        <v>2858</v>
      </c>
      <c r="FA14" s="54">
        <v>3562</v>
      </c>
      <c r="FB14" s="20">
        <f t="shared" si="26"/>
        <v>2701</v>
      </c>
      <c r="FC14" s="54">
        <f t="shared" si="24"/>
        <v>2630</v>
      </c>
      <c r="FD14" s="46"/>
    </row>
    <row r="15" spans="1:167" s="26" customFormat="1" x14ac:dyDescent="0.2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>
        <f>1110-DZ15</f>
        <v>614</v>
      </c>
      <c r="EB15" s="66">
        <f>1737-EA15-DZ15</f>
        <v>627</v>
      </c>
      <c r="EC15" s="66"/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>
        <f t="shared" ref="ET15:EY15" si="30">ES15*1.01</f>
        <v>797.9</v>
      </c>
      <c r="EU15" s="25">
        <f t="shared" si="30"/>
        <v>805.87900000000002</v>
      </c>
      <c r="EV15" s="25">
        <f t="shared" si="30"/>
        <v>813.93779000000006</v>
      </c>
      <c r="EW15" s="25">
        <f t="shared" si="30"/>
        <v>822.07716790000006</v>
      </c>
      <c r="EX15" s="25">
        <f t="shared" si="30"/>
        <v>830.29793957900006</v>
      </c>
      <c r="EY15" s="25">
        <f t="shared" si="30"/>
        <v>838.60091897479003</v>
      </c>
      <c r="EZ15" s="25">
        <v>1904</v>
      </c>
      <c r="FA15" s="25">
        <v>1942</v>
      </c>
      <c r="FB15" s="20">
        <f t="shared" ref="FB15:FB21" si="31">SUM(DR15:DU15)</f>
        <v>2208</v>
      </c>
      <c r="FC15" s="54">
        <f t="shared" si="24"/>
        <v>2176</v>
      </c>
      <c r="FD15" s="46"/>
    </row>
    <row r="16" spans="1:167" s="26" customFormat="1" x14ac:dyDescent="0.2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>
        <f>999-DZ16</f>
        <v>516</v>
      </c>
      <c r="EB16" s="66">
        <f>1494-EA16-DZ16</f>
        <v>495</v>
      </c>
      <c r="EC16" s="66"/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 t="shared" si="31"/>
        <v>2080</v>
      </c>
      <c r="FC16" s="54">
        <f t="shared" si="24"/>
        <v>1966</v>
      </c>
      <c r="FD16" s="46"/>
    </row>
    <row r="17" spans="2:160" s="26" customFormat="1" x14ac:dyDescent="0.2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>
        <f>799-DZ17</f>
        <v>411</v>
      </c>
      <c r="EB17" s="66">
        <f>1244-EA17-DZ17</f>
        <v>445</v>
      </c>
      <c r="EC17" s="66"/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 t="shared" si="31"/>
        <v>740</v>
      </c>
      <c r="FC17" s="54">
        <f t="shared" si="24"/>
        <v>1120</v>
      </c>
      <c r="FD17" s="46"/>
    </row>
    <row r="18" spans="2:160" s="26" customFormat="1" x14ac:dyDescent="0.2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>
        <f>740-DZ18</f>
        <v>376</v>
      </c>
      <c r="EB18" s="66">
        <f>1063-EA18-DZ18</f>
        <v>323</v>
      </c>
      <c r="EC18" s="66"/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>
        <f>ES18*1.01</f>
        <v>6139.79</v>
      </c>
      <c r="EU18" s="25">
        <f>ET18*1.01</f>
        <v>6201.1878999999999</v>
      </c>
      <c r="EV18" s="25">
        <f>EU18*1.01</f>
        <v>6263.1997789999996</v>
      </c>
      <c r="EW18" s="25">
        <f>EV18*0.9</f>
        <v>5636.8798010999999</v>
      </c>
      <c r="EX18" s="25">
        <f>EW18*0.9</f>
        <v>5073.1918209900005</v>
      </c>
      <c r="EY18" s="25">
        <f>+EX18*0.9</f>
        <v>4565.8726388910009</v>
      </c>
      <c r="EZ18" s="25">
        <v>3732</v>
      </c>
      <c r="FA18" s="25">
        <v>2694</v>
      </c>
      <c r="FB18" s="20">
        <f t="shared" si="31"/>
        <v>2142</v>
      </c>
      <c r="FC18" s="54">
        <f t="shared" si="24"/>
        <v>1626</v>
      </c>
      <c r="FD18" s="46"/>
    </row>
    <row r="19" spans="2:160" s="26" customFormat="1" x14ac:dyDescent="0.2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>
        <f>838-DZ19</f>
        <v>482</v>
      </c>
      <c r="EB19" s="66">
        <f>1246-EA19-DZ19</f>
        <v>408</v>
      </c>
      <c r="EC19" s="66"/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 t="shared" si="31"/>
        <v>1119</v>
      </c>
      <c r="FC19" s="54">
        <f t="shared" si="24"/>
        <v>1419</v>
      </c>
      <c r="FD19" s="46"/>
    </row>
    <row r="20" spans="2:160" s="26" customFormat="1" x14ac:dyDescent="0.2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>
        <f>706-DZ20</f>
        <v>355</v>
      </c>
      <c r="EB20" s="66">
        <f>1023-EA20-DZ20</f>
        <v>317</v>
      </c>
      <c r="EC20" s="66"/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>
        <f t="shared" ref="ET20:EV20" si="32">ES20*1.01</f>
        <v>7020.51</v>
      </c>
      <c r="EU20" s="25">
        <f t="shared" si="32"/>
        <v>7090.7151000000003</v>
      </c>
      <c r="EV20" s="25">
        <f t="shared" si="32"/>
        <v>7161.6222510000007</v>
      </c>
      <c r="EW20" s="25">
        <f>EV20*0.99</f>
        <v>7090.006028490001</v>
      </c>
      <c r="EX20" s="25">
        <f>EW20*0.99</f>
        <v>7019.1059682051009</v>
      </c>
      <c r="EY20" s="25">
        <f>+EX20*0.99</f>
        <v>6948.9149085230501</v>
      </c>
      <c r="EZ20" s="25">
        <f>3206+1017</f>
        <v>4223</v>
      </c>
      <c r="FA20" s="25">
        <f>1999+566</f>
        <v>2565</v>
      </c>
      <c r="FB20" s="20">
        <f t="shared" si="31"/>
        <v>2075</v>
      </c>
      <c r="FC20" s="54">
        <f t="shared" si="24"/>
        <v>1630</v>
      </c>
      <c r="FD20" s="46"/>
    </row>
    <row r="21" spans="2:160" s="26" customFormat="1" x14ac:dyDescent="0.2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>
        <f>766-DZ21</f>
        <v>411</v>
      </c>
      <c r="EB21" s="66">
        <f>1151-EA21-DZ21</f>
        <v>385</v>
      </c>
      <c r="EC21" s="66"/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 t="shared" si="31"/>
        <v>1513</v>
      </c>
      <c r="FC21" s="54">
        <f t="shared" si="24"/>
        <v>1502</v>
      </c>
      <c r="FD21" s="46"/>
    </row>
    <row r="22" spans="2:160" s="26" customFormat="1" x14ac:dyDescent="0.2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>
        <f>654-DZ22</f>
        <v>330</v>
      </c>
      <c r="EB22" s="66">
        <f>943-EA22-DZ22</f>
        <v>289</v>
      </c>
      <c r="EC22" s="66"/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23"/>
        <v>2962</v>
      </c>
      <c r="EM22" s="25">
        <f>SUM(M22:N22)</f>
        <v>4106</v>
      </c>
      <c r="EN22" s="25">
        <f t="shared" ref="EN22:EN46" si="33">SUM(BN22:BQ22)</f>
        <v>5207</v>
      </c>
      <c r="EO22" s="25">
        <f t="shared" si="19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>
        <f t="shared" ref="ET22:EX22" si="34">ES22*1.01</f>
        <v>6316.54</v>
      </c>
      <c r="EU22" s="25">
        <f t="shared" si="34"/>
        <v>6379.7053999999998</v>
      </c>
      <c r="EV22" s="25">
        <f t="shared" si="34"/>
        <v>6443.5024539999995</v>
      </c>
      <c r="EW22" s="25">
        <f t="shared" si="34"/>
        <v>6507.9374785399996</v>
      </c>
      <c r="EX22" s="25">
        <f t="shared" si="34"/>
        <v>6573.0168533254</v>
      </c>
      <c r="EY22" s="25">
        <f>+EX22*0.99</f>
        <v>6507.2866847921459</v>
      </c>
      <c r="EZ22" s="25">
        <v>4992</v>
      </c>
      <c r="FA22" s="25">
        <v>3056</v>
      </c>
      <c r="FB22" s="20">
        <f t="shared" si="26"/>
        <v>2122</v>
      </c>
      <c r="FC22" s="54">
        <f t="shared" si="24"/>
        <v>1573</v>
      </c>
      <c r="FD22" s="46"/>
    </row>
    <row r="23" spans="2:160" s="26" customFormat="1" x14ac:dyDescent="0.2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>
        <f>3-EA23-DZ23</f>
        <v>3</v>
      </c>
      <c r="EC23" s="66"/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6"/>
        <v>1679</v>
      </c>
      <c r="FC23" s="54">
        <f t="shared" si="24"/>
        <v>525</v>
      </c>
      <c r="FD23" s="46"/>
    </row>
    <row r="24" spans="2:160" s="26" customFormat="1" x14ac:dyDescent="0.2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52" si="35">+BY24+BX24</f>
        <v>761</v>
      </c>
      <c r="U24" s="25">
        <f t="shared" ref="U24:U53" si="36">SUM(BZ24:CA24)</f>
        <v>769</v>
      </c>
      <c r="V24" s="25">
        <f t="shared" ref="V24:V52" si="37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>
        <v>0</v>
      </c>
      <c r="EC24" s="66"/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23"/>
        <v>478</v>
      </c>
      <c r="EM24" s="25">
        <f>SUM(M24:N24)</f>
        <v>991</v>
      </c>
      <c r="EN24" s="25">
        <f t="shared" si="33"/>
        <v>960</v>
      </c>
      <c r="EO24" s="25">
        <f>SUM(BR24:BU24)</f>
        <v>1198</v>
      </c>
      <c r="EP24" s="25">
        <f t="shared" si="20"/>
        <v>1458</v>
      </c>
      <c r="EQ24" s="25">
        <f t="shared" ref="EQ24:EQ53" si="38">SUM(BZ24:CC24)</f>
        <v>1523</v>
      </c>
      <c r="ER24" s="25">
        <f t="shared" ref="ER24:ER63" si="39">SUM(CD24:CG24)</f>
        <v>1481</v>
      </c>
      <c r="ES24" s="25">
        <f t="shared" ref="ES24:ES63" si="40">SUM(CH24:CK24)</f>
        <v>1689</v>
      </c>
      <c r="ET24" s="25">
        <f t="shared" ref="ET24:EY24" si="41">ES24*1.01</f>
        <v>1705.89</v>
      </c>
      <c r="EU24" s="25">
        <f t="shared" si="41"/>
        <v>1722.9489000000001</v>
      </c>
      <c r="EV24" s="25">
        <f t="shared" si="41"/>
        <v>1740.1783890000002</v>
      </c>
      <c r="EW24" s="25">
        <f t="shared" si="41"/>
        <v>1757.5801728900001</v>
      </c>
      <c r="EX24" s="25">
        <f t="shared" si="41"/>
        <v>1775.1559746189</v>
      </c>
      <c r="EY24" s="25">
        <f t="shared" si="41"/>
        <v>1792.9075343650891</v>
      </c>
      <c r="EZ24" s="25">
        <v>1444</v>
      </c>
      <c r="FA24" s="25">
        <v>1353</v>
      </c>
      <c r="FB24" s="20">
        <f t="shared" si="26"/>
        <v>1012</v>
      </c>
      <c r="FC24" s="54">
        <f t="shared" si="24"/>
        <v>460</v>
      </c>
      <c r="FD24" s="46"/>
    </row>
    <row r="25" spans="2:160" s="26" customFormat="1" x14ac:dyDescent="0.2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>
        <f>593-DZ25</f>
        <v>297</v>
      </c>
      <c r="EB25" s="66">
        <f>895-EA25-DZ25</f>
        <v>302</v>
      </c>
      <c r="EC25" s="66"/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>
        <f>ES25*1.05</f>
        <v>717.15</v>
      </c>
      <c r="EU25" s="25">
        <f t="shared" ref="EU25:EX25" si="42">ET25*1.05</f>
        <v>753.00750000000005</v>
      </c>
      <c r="EV25" s="25">
        <f t="shared" si="42"/>
        <v>790.6578750000001</v>
      </c>
      <c r="EW25" s="25">
        <f t="shared" si="42"/>
        <v>830.19076875000019</v>
      </c>
      <c r="EX25" s="25">
        <f t="shared" si="42"/>
        <v>871.70030718750024</v>
      </c>
      <c r="EY25" s="25"/>
      <c r="EZ25" s="25">
        <v>1321</v>
      </c>
      <c r="FA25" s="25">
        <v>1312</v>
      </c>
      <c r="FB25" s="20">
        <f t="shared" si="26"/>
        <v>1177</v>
      </c>
      <c r="FC25" s="54">
        <f t="shared" si="24"/>
        <v>1173</v>
      </c>
      <c r="FD25" s="46"/>
    </row>
    <row r="26" spans="2:160" s="26" customFormat="1" x14ac:dyDescent="0.2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>
        <f>445-DZ26</f>
        <v>232</v>
      </c>
      <c r="EB26" s="66">
        <f>670-EA26-DZ26</f>
        <v>225</v>
      </c>
      <c r="EC26" s="66"/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24"/>
        <v>811</v>
      </c>
      <c r="FD26" s="46"/>
    </row>
    <row r="27" spans="2:160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>
        <f>225-DZ27</f>
        <v>113</v>
      </c>
      <c r="EB27" s="66">
        <f>329-EA27-DZ27</f>
        <v>104</v>
      </c>
      <c r="EC27" s="66"/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>
        <f>ES27*1.05</f>
        <v>600.6</v>
      </c>
      <c r="EU27" s="25">
        <f t="shared" ref="EU27:EX27" si="43">ET27*1.05</f>
        <v>630.63</v>
      </c>
      <c r="EV27" s="25">
        <f t="shared" si="43"/>
        <v>662.16150000000005</v>
      </c>
      <c r="EW27" s="25">
        <f t="shared" si="43"/>
        <v>695.26957500000003</v>
      </c>
      <c r="EX27" s="25">
        <f t="shared" si="43"/>
        <v>730.03305375000002</v>
      </c>
      <c r="EY27" s="25">
        <f>+EX27*0.9</f>
        <v>657.02974837500005</v>
      </c>
      <c r="EZ27" s="25">
        <v>642</v>
      </c>
      <c r="FA27" s="25">
        <v>566</v>
      </c>
      <c r="FB27" s="20">
        <f>SUM(DR27:DU27)</f>
        <v>543</v>
      </c>
      <c r="FC27" s="54">
        <f t="shared" si="24"/>
        <v>452</v>
      </c>
      <c r="FD27" s="46"/>
    </row>
    <row r="28" spans="2:160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/>
      <c r="DZ28" s="66">
        <v>94</v>
      </c>
      <c r="EA28" s="66">
        <f>197-DZ28</f>
        <v>103</v>
      </c>
      <c r="EB28" s="66">
        <f>283-EA28-DZ28</f>
        <v>86</v>
      </c>
      <c r="EC28" s="66"/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>
        <f t="shared" ref="ET28" si="44">ES28*0.6</f>
        <v>524.4</v>
      </c>
      <c r="EU28" s="25">
        <f t="shared" ref="EU28" si="45">ET28*0.6</f>
        <v>314.64</v>
      </c>
      <c r="EV28" s="25">
        <f t="shared" ref="EV28" si="46">EU28*0.6</f>
        <v>188.78399999999999</v>
      </c>
      <c r="EW28" s="25">
        <f t="shared" ref="EW28" si="47">EV28*0.6</f>
        <v>113.2704</v>
      </c>
      <c r="EX28" s="25">
        <f t="shared" ref="EX28" si="48">EW28*0.6</f>
        <v>67.962239999999994</v>
      </c>
      <c r="EY28" s="25">
        <f t="shared" ref="EY28" si="49">EX28*0.6</f>
        <v>40.777343999999992</v>
      </c>
      <c r="EZ28" s="25">
        <v>606</v>
      </c>
      <c r="FA28" s="25">
        <v>592</v>
      </c>
      <c r="FB28" s="20">
        <f>SUM(DR28:DU28)</f>
        <v>386</v>
      </c>
      <c r="FC28" s="54">
        <v>393</v>
      </c>
      <c r="FD28" s="46"/>
    </row>
    <row r="29" spans="2:160" s="26" customFormat="1" x14ac:dyDescent="0.2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>
        <f>513-DZ29</f>
        <v>263</v>
      </c>
      <c r="EB29" s="66">
        <f>817-EA29-DZ29</f>
        <v>304</v>
      </c>
      <c r="EC29" s="66"/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24"/>
        <v>837</v>
      </c>
      <c r="FD29" s="46"/>
    </row>
    <row r="30" spans="2:160" s="26" customFormat="1" x14ac:dyDescent="0.2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6"/>
        <v>590</v>
      </c>
      <c r="FC30" s="54">
        <v>202</v>
      </c>
      <c r="FD30" s="46"/>
    </row>
    <row r="31" spans="2:160" s="26" customFormat="1" x14ac:dyDescent="0.2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x14ac:dyDescent="0.2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>
        <f>143-DZ32</f>
        <v>143</v>
      </c>
      <c r="EB32" s="66">
        <f>223-EA32-DZ32</f>
        <v>80</v>
      </c>
      <c r="EC32" s="66"/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46"/>
    </row>
    <row r="33" spans="2:160" s="26" customFormat="1" x14ac:dyDescent="0.2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>
        <f>62-DZ33</f>
        <v>62</v>
      </c>
      <c r="EB33" s="66">
        <f>98-EA33-DZ33</f>
        <v>36</v>
      </c>
      <c r="EC33" s="66"/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46"/>
    </row>
    <row r="34" spans="2:160" s="26" customFormat="1" x14ac:dyDescent="0.2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>
        <f>20-DZ34</f>
        <v>20</v>
      </c>
      <c r="EB34" s="66">
        <f>30-EA34-DZ34</f>
        <v>10</v>
      </c>
      <c r="EC34" s="66"/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46"/>
    </row>
    <row r="35" spans="2:160" s="26" customFormat="1" x14ac:dyDescent="0.2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x14ac:dyDescent="0.2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>
        <f>68-DZ36</f>
        <v>68</v>
      </c>
      <c r="EB36" s="66"/>
      <c r="EC36" s="66"/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>
        <f>99-FB36-FA36</f>
        <v>99</v>
      </c>
      <c r="FD36" s="46"/>
    </row>
    <row r="37" spans="2:160" s="26" customFormat="1" x14ac:dyDescent="0.2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>
        <f>1-DZ37</f>
        <v>1</v>
      </c>
      <c r="EB37" s="66">
        <f>3-EA37-DZ37</f>
        <v>2</v>
      </c>
      <c r="EC37" s="66"/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46"/>
    </row>
    <row r="38" spans="2:160" s="26" customFormat="1" x14ac:dyDescent="0.2">
      <c r="B38" s="3" t="s">
        <v>956</v>
      </c>
      <c r="C38" s="23"/>
      <c r="D38" s="23"/>
      <c r="E38" s="23"/>
      <c r="F38" s="23"/>
      <c r="G38" s="23"/>
      <c r="H38" s="23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>
        <f>37-DZ38</f>
        <v>37</v>
      </c>
      <c r="EB38" s="66">
        <f>54-EA38-DZ38</f>
        <v>17</v>
      </c>
      <c r="EC38" s="66"/>
      <c r="ED38" s="66"/>
      <c r="EE38" s="66"/>
      <c r="EF38" s="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46"/>
      <c r="FB38" s="16"/>
      <c r="FC38" s="54"/>
      <c r="FD38" s="46"/>
    </row>
    <row r="39" spans="2:160" s="26" customFormat="1" x14ac:dyDescent="0.2">
      <c r="B39" s="3" t="s">
        <v>957</v>
      </c>
      <c r="C39" s="23"/>
      <c r="D39" s="23"/>
      <c r="E39" s="23"/>
      <c r="F39" s="23"/>
      <c r="G39" s="23"/>
      <c r="H39" s="23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>
        <f>67-DZ39</f>
        <v>67</v>
      </c>
      <c r="EB39" s="66">
        <f>116-EA39-DZ39</f>
        <v>49</v>
      </c>
      <c r="EC39" s="66"/>
      <c r="ED39" s="66"/>
      <c r="EE39" s="66"/>
      <c r="EF39" s="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46"/>
      <c r="FB39" s="16"/>
      <c r="FC39" s="54"/>
      <c r="FD39" s="46"/>
    </row>
    <row r="40" spans="2:160" s="26" customFormat="1" x14ac:dyDescent="0.2">
      <c r="B40" s="3" t="s">
        <v>958</v>
      </c>
      <c r="C40" s="23"/>
      <c r="D40" s="23"/>
      <c r="E40" s="23"/>
      <c r="F40" s="23"/>
      <c r="G40" s="23"/>
      <c r="H40" s="23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>
        <f>29-DZ40</f>
        <v>29</v>
      </c>
      <c r="EB40" s="66">
        <f>137-EA40-DZ40</f>
        <v>108</v>
      </c>
      <c r="EC40" s="66"/>
      <c r="ED40" s="66"/>
      <c r="EE40" s="66"/>
      <c r="EF40" s="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46"/>
      <c r="FB40" s="16"/>
      <c r="FC40" s="54"/>
      <c r="FD40" s="46"/>
    </row>
    <row r="41" spans="2:160" s="26" customFormat="1" x14ac:dyDescent="0.2">
      <c r="B41" s="3" t="s">
        <v>959</v>
      </c>
      <c r="C41" s="23"/>
      <c r="D41" s="23"/>
      <c r="E41" s="23"/>
      <c r="F41" s="23"/>
      <c r="G41" s="23"/>
      <c r="H41" s="2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>
        <f>2-DZ41</f>
        <v>2</v>
      </c>
      <c r="EB41" s="66">
        <f>8-EA41-DZ41</f>
        <v>6</v>
      </c>
      <c r="EC41" s="66"/>
      <c r="ED41" s="66"/>
      <c r="EE41" s="66"/>
      <c r="EF41" s="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46"/>
      <c r="FB41" s="16"/>
      <c r="FC41" s="54"/>
      <c r="FD41" s="46"/>
    </row>
    <row r="42" spans="2:160" s="26" customFormat="1" x14ac:dyDescent="0.2">
      <c r="B42" s="3" t="s">
        <v>139</v>
      </c>
      <c r="C42" s="23"/>
      <c r="D42" s="23"/>
      <c r="E42" s="23"/>
      <c r="F42" s="23"/>
      <c r="G42" s="23"/>
      <c r="H42" s="23"/>
      <c r="I42" s="25">
        <v>1086</v>
      </c>
      <c r="J42" s="25">
        <f>2252-I42</f>
        <v>1166</v>
      </c>
      <c r="K42" s="25">
        <v>1100</v>
      </c>
      <c r="L42" s="25">
        <f>2227-K42</f>
        <v>1127</v>
      </c>
      <c r="M42" s="25">
        <v>1066</v>
      </c>
      <c r="N42" s="25">
        <f>2094-M42</f>
        <v>1028</v>
      </c>
      <c r="O42" s="25">
        <v>892</v>
      </c>
      <c r="P42" s="25">
        <f t="shared" ref="P42:P50" si="50">SUM(BP42:BQ42)</f>
        <v>882</v>
      </c>
      <c r="Q42" s="25">
        <f t="shared" ref="Q42:Q52" si="51">SUM(BR42:BS42)</f>
        <v>789</v>
      </c>
      <c r="R42" s="25">
        <f t="shared" ref="R42:R52" si="52">BT42+BU42</f>
        <v>771</v>
      </c>
      <c r="S42" s="25">
        <v>677</v>
      </c>
      <c r="T42" s="25">
        <f t="shared" si="35"/>
        <v>608</v>
      </c>
      <c r="U42" s="25">
        <f t="shared" si="36"/>
        <v>493</v>
      </c>
      <c r="V42" s="25">
        <f t="shared" si="37"/>
        <v>403</v>
      </c>
      <c r="W42" s="25"/>
      <c r="X42" s="25"/>
      <c r="Y42" s="25"/>
      <c r="Z42" s="25"/>
      <c r="AA42" s="25">
        <v>231</v>
      </c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489</v>
      </c>
      <c r="AY42" s="66">
        <v>531</v>
      </c>
      <c r="AZ42" s="66">
        <v>528</v>
      </c>
      <c r="BA42" s="66">
        <v>534</v>
      </c>
      <c r="BB42" s="66">
        <v>516</v>
      </c>
      <c r="BC42" s="66">
        <v>570</v>
      </c>
      <c r="BD42" s="66">
        <v>564</v>
      </c>
      <c r="BE42" s="66">
        <v>602</v>
      </c>
      <c r="BF42" s="66">
        <v>535</v>
      </c>
      <c r="BG42" s="66">
        <v>565</v>
      </c>
      <c r="BH42" s="66">
        <v>535</v>
      </c>
      <c r="BI42" s="66">
        <v>592</v>
      </c>
      <c r="BJ42" s="66">
        <v>522</v>
      </c>
      <c r="BK42" s="66">
        <v>544</v>
      </c>
      <c r="BL42" s="66">
        <v>518</v>
      </c>
      <c r="BM42" s="66">
        <v>510</v>
      </c>
      <c r="BN42" s="66">
        <v>442</v>
      </c>
      <c r="BO42" s="66">
        <v>450</v>
      </c>
      <c r="BP42" s="66">
        <v>427</v>
      </c>
      <c r="BQ42" s="66">
        <v>455</v>
      </c>
      <c r="BR42" s="66">
        <v>378</v>
      </c>
      <c r="BS42" s="66">
        <v>411</v>
      </c>
      <c r="BT42" s="66">
        <f>1180-BS42-BR42</f>
        <v>391</v>
      </c>
      <c r="BU42" s="66">
        <v>380</v>
      </c>
      <c r="BV42" s="66">
        <v>339</v>
      </c>
      <c r="BW42" s="66">
        <f t="shared" ref="BW42:BW51" si="53">+S42-BV42</f>
        <v>338</v>
      </c>
      <c r="BX42" s="66">
        <f>989-BW42-BV42</f>
        <v>312</v>
      </c>
      <c r="BY42" s="66">
        <v>296</v>
      </c>
      <c r="BZ42" s="66">
        <v>246</v>
      </c>
      <c r="CA42" s="66">
        <f>493-BZ42</f>
        <v>247</v>
      </c>
      <c r="CB42" s="66">
        <v>197</v>
      </c>
      <c r="CC42" s="66">
        <v>206</v>
      </c>
      <c r="CD42" s="66">
        <v>171</v>
      </c>
      <c r="CE42" s="66">
        <v>180</v>
      </c>
      <c r="CF42" s="66">
        <v>170</v>
      </c>
      <c r="CG42" s="66">
        <v>153</v>
      </c>
      <c r="CH42" s="66">
        <v>131</v>
      </c>
      <c r="CI42" s="66">
        <v>138</v>
      </c>
      <c r="CJ42" s="66">
        <v>131</v>
      </c>
      <c r="CK42" s="66">
        <v>120</v>
      </c>
      <c r="CL42" s="66">
        <v>112</v>
      </c>
      <c r="CM42" s="66">
        <v>119</v>
      </c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5"/>
      <c r="EG42" s="25">
        <v>746</v>
      </c>
      <c r="EH42" s="25">
        <v>1192</v>
      </c>
      <c r="EI42" s="25">
        <v>2051</v>
      </c>
      <c r="EJ42" s="25">
        <f t="shared" ref="EJ42:EJ51" si="54">SUM(AX42:BA42)</f>
        <v>2082</v>
      </c>
      <c r="EK42" s="25">
        <f t="shared" ref="EK42:EK51" si="55">SUM(BB42:BE42)</f>
        <v>2252</v>
      </c>
      <c r="EL42" s="25">
        <f t="shared" si="23"/>
        <v>2227</v>
      </c>
      <c r="EM42" s="25">
        <f t="shared" si="22"/>
        <v>2094</v>
      </c>
      <c r="EN42" s="25">
        <f t="shared" si="33"/>
        <v>1774</v>
      </c>
      <c r="EO42" s="25">
        <f t="shared" ref="EO42:EO52" si="56">SUM(BR42:BU42)</f>
        <v>1560</v>
      </c>
      <c r="EP42" s="25">
        <f t="shared" si="20"/>
        <v>1285</v>
      </c>
      <c r="EQ42" s="25">
        <f t="shared" si="38"/>
        <v>896</v>
      </c>
      <c r="ER42" s="25">
        <f t="shared" si="39"/>
        <v>674</v>
      </c>
      <c r="ES42" s="25">
        <f t="shared" si="40"/>
        <v>520</v>
      </c>
      <c r="ET42" s="25">
        <f t="shared" ref="ET42:EY42" si="57">ES42*0.99</f>
        <v>514.79999999999995</v>
      </c>
      <c r="EU42" s="25">
        <f t="shared" si="57"/>
        <v>509.65199999999993</v>
      </c>
      <c r="EV42" s="25">
        <f t="shared" si="57"/>
        <v>504.55547999999993</v>
      </c>
      <c r="EW42" s="25">
        <f t="shared" si="57"/>
        <v>499.50992519999994</v>
      </c>
      <c r="EX42" s="25">
        <f t="shared" si="57"/>
        <v>494.51482594799995</v>
      </c>
      <c r="EY42" s="25">
        <f t="shared" si="57"/>
        <v>489.56967768851996</v>
      </c>
      <c r="EZ42" s="25"/>
      <c r="FA42" s="46"/>
      <c r="FB42" s="16"/>
      <c r="FC42" s="54"/>
      <c r="FD42" s="46"/>
    </row>
    <row r="43" spans="2:160" s="26" customFormat="1" x14ac:dyDescent="0.2">
      <c r="B43" s="15" t="s">
        <v>34</v>
      </c>
      <c r="C43" s="23"/>
      <c r="D43" s="23"/>
      <c r="E43" s="23"/>
      <c r="F43" s="23"/>
      <c r="G43" s="23"/>
      <c r="H43" s="23"/>
      <c r="I43" s="25">
        <v>680</v>
      </c>
      <c r="J43" s="25">
        <f>1403-I43</f>
        <v>723</v>
      </c>
      <c r="K43" s="25">
        <v>724</v>
      </c>
      <c r="L43" s="25">
        <f>1467-K43</f>
        <v>743</v>
      </c>
      <c r="M43" s="25">
        <v>807</v>
      </c>
      <c r="N43" s="25">
        <f>1637-M43</f>
        <v>830</v>
      </c>
      <c r="O43" s="25">
        <v>785</v>
      </c>
      <c r="P43" s="25">
        <f>SUM(BP43:BQ43)</f>
        <v>850</v>
      </c>
      <c r="Q43" s="25">
        <f t="shared" si="51"/>
        <v>842</v>
      </c>
      <c r="R43" s="25">
        <f t="shared" si="52"/>
        <v>813</v>
      </c>
      <c r="S43" s="25">
        <v>869</v>
      </c>
      <c r="T43" s="25">
        <f t="shared" si="35"/>
        <v>776</v>
      </c>
      <c r="U43" s="25">
        <f t="shared" si="36"/>
        <v>695</v>
      </c>
      <c r="V43" s="25">
        <f t="shared" si="37"/>
        <v>743</v>
      </c>
      <c r="W43" s="25"/>
      <c r="X43" s="25"/>
      <c r="Y43" s="25"/>
      <c r="Z43" s="25"/>
      <c r="AA43" s="25">
        <v>582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289</v>
      </c>
      <c r="AY43" s="66">
        <v>295</v>
      </c>
      <c r="AZ43" s="66">
        <v>296</v>
      </c>
      <c r="BA43" s="66">
        <v>299</v>
      </c>
      <c r="BB43" s="66">
        <v>325</v>
      </c>
      <c r="BC43" s="66">
        <v>355</v>
      </c>
      <c r="BD43" s="66">
        <v>350</v>
      </c>
      <c r="BE43" s="66">
        <v>373</v>
      </c>
      <c r="BF43" s="66">
        <v>350</v>
      </c>
      <c r="BG43" s="66">
        <v>374</v>
      </c>
      <c r="BH43" s="66">
        <v>350</v>
      </c>
      <c r="BI43" s="66">
        <v>393</v>
      </c>
      <c r="BJ43" s="66">
        <v>400</v>
      </c>
      <c r="BK43" s="66">
        <v>407</v>
      </c>
      <c r="BL43" s="66">
        <v>383</v>
      </c>
      <c r="BM43" s="66">
        <v>447</v>
      </c>
      <c r="BN43" s="66">
        <v>369</v>
      </c>
      <c r="BO43" s="66">
        <v>416</v>
      </c>
      <c r="BP43" s="66">
        <v>405</v>
      </c>
      <c r="BQ43" s="66">
        <v>445</v>
      </c>
      <c r="BR43" s="66">
        <v>393</v>
      </c>
      <c r="BS43" s="66">
        <v>449</v>
      </c>
      <c r="BT43" s="66">
        <f>1280-BS43-BR43</f>
        <v>438</v>
      </c>
      <c r="BU43" s="66">
        <v>375</v>
      </c>
      <c r="BV43" s="66">
        <v>441</v>
      </c>
      <c r="BW43" s="66">
        <f t="shared" si="53"/>
        <v>428</v>
      </c>
      <c r="BX43" s="66">
        <f>1253-BW43-BV43</f>
        <v>384</v>
      </c>
      <c r="BY43" s="66">
        <v>392</v>
      </c>
      <c r="BZ43" s="66">
        <v>346</v>
      </c>
      <c r="CA43" s="66">
        <f>695-BZ43</f>
        <v>349</v>
      </c>
      <c r="CB43" s="66">
        <v>356</v>
      </c>
      <c r="CC43" s="66">
        <v>387</v>
      </c>
      <c r="CD43" s="66">
        <v>444</v>
      </c>
      <c r="CE43" s="66">
        <v>459</v>
      </c>
      <c r="CF43" s="66">
        <v>374</v>
      </c>
      <c r="CG43" s="66">
        <v>372</v>
      </c>
      <c r="CH43" s="66">
        <v>375</v>
      </c>
      <c r="CI43" s="66">
        <v>349</v>
      </c>
      <c r="CJ43" s="66">
        <v>303</v>
      </c>
      <c r="CK43" s="66">
        <v>285</v>
      </c>
      <c r="CL43" s="66">
        <v>287</v>
      </c>
      <c r="CM43" s="66">
        <v>295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5"/>
      <c r="EG43" s="25">
        <v>0</v>
      </c>
      <c r="EH43" s="25">
        <v>94</v>
      </c>
      <c r="EI43" s="25">
        <v>719</v>
      </c>
      <c r="EJ43" s="25">
        <f t="shared" si="54"/>
        <v>1179</v>
      </c>
      <c r="EK43" s="25">
        <f t="shared" si="55"/>
        <v>1403</v>
      </c>
      <c r="EL43" s="25">
        <f t="shared" si="23"/>
        <v>1467</v>
      </c>
      <c r="EM43" s="25">
        <f>SUM(M43:N43)</f>
        <v>1637</v>
      </c>
      <c r="EN43" s="25">
        <f t="shared" si="33"/>
        <v>1635</v>
      </c>
      <c r="EO43" s="25">
        <f t="shared" si="56"/>
        <v>1655</v>
      </c>
      <c r="EP43" s="25">
        <f t="shared" si="20"/>
        <v>1645</v>
      </c>
      <c r="EQ43" s="25">
        <f t="shared" si="38"/>
        <v>1438</v>
      </c>
      <c r="ER43" s="25">
        <f t="shared" si="39"/>
        <v>1649</v>
      </c>
      <c r="ES43" s="25">
        <f t="shared" si="40"/>
        <v>1312</v>
      </c>
      <c r="ET43" s="25">
        <f>ES43*0.8</f>
        <v>1049.6000000000001</v>
      </c>
      <c r="EU43" s="25">
        <f>ET43*0.8</f>
        <v>839.68000000000018</v>
      </c>
      <c r="EV43" s="25">
        <f t="shared" ref="EV43:EY43" si="58">EU43*0.8</f>
        <v>671.74400000000014</v>
      </c>
      <c r="EW43" s="25">
        <f t="shared" si="58"/>
        <v>537.39520000000016</v>
      </c>
      <c r="EX43" s="25">
        <f t="shared" si="58"/>
        <v>429.91616000000016</v>
      </c>
      <c r="EY43" s="25">
        <f t="shared" si="58"/>
        <v>343.93292800000017</v>
      </c>
      <c r="EZ43" s="25"/>
      <c r="FA43" s="46"/>
      <c r="FB43" s="16"/>
      <c r="FC43" s="54"/>
      <c r="FD43" s="46"/>
    </row>
    <row r="44" spans="2:160" s="26" customFormat="1" x14ac:dyDescent="0.2">
      <c r="B44" s="3" t="s">
        <v>955</v>
      </c>
      <c r="C44" s="23"/>
      <c r="D44" s="23"/>
      <c r="E44" s="23"/>
      <c r="F44" s="23"/>
      <c r="G44" s="23"/>
      <c r="H44" s="23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>
        <f>10-DZ44</f>
        <v>10</v>
      </c>
      <c r="EB44" s="66">
        <f>15-EA44-DZ44</f>
        <v>5</v>
      </c>
      <c r="EC44" s="66"/>
      <c r="ED44" s="66"/>
      <c r="EE44" s="66"/>
      <c r="EF44" s="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46"/>
      <c r="FB44" s="16"/>
      <c r="FC44" s="54"/>
      <c r="FD44" s="46"/>
    </row>
    <row r="45" spans="2:160" s="26" customFormat="1" x14ac:dyDescent="0.2">
      <c r="B45" s="15" t="s">
        <v>31</v>
      </c>
      <c r="C45" s="23"/>
      <c r="D45" s="23"/>
      <c r="E45" s="23"/>
      <c r="F45" s="23"/>
      <c r="G45" s="23"/>
      <c r="H45" s="23"/>
      <c r="I45" s="25">
        <v>355</v>
      </c>
      <c r="J45" s="25">
        <f>796-I45</f>
        <v>441</v>
      </c>
      <c r="K45" s="25">
        <v>472</v>
      </c>
      <c r="L45" s="25">
        <f>971-K45</f>
        <v>499</v>
      </c>
      <c r="M45" s="25">
        <v>549</v>
      </c>
      <c r="N45" s="25">
        <f>1151-M45</f>
        <v>602</v>
      </c>
      <c r="O45" s="25">
        <v>573</v>
      </c>
      <c r="P45" s="25">
        <f t="shared" si="50"/>
        <v>638</v>
      </c>
      <c r="Q45" s="25">
        <f t="shared" si="51"/>
        <v>626</v>
      </c>
      <c r="R45" s="25">
        <f t="shared" si="52"/>
        <v>634</v>
      </c>
      <c r="S45" s="25">
        <v>732</v>
      </c>
      <c r="T45" s="25">
        <f t="shared" si="35"/>
        <v>694</v>
      </c>
      <c r="U45" s="25">
        <f t="shared" si="36"/>
        <v>668</v>
      </c>
      <c r="V45" s="25">
        <f t="shared" si="37"/>
        <v>686</v>
      </c>
      <c r="W45" s="25"/>
      <c r="X45" s="25"/>
      <c r="Y45" s="25"/>
      <c r="Z45" s="25"/>
      <c r="AA45" s="25">
        <v>474</v>
      </c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115</v>
      </c>
      <c r="AY45" s="66">
        <v>128</v>
      </c>
      <c r="AZ45" s="66">
        <v>145</v>
      </c>
      <c r="BA45" s="66">
        <v>146</v>
      </c>
      <c r="BB45" s="66">
        <v>165</v>
      </c>
      <c r="BC45" s="66">
        <v>190</v>
      </c>
      <c r="BD45" s="66">
        <v>213</v>
      </c>
      <c r="BE45" s="66">
        <v>228</v>
      </c>
      <c r="BF45" s="66">
        <v>238</v>
      </c>
      <c r="BG45" s="66">
        <v>234</v>
      </c>
      <c r="BH45" s="66">
        <v>239</v>
      </c>
      <c r="BI45" s="66">
        <v>260</v>
      </c>
      <c r="BJ45" s="66">
        <v>267</v>
      </c>
      <c r="BK45" s="66">
        <v>282</v>
      </c>
      <c r="BL45" s="66">
        <v>290</v>
      </c>
      <c r="BM45" s="66">
        <v>312</v>
      </c>
      <c r="BN45" s="66">
        <v>281</v>
      </c>
      <c r="BO45" s="66">
        <v>292</v>
      </c>
      <c r="BP45" s="66">
        <v>307</v>
      </c>
      <c r="BQ45" s="66">
        <v>331</v>
      </c>
      <c r="BR45" s="66">
        <v>296</v>
      </c>
      <c r="BS45" s="66">
        <v>330</v>
      </c>
      <c r="BT45" s="66">
        <f>952-BS45-BR45</f>
        <v>326</v>
      </c>
      <c r="BU45" s="66">
        <v>308</v>
      </c>
      <c r="BV45" s="66">
        <v>352</v>
      </c>
      <c r="BW45" s="66">
        <f t="shared" si="53"/>
        <v>380</v>
      </c>
      <c r="BX45" s="66">
        <f>1093-BW45-BV45</f>
        <v>361</v>
      </c>
      <c r="BY45" s="66">
        <v>333</v>
      </c>
      <c r="BZ45" s="66">
        <v>342</v>
      </c>
      <c r="CA45" s="66">
        <f>668-BZ45</f>
        <v>326</v>
      </c>
      <c r="CB45" s="66">
        <v>333</v>
      </c>
      <c r="CC45" s="66">
        <v>353</v>
      </c>
      <c r="CD45" s="66">
        <v>382</v>
      </c>
      <c r="CE45" s="66">
        <v>381</v>
      </c>
      <c r="CF45" s="66">
        <v>386</v>
      </c>
      <c r="CG45" s="66">
        <v>374</v>
      </c>
      <c r="CH45" s="66">
        <v>383</v>
      </c>
      <c r="CI45" s="66">
        <v>388</v>
      </c>
      <c r="CJ45" s="66">
        <v>393</v>
      </c>
      <c r="CK45" s="66">
        <v>345</v>
      </c>
      <c r="CL45" s="66">
        <v>293</v>
      </c>
      <c r="CM45" s="66">
        <v>181</v>
      </c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5"/>
      <c r="EG45" s="25">
        <v>260</v>
      </c>
      <c r="EH45" s="25">
        <v>444</v>
      </c>
      <c r="EI45" s="25">
        <v>515</v>
      </c>
      <c r="EJ45" s="25">
        <f t="shared" si="54"/>
        <v>534</v>
      </c>
      <c r="EK45" s="25">
        <f t="shared" si="55"/>
        <v>796</v>
      </c>
      <c r="EL45" s="25">
        <f t="shared" si="23"/>
        <v>971</v>
      </c>
      <c r="EM45" s="25">
        <f t="shared" si="22"/>
        <v>1151</v>
      </c>
      <c r="EN45" s="25">
        <f t="shared" si="33"/>
        <v>1211</v>
      </c>
      <c r="EO45" s="25">
        <f t="shared" si="56"/>
        <v>1260</v>
      </c>
      <c r="EP45" s="25">
        <f t="shared" si="20"/>
        <v>1426</v>
      </c>
      <c r="EQ45" s="25">
        <f t="shared" si="38"/>
        <v>1354</v>
      </c>
      <c r="ER45" s="25">
        <f t="shared" si="39"/>
        <v>1523</v>
      </c>
      <c r="ES45" s="25">
        <f t="shared" si="40"/>
        <v>1509</v>
      </c>
      <c r="ET45" s="25">
        <f>ES45*0.5</f>
        <v>754.5</v>
      </c>
      <c r="EU45" s="25">
        <f t="shared" ref="EU45:EY45" si="59">ET45*0.5</f>
        <v>377.25</v>
      </c>
      <c r="EV45" s="25">
        <f t="shared" si="59"/>
        <v>188.625</v>
      </c>
      <c r="EW45" s="25">
        <f t="shared" si="59"/>
        <v>94.3125</v>
      </c>
      <c r="EX45" s="25">
        <f t="shared" si="59"/>
        <v>47.15625</v>
      </c>
      <c r="EY45" s="25">
        <f t="shared" si="59"/>
        <v>23.578125</v>
      </c>
      <c r="EZ45" s="25">
        <v>301</v>
      </c>
      <c r="FA45" s="25">
        <v>194</v>
      </c>
      <c r="FB45" s="16"/>
      <c r="FC45" s="54"/>
      <c r="FD45" s="46"/>
    </row>
    <row r="46" spans="2:160" s="26" customFormat="1" x14ac:dyDescent="0.2">
      <c r="B46" s="15" t="s">
        <v>25</v>
      </c>
      <c r="C46" s="23"/>
      <c r="D46" s="23"/>
      <c r="E46" s="23"/>
      <c r="F46" s="23"/>
      <c r="G46" s="23"/>
      <c r="H46" s="23"/>
      <c r="I46" s="25">
        <v>145</v>
      </c>
      <c r="J46" s="25">
        <f>387-I46</f>
        <v>242</v>
      </c>
      <c r="K46" s="25">
        <v>367</v>
      </c>
      <c r="L46" s="25">
        <f>813-K46</f>
        <v>446</v>
      </c>
      <c r="M46" s="25">
        <v>503</v>
      </c>
      <c r="N46" s="25">
        <f>1062-M46</f>
        <v>559</v>
      </c>
      <c r="O46" s="25">
        <v>587</v>
      </c>
      <c r="P46" s="25">
        <f t="shared" si="50"/>
        <v>628</v>
      </c>
      <c r="Q46" s="25">
        <f t="shared" si="51"/>
        <v>643</v>
      </c>
      <c r="R46" s="25">
        <f t="shared" si="52"/>
        <v>661</v>
      </c>
      <c r="S46" s="25">
        <v>674</v>
      </c>
      <c r="T46" s="25">
        <f t="shared" si="35"/>
        <v>651</v>
      </c>
      <c r="U46" s="25">
        <f t="shared" si="36"/>
        <v>614</v>
      </c>
      <c r="V46" s="25">
        <f t="shared" si="37"/>
        <v>637</v>
      </c>
      <c r="W46" s="25"/>
      <c r="X46" s="25"/>
      <c r="Y46" s="25"/>
      <c r="Z46" s="25"/>
      <c r="AA46" s="25">
        <v>651</v>
      </c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93">
        <v>0</v>
      </c>
      <c r="AY46" s="66">
        <v>0</v>
      </c>
      <c r="AZ46" s="66">
        <v>0</v>
      </c>
      <c r="BA46" s="66">
        <v>17</v>
      </c>
      <c r="BB46" s="66">
        <v>57</v>
      </c>
      <c r="BC46" s="66">
        <v>88</v>
      </c>
      <c r="BD46" s="66">
        <v>101</v>
      </c>
      <c r="BE46" s="66">
        <v>141</v>
      </c>
      <c r="BF46" s="66">
        <v>172</v>
      </c>
      <c r="BG46" s="66">
        <v>195</v>
      </c>
      <c r="BH46" s="66">
        <v>211</v>
      </c>
      <c r="BI46" s="66">
        <v>235</v>
      </c>
      <c r="BJ46" s="66">
        <v>243</v>
      </c>
      <c r="BK46" s="66">
        <v>260</v>
      </c>
      <c r="BL46" s="66">
        <v>271</v>
      </c>
      <c r="BM46" s="66">
        <v>288</v>
      </c>
      <c r="BN46" s="66">
        <v>286</v>
      </c>
      <c r="BO46" s="66">
        <v>301</v>
      </c>
      <c r="BP46" s="66">
        <v>298</v>
      </c>
      <c r="BQ46" s="66">
        <v>330</v>
      </c>
      <c r="BR46" s="66">
        <v>320</v>
      </c>
      <c r="BS46" s="66">
        <v>323</v>
      </c>
      <c r="BT46" s="66">
        <f>962-BS46-BR46</f>
        <v>319</v>
      </c>
      <c r="BU46" s="66">
        <v>342</v>
      </c>
      <c r="BV46" s="66">
        <v>326</v>
      </c>
      <c r="BW46" s="66">
        <f t="shared" si="53"/>
        <v>348</v>
      </c>
      <c r="BX46" s="66">
        <f>1005-BW46-BV46</f>
        <v>331</v>
      </c>
      <c r="BY46" s="66">
        <v>320</v>
      </c>
      <c r="BZ46" s="66">
        <v>317</v>
      </c>
      <c r="CA46" s="66">
        <f>614-BZ46</f>
        <v>297</v>
      </c>
      <c r="CB46" s="66">
        <v>307</v>
      </c>
      <c r="CC46" s="66">
        <v>330</v>
      </c>
      <c r="CD46" s="66">
        <v>337</v>
      </c>
      <c r="CE46" s="66">
        <v>329</v>
      </c>
      <c r="CF46" s="66">
        <v>323</v>
      </c>
      <c r="CG46" s="66">
        <v>325</v>
      </c>
      <c r="CH46" s="66">
        <v>336</v>
      </c>
      <c r="CI46" s="66">
        <v>355</v>
      </c>
      <c r="CJ46" s="66">
        <v>327</v>
      </c>
      <c r="CK46" s="66">
        <v>321</v>
      </c>
      <c r="CL46" s="66">
        <v>304</v>
      </c>
      <c r="CM46" s="66">
        <v>347</v>
      </c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5"/>
      <c r="EG46" s="25">
        <v>0</v>
      </c>
      <c r="EH46" s="25">
        <v>0</v>
      </c>
      <c r="EI46" s="25">
        <v>0</v>
      </c>
      <c r="EJ46" s="25">
        <f t="shared" si="54"/>
        <v>17</v>
      </c>
      <c r="EK46" s="25">
        <f t="shared" si="55"/>
        <v>387</v>
      </c>
      <c r="EL46" s="25">
        <f t="shared" si="23"/>
        <v>813</v>
      </c>
      <c r="EM46" s="25">
        <f t="shared" si="22"/>
        <v>1062</v>
      </c>
      <c r="EN46" s="25">
        <f t="shared" si="33"/>
        <v>1215</v>
      </c>
      <c r="EO46" s="25">
        <f t="shared" si="56"/>
        <v>1304</v>
      </c>
      <c r="EP46" s="25">
        <f t="shared" si="20"/>
        <v>1325</v>
      </c>
      <c r="EQ46" s="25">
        <f t="shared" si="38"/>
        <v>1251</v>
      </c>
      <c r="ER46" s="25">
        <f t="shared" si="39"/>
        <v>1314</v>
      </c>
      <c r="ES46" s="25">
        <f t="shared" si="40"/>
        <v>1339</v>
      </c>
      <c r="ET46" s="25">
        <f t="shared" ref="ET46:EX46" si="60">ES46*1.01</f>
        <v>1352.39</v>
      </c>
      <c r="EU46" s="25">
        <f t="shared" si="60"/>
        <v>1365.9139</v>
      </c>
      <c r="EV46" s="25">
        <f t="shared" si="60"/>
        <v>1379.5730390000001</v>
      </c>
      <c r="EW46" s="25">
        <f t="shared" si="60"/>
        <v>1393.3687693900001</v>
      </c>
      <c r="EX46" s="25">
        <f t="shared" si="60"/>
        <v>1407.3024570839002</v>
      </c>
      <c r="EY46" s="25"/>
      <c r="EZ46" s="25"/>
      <c r="FA46" s="46"/>
      <c r="FB46" s="16"/>
      <c r="FC46" s="54"/>
      <c r="FD46" s="46"/>
    </row>
    <row r="47" spans="2:160" s="26" customFormat="1" x14ac:dyDescent="0.2">
      <c r="B47" s="15" t="s">
        <v>140</v>
      </c>
      <c r="C47" s="23"/>
      <c r="D47" s="23"/>
      <c r="E47" s="23"/>
      <c r="F47" s="23"/>
      <c r="G47" s="23"/>
      <c r="H47" s="23"/>
      <c r="I47" s="25">
        <v>21</v>
      </c>
      <c r="J47" s="25">
        <f>BD47+BE47</f>
        <v>65</v>
      </c>
      <c r="K47" s="25">
        <v>167</v>
      </c>
      <c r="L47" s="25">
        <f>488-K47</f>
        <v>321</v>
      </c>
      <c r="M47" s="25">
        <v>374</v>
      </c>
      <c r="N47" s="25">
        <f>887-M47</f>
        <v>513</v>
      </c>
      <c r="O47" s="25">
        <v>507</v>
      </c>
      <c r="P47" s="25">
        <f>SUM(BP47:BQ47)</f>
        <v>601</v>
      </c>
      <c r="Q47" s="25">
        <f t="shared" si="51"/>
        <v>525</v>
      </c>
      <c r="R47" s="25">
        <f t="shared" si="52"/>
        <v>533</v>
      </c>
      <c r="S47" s="25">
        <v>544</v>
      </c>
      <c r="T47" s="25">
        <f t="shared" si="35"/>
        <v>469</v>
      </c>
      <c r="U47" s="25">
        <f t="shared" si="36"/>
        <v>394</v>
      </c>
      <c r="V47" s="25">
        <f t="shared" si="37"/>
        <v>302</v>
      </c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21</v>
      </c>
      <c r="BD47" s="66">
        <v>14</v>
      </c>
      <c r="BE47" s="66">
        <v>51</v>
      </c>
      <c r="BF47" s="66">
        <v>75</v>
      </c>
      <c r="BG47" s="66">
        <v>92</v>
      </c>
      <c r="BH47" s="66">
        <v>142</v>
      </c>
      <c r="BI47" s="66">
        <v>179</v>
      </c>
      <c r="BJ47" s="66">
        <v>170</v>
      </c>
      <c r="BK47" s="66">
        <v>204</v>
      </c>
      <c r="BL47" s="66">
        <v>230</v>
      </c>
      <c r="BM47" s="66">
        <v>283</v>
      </c>
      <c r="BN47" s="66">
        <v>241</v>
      </c>
      <c r="BO47" s="66">
        <v>266</v>
      </c>
      <c r="BP47" s="66">
        <v>268</v>
      </c>
      <c r="BQ47" s="66">
        <v>333</v>
      </c>
      <c r="BR47" s="66">
        <v>249</v>
      </c>
      <c r="BS47" s="66">
        <v>276</v>
      </c>
      <c r="BT47" s="66">
        <v>255</v>
      </c>
      <c r="BU47" s="66">
        <v>278</v>
      </c>
      <c r="BV47" s="66">
        <v>277</v>
      </c>
      <c r="BW47" s="66">
        <f t="shared" si="53"/>
        <v>267</v>
      </c>
      <c r="BX47" s="66">
        <f>790-BW47-BV47</f>
        <v>246</v>
      </c>
      <c r="BY47" s="66">
        <v>223</v>
      </c>
      <c r="BZ47" s="66">
        <v>212</v>
      </c>
      <c r="CA47" s="66">
        <f>394-BZ47</f>
        <v>182</v>
      </c>
      <c r="CB47" s="66">
        <v>157</v>
      </c>
      <c r="CC47" s="66">
        <v>145</v>
      </c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5"/>
      <c r="EG47" s="25">
        <v>0</v>
      </c>
      <c r="EH47" s="25">
        <v>0</v>
      </c>
      <c r="EI47" s="25">
        <v>0</v>
      </c>
      <c r="EJ47" s="25">
        <f t="shared" si="54"/>
        <v>0</v>
      </c>
      <c r="EK47" s="25">
        <f t="shared" si="55"/>
        <v>86</v>
      </c>
      <c r="EL47" s="25">
        <f t="shared" ref="EL47:EL51" si="61">SUM(K47:L47)</f>
        <v>488</v>
      </c>
      <c r="EM47" s="25">
        <f>SUM(M47:N47)</f>
        <v>887</v>
      </c>
      <c r="EN47" s="25">
        <f t="shared" ref="EN47:EN52" si="62">SUM(BN47:BQ47)</f>
        <v>1108</v>
      </c>
      <c r="EO47" s="25">
        <f t="shared" si="56"/>
        <v>1058</v>
      </c>
      <c r="EP47" s="25">
        <f t="shared" si="20"/>
        <v>1013</v>
      </c>
      <c r="EQ47" s="25">
        <f t="shared" si="38"/>
        <v>696</v>
      </c>
      <c r="ER47" s="25"/>
      <c r="ES47" s="25"/>
      <c r="ET47" s="25"/>
      <c r="EU47" s="25"/>
      <c r="EV47" s="25"/>
      <c r="EW47" s="25"/>
      <c r="EX47" s="25"/>
      <c r="EY47" s="25"/>
      <c r="EZ47" s="25"/>
      <c r="FA47" s="46"/>
      <c r="FB47" s="16"/>
      <c r="FC47" s="54"/>
      <c r="FD47" s="46"/>
    </row>
    <row r="48" spans="2:160" s="26" customFormat="1" x14ac:dyDescent="0.2">
      <c r="B48" s="15" t="s">
        <v>33</v>
      </c>
      <c r="C48" s="23"/>
      <c r="D48" s="23"/>
      <c r="E48" s="23"/>
      <c r="F48" s="23"/>
      <c r="G48" s="23"/>
      <c r="H48" s="23"/>
      <c r="I48" s="25">
        <v>580</v>
      </c>
      <c r="J48" s="25">
        <f>1558-I48</f>
        <v>978</v>
      </c>
      <c r="K48" s="25">
        <v>961</v>
      </c>
      <c r="L48" s="25">
        <f>2627-K48</f>
        <v>1666</v>
      </c>
      <c r="M48" s="25">
        <v>1316</v>
      </c>
      <c r="N48" s="25">
        <f>2085-M48</f>
        <v>769</v>
      </c>
      <c r="O48" s="25">
        <v>327</v>
      </c>
      <c r="P48" s="25">
        <f>SUM(BP48:BQ48)</f>
        <v>282</v>
      </c>
      <c r="Q48" s="25">
        <f t="shared" si="51"/>
        <v>1010</v>
      </c>
      <c r="R48" s="25">
        <f t="shared" si="52"/>
        <v>2190</v>
      </c>
      <c r="S48" s="25">
        <v>710</v>
      </c>
      <c r="T48" s="25">
        <f t="shared" si="35"/>
        <v>163</v>
      </c>
      <c r="U48" s="25">
        <f t="shared" si="36"/>
        <v>262</v>
      </c>
      <c r="V48" s="25">
        <f t="shared" si="37"/>
        <v>97</v>
      </c>
      <c r="W48" s="25"/>
      <c r="X48" s="25"/>
      <c r="Y48" s="25"/>
      <c r="Z48" s="25"/>
      <c r="AA48" s="25">
        <v>372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66">
        <v>108</v>
      </c>
      <c r="AY48" s="66">
        <v>19</v>
      </c>
      <c r="AZ48" s="66">
        <v>110</v>
      </c>
      <c r="BA48" s="66">
        <v>93</v>
      </c>
      <c r="BB48" s="66">
        <v>424</v>
      </c>
      <c r="BC48" s="66">
        <v>156</v>
      </c>
      <c r="BD48" s="66">
        <v>279</v>
      </c>
      <c r="BE48" s="66">
        <v>699</v>
      </c>
      <c r="BF48" s="66">
        <v>601</v>
      </c>
      <c r="BG48" s="66">
        <v>360</v>
      </c>
      <c r="BH48" s="66">
        <v>669</v>
      </c>
      <c r="BI48" s="66">
        <v>997</v>
      </c>
      <c r="BJ48" s="66">
        <v>865</v>
      </c>
      <c r="BK48" s="66">
        <v>451</v>
      </c>
      <c r="BL48" s="66">
        <v>257</v>
      </c>
      <c r="BM48" s="66">
        <v>512</v>
      </c>
      <c r="BN48" s="66">
        <v>278</v>
      </c>
      <c r="BO48" s="66">
        <v>49</v>
      </c>
      <c r="BP48" s="66">
        <v>101</v>
      </c>
      <c r="BQ48" s="66">
        <v>181</v>
      </c>
      <c r="BR48" s="66">
        <v>401</v>
      </c>
      <c r="BS48" s="66">
        <v>609</v>
      </c>
      <c r="BT48" s="66">
        <f>2004-BS48-BR48</f>
        <v>994</v>
      </c>
      <c r="BU48" s="66">
        <v>1196</v>
      </c>
      <c r="BV48" s="66">
        <v>517</v>
      </c>
      <c r="BW48" s="66">
        <f t="shared" si="53"/>
        <v>193</v>
      </c>
      <c r="BX48" s="66">
        <f>808-BW48-BV48</f>
        <v>98</v>
      </c>
      <c r="BY48" s="66">
        <v>65</v>
      </c>
      <c r="BZ48" s="66">
        <v>252</v>
      </c>
      <c r="CA48" s="66">
        <f>262-BZ48</f>
        <v>10</v>
      </c>
      <c r="CB48" s="66">
        <v>39</v>
      </c>
      <c r="CC48" s="66">
        <v>58</v>
      </c>
      <c r="CD48" s="66">
        <v>187</v>
      </c>
      <c r="CE48" s="66">
        <v>34</v>
      </c>
      <c r="CF48" s="66">
        <v>20</v>
      </c>
      <c r="CG48" s="66">
        <v>319</v>
      </c>
      <c r="CH48" s="66">
        <v>335</v>
      </c>
      <c r="CI48" s="66">
        <v>45</v>
      </c>
      <c r="CJ48" s="66">
        <v>34</v>
      </c>
      <c r="CK48" s="66">
        <v>221</v>
      </c>
      <c r="CL48" s="66">
        <v>344</v>
      </c>
      <c r="CM48" s="66">
        <v>28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5"/>
      <c r="EG48" s="25">
        <v>110</v>
      </c>
      <c r="EH48" s="25">
        <v>175</v>
      </c>
      <c r="EI48" s="25">
        <v>431</v>
      </c>
      <c r="EJ48" s="25">
        <f t="shared" si="54"/>
        <v>330</v>
      </c>
      <c r="EK48" s="25">
        <f t="shared" si="55"/>
        <v>1558</v>
      </c>
      <c r="EL48" s="25">
        <f t="shared" si="61"/>
        <v>2627</v>
      </c>
      <c r="EM48" s="25">
        <f>SUM(M48:N48)</f>
        <v>2085</v>
      </c>
      <c r="EN48" s="25">
        <f t="shared" si="62"/>
        <v>609</v>
      </c>
      <c r="EO48" s="25">
        <f t="shared" si="56"/>
        <v>3200</v>
      </c>
      <c r="EP48" s="25">
        <f t="shared" si="20"/>
        <v>873</v>
      </c>
      <c r="EQ48" s="25">
        <f t="shared" si="38"/>
        <v>359</v>
      </c>
      <c r="ER48" s="25">
        <f t="shared" si="39"/>
        <v>560</v>
      </c>
      <c r="ES48" s="25">
        <f t="shared" si="40"/>
        <v>635</v>
      </c>
      <c r="ET48" s="25">
        <f>ES48*1.03</f>
        <v>654.05000000000007</v>
      </c>
      <c r="EU48" s="25">
        <f>ET48*1.03</f>
        <v>673.67150000000004</v>
      </c>
      <c r="EV48" s="25">
        <f>EU48*1.03</f>
        <v>693.88164500000005</v>
      </c>
      <c r="EW48" s="25">
        <f>EV48*0.5</f>
        <v>346.94082250000002</v>
      </c>
      <c r="EX48" s="25">
        <f>EW48*0.5</f>
        <v>173.47041125000001</v>
      </c>
      <c r="EY48" s="25">
        <f>EX48*0.5</f>
        <v>86.735205625000006</v>
      </c>
      <c r="EZ48" s="25">
        <v>272</v>
      </c>
      <c r="FA48" s="25">
        <v>58</v>
      </c>
      <c r="FB48" s="16"/>
      <c r="FC48" s="54"/>
      <c r="FD48" s="46"/>
    </row>
    <row r="49" spans="2:169" s="26" customFormat="1" x14ac:dyDescent="0.2">
      <c r="B49" s="15" t="s">
        <v>158</v>
      </c>
      <c r="C49" s="23"/>
      <c r="D49" s="23"/>
      <c r="E49" s="23"/>
      <c r="F49" s="23"/>
      <c r="G49" s="23"/>
      <c r="H49" s="23"/>
      <c r="I49" s="25">
        <v>185</v>
      </c>
      <c r="J49" s="25">
        <f>394-I49</f>
        <v>209</v>
      </c>
      <c r="K49" s="25">
        <v>223</v>
      </c>
      <c r="L49" s="25">
        <f>488-K49</f>
        <v>265</v>
      </c>
      <c r="M49" s="25">
        <v>261</v>
      </c>
      <c r="N49" s="25">
        <f>542-M49</f>
        <v>281</v>
      </c>
      <c r="O49" s="25">
        <v>261</v>
      </c>
      <c r="P49" s="25">
        <f t="shared" si="50"/>
        <v>292</v>
      </c>
      <c r="Q49" s="25">
        <f t="shared" si="51"/>
        <v>274</v>
      </c>
      <c r="R49" s="25">
        <f t="shared" si="52"/>
        <v>290</v>
      </c>
      <c r="S49" s="25">
        <v>296</v>
      </c>
      <c r="T49" s="25">
        <f t="shared" si="35"/>
        <v>309</v>
      </c>
      <c r="U49" s="25">
        <f t="shared" si="36"/>
        <v>282</v>
      </c>
      <c r="V49" s="25">
        <f t="shared" si="37"/>
        <v>287</v>
      </c>
      <c r="W49" s="25"/>
      <c r="X49" s="25"/>
      <c r="Y49" s="25"/>
      <c r="Z49" s="25"/>
      <c r="AA49" s="25">
        <v>353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86</v>
      </c>
      <c r="AY49" s="66">
        <v>79</v>
      </c>
      <c r="AZ49" s="66">
        <v>81</v>
      </c>
      <c r="BA49" s="66">
        <v>83</v>
      </c>
      <c r="BB49" s="66">
        <v>86</v>
      </c>
      <c r="BC49" s="66">
        <v>99</v>
      </c>
      <c r="BD49" s="66">
        <v>100</v>
      </c>
      <c r="BE49" s="66">
        <v>109</v>
      </c>
      <c r="BF49" s="66">
        <v>110</v>
      </c>
      <c r="BG49" s="66">
        <v>113</v>
      </c>
      <c r="BH49" s="66">
        <v>126</v>
      </c>
      <c r="BI49" s="66">
        <v>139</v>
      </c>
      <c r="BJ49" s="66">
        <v>124</v>
      </c>
      <c r="BK49" s="66">
        <v>137</v>
      </c>
      <c r="BL49" s="66">
        <v>137</v>
      </c>
      <c r="BM49" s="66">
        <v>144</v>
      </c>
      <c r="BN49" s="66">
        <v>128</v>
      </c>
      <c r="BO49" s="66">
        <v>136</v>
      </c>
      <c r="BP49" s="66">
        <v>143</v>
      </c>
      <c r="BQ49" s="66">
        <v>149</v>
      </c>
      <c r="BR49" s="66">
        <v>131</v>
      </c>
      <c r="BS49" s="66">
        <v>143</v>
      </c>
      <c r="BT49" s="66">
        <v>148</v>
      </c>
      <c r="BU49" s="66">
        <v>142</v>
      </c>
      <c r="BV49" s="66">
        <v>149</v>
      </c>
      <c r="BW49" s="66">
        <f t="shared" si="53"/>
        <v>147</v>
      </c>
      <c r="BX49" s="66">
        <f>453-BW49-BV49</f>
        <v>157</v>
      </c>
      <c r="BY49" s="66">
        <v>152</v>
      </c>
      <c r="BZ49" s="66">
        <v>145</v>
      </c>
      <c r="CA49" s="66">
        <f>282-BZ49</f>
        <v>137</v>
      </c>
      <c r="CB49" s="66">
        <v>143</v>
      </c>
      <c r="CC49" s="66">
        <v>144</v>
      </c>
      <c r="CD49" s="66">
        <v>153</v>
      </c>
      <c r="CE49" s="66">
        <v>154</v>
      </c>
      <c r="CF49" s="66">
        <v>171</v>
      </c>
      <c r="CG49" s="66">
        <v>160</v>
      </c>
      <c r="CH49" s="66">
        <v>166</v>
      </c>
      <c r="CI49" s="66">
        <v>167</v>
      </c>
      <c r="CJ49" s="66">
        <v>166</v>
      </c>
      <c r="CK49" s="66">
        <v>194</v>
      </c>
      <c r="CL49" s="66">
        <v>177</v>
      </c>
      <c r="CM49" s="66">
        <v>176</v>
      </c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5"/>
      <c r="EG49" s="25">
        <v>292</v>
      </c>
      <c r="EH49" s="25">
        <v>296</v>
      </c>
      <c r="EI49" s="25">
        <v>281</v>
      </c>
      <c r="EJ49" s="25">
        <f t="shared" si="54"/>
        <v>329</v>
      </c>
      <c r="EK49" s="25">
        <f t="shared" si="55"/>
        <v>394</v>
      </c>
      <c r="EL49" s="25">
        <f t="shared" si="61"/>
        <v>488</v>
      </c>
      <c r="EM49" s="25">
        <f t="shared" si="22"/>
        <v>542</v>
      </c>
      <c r="EN49" s="25">
        <f t="shared" si="62"/>
        <v>556</v>
      </c>
      <c r="EO49" s="25">
        <f t="shared" si="56"/>
        <v>564</v>
      </c>
      <c r="EP49" s="25">
        <f t="shared" si="20"/>
        <v>605</v>
      </c>
      <c r="EQ49" s="25">
        <f t="shared" si="38"/>
        <v>569</v>
      </c>
      <c r="ER49" s="25">
        <f t="shared" si="39"/>
        <v>638</v>
      </c>
      <c r="ES49" s="25">
        <f t="shared" si="40"/>
        <v>693</v>
      </c>
      <c r="ET49" s="25">
        <f>+ES49*0.5</f>
        <v>346.5</v>
      </c>
      <c r="EU49" s="25">
        <f t="shared" ref="EU49:EY49" si="63">+ET49*0.5</f>
        <v>173.25</v>
      </c>
      <c r="EV49" s="25">
        <f t="shared" si="63"/>
        <v>86.625</v>
      </c>
      <c r="EW49" s="25">
        <f t="shared" si="63"/>
        <v>43.3125</v>
      </c>
      <c r="EX49" s="25">
        <f t="shared" si="63"/>
        <v>21.65625</v>
      </c>
      <c r="EY49" s="25">
        <f t="shared" si="63"/>
        <v>10.828125</v>
      </c>
      <c r="EZ49" s="25"/>
      <c r="FA49" s="46"/>
      <c r="FB49" s="16"/>
      <c r="FC49" s="54"/>
      <c r="FD49" s="46"/>
    </row>
    <row r="50" spans="2:169" s="26" customFormat="1" x14ac:dyDescent="0.2">
      <c r="B50" s="15" t="s">
        <v>142</v>
      </c>
      <c r="C50" s="23"/>
      <c r="D50" s="23"/>
      <c r="E50" s="23"/>
      <c r="F50" s="23"/>
      <c r="G50" s="23"/>
      <c r="H50" s="23"/>
      <c r="I50" s="25">
        <v>232</v>
      </c>
      <c r="J50" s="25">
        <f>476-I50</f>
        <v>244</v>
      </c>
      <c r="K50" s="25">
        <v>244</v>
      </c>
      <c r="L50" s="25">
        <f>494-K50</f>
        <v>250</v>
      </c>
      <c r="M50" s="25">
        <v>239</v>
      </c>
      <c r="N50" s="25">
        <f>470-M50</f>
        <v>231</v>
      </c>
      <c r="O50" s="25">
        <v>195</v>
      </c>
      <c r="P50" s="25">
        <f t="shared" si="50"/>
        <v>218</v>
      </c>
      <c r="Q50" s="25">
        <f t="shared" si="51"/>
        <v>211</v>
      </c>
      <c r="R50" s="25">
        <f t="shared" si="52"/>
        <v>189</v>
      </c>
      <c r="S50" s="25">
        <v>193</v>
      </c>
      <c r="T50" s="25">
        <f t="shared" si="35"/>
        <v>212</v>
      </c>
      <c r="U50" s="25">
        <f t="shared" si="36"/>
        <v>169</v>
      </c>
      <c r="V50" s="25">
        <f t="shared" si="37"/>
        <v>148</v>
      </c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116</v>
      </c>
      <c r="AZ50" s="66">
        <v>110</v>
      </c>
      <c r="BA50" s="66">
        <v>114</v>
      </c>
      <c r="BB50" s="66">
        <v>110</v>
      </c>
      <c r="BC50" s="66">
        <v>122</v>
      </c>
      <c r="BD50" s="66">
        <v>116</v>
      </c>
      <c r="BE50" s="66">
        <v>128</v>
      </c>
      <c r="BF50" s="66">
        <v>118</v>
      </c>
      <c r="BG50" s="66">
        <v>126</v>
      </c>
      <c r="BH50" s="66">
        <v>118</v>
      </c>
      <c r="BI50" s="66">
        <v>132</v>
      </c>
      <c r="BJ50" s="66">
        <v>117</v>
      </c>
      <c r="BK50" s="66">
        <v>122</v>
      </c>
      <c r="BL50" s="66">
        <v>118</v>
      </c>
      <c r="BM50" s="66">
        <v>113</v>
      </c>
      <c r="BN50" s="66">
        <v>97</v>
      </c>
      <c r="BO50" s="66">
        <v>98</v>
      </c>
      <c r="BP50" s="66">
        <v>106</v>
      </c>
      <c r="BQ50" s="66">
        <v>112</v>
      </c>
      <c r="BR50" s="66">
        <v>104</v>
      </c>
      <c r="BS50" s="66">
        <v>107</v>
      </c>
      <c r="BT50" s="66">
        <v>100</v>
      </c>
      <c r="BU50" s="66">
        <v>89</v>
      </c>
      <c r="BV50" s="66">
        <v>91</v>
      </c>
      <c r="BW50" s="66">
        <f t="shared" si="53"/>
        <v>102</v>
      </c>
      <c r="BX50" s="66">
        <f>310-BW50-BV50</f>
        <v>117</v>
      </c>
      <c r="BY50" s="66">
        <v>95</v>
      </c>
      <c r="BZ50" s="66">
        <v>87</v>
      </c>
      <c r="CA50" s="66">
        <f>169-BZ50</f>
        <v>82</v>
      </c>
      <c r="CB50" s="66">
        <v>73</v>
      </c>
      <c r="CC50" s="66">
        <v>75</v>
      </c>
      <c r="CD50" s="66">
        <v>77</v>
      </c>
      <c r="CE50" s="66">
        <v>77</v>
      </c>
      <c r="CF50" s="66">
        <v>77</v>
      </c>
      <c r="CG50" s="66">
        <v>73</v>
      </c>
      <c r="CH50" s="66">
        <v>73</v>
      </c>
      <c r="CI50" s="66">
        <v>71</v>
      </c>
      <c r="CJ50" s="66">
        <v>69</v>
      </c>
      <c r="CK50" s="66">
        <v>61</v>
      </c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5"/>
      <c r="EG50" s="25">
        <v>435</v>
      </c>
      <c r="EH50" s="25">
        <v>477</v>
      </c>
      <c r="EI50" s="25">
        <v>442</v>
      </c>
      <c r="EJ50" s="25">
        <f t="shared" si="54"/>
        <v>449</v>
      </c>
      <c r="EK50" s="25">
        <f t="shared" si="55"/>
        <v>476</v>
      </c>
      <c r="EL50" s="25">
        <f t="shared" si="61"/>
        <v>494</v>
      </c>
      <c r="EM50" s="25">
        <f t="shared" si="22"/>
        <v>470</v>
      </c>
      <c r="EN50" s="25">
        <f t="shared" si="62"/>
        <v>413</v>
      </c>
      <c r="EO50" s="25">
        <f t="shared" si="56"/>
        <v>400</v>
      </c>
      <c r="EP50" s="25">
        <f t="shared" si="20"/>
        <v>405</v>
      </c>
      <c r="EQ50" s="25">
        <f t="shared" si="38"/>
        <v>317</v>
      </c>
      <c r="ER50" s="25">
        <f t="shared" si="39"/>
        <v>304</v>
      </c>
      <c r="ES50" s="25">
        <f t="shared" si="40"/>
        <v>274</v>
      </c>
      <c r="ET50" s="25">
        <f t="shared" ref="ET50:ET52" si="64">ES50*1.05</f>
        <v>287.7</v>
      </c>
      <c r="EU50" s="25">
        <f t="shared" ref="EU50:EX50" si="65">ET50*1.05</f>
        <v>302.08499999999998</v>
      </c>
      <c r="EV50" s="25">
        <f t="shared" si="65"/>
        <v>317.18925000000002</v>
      </c>
      <c r="EW50" s="25">
        <f t="shared" si="65"/>
        <v>333.04871250000002</v>
      </c>
      <c r="EX50" s="25">
        <f t="shared" si="65"/>
        <v>349.70114812500003</v>
      </c>
      <c r="EY50" s="25">
        <f>+EX50*0.9</f>
        <v>314.73103331250002</v>
      </c>
      <c r="EZ50" s="25"/>
      <c r="FA50" s="46"/>
      <c r="FB50" s="16"/>
      <c r="FC50" s="54"/>
      <c r="FD50" s="46"/>
    </row>
    <row r="51" spans="2:169" s="26" customFormat="1" x14ac:dyDescent="0.2">
      <c r="B51" s="15" t="s">
        <v>30</v>
      </c>
      <c r="C51" s="23"/>
      <c r="D51" s="23"/>
      <c r="E51" s="23"/>
      <c r="F51" s="23"/>
      <c r="G51" s="23"/>
      <c r="H51" s="23"/>
      <c r="I51" s="25">
        <v>169</v>
      </c>
      <c r="J51" s="25">
        <f>364-I51</f>
        <v>195</v>
      </c>
      <c r="K51" s="25">
        <v>188</v>
      </c>
      <c r="L51" s="25">
        <f>379-K51</f>
        <v>191</v>
      </c>
      <c r="M51" s="25">
        <v>195</v>
      </c>
      <c r="N51" s="25">
        <f>405-M51</f>
        <v>210</v>
      </c>
      <c r="O51" s="25">
        <v>192</v>
      </c>
      <c r="P51" s="25">
        <f>SUM(BP51:BQ51)</f>
        <v>212</v>
      </c>
      <c r="Q51" s="25">
        <f t="shared" si="51"/>
        <v>188</v>
      </c>
      <c r="R51" s="25">
        <f t="shared" si="52"/>
        <v>197</v>
      </c>
      <c r="S51" s="25">
        <v>167</v>
      </c>
      <c r="T51" s="25">
        <f t="shared" si="35"/>
        <v>164</v>
      </c>
      <c r="U51" s="25">
        <f t="shared" si="36"/>
        <v>135</v>
      </c>
      <c r="V51" s="25">
        <f t="shared" si="37"/>
        <v>143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76</v>
      </c>
      <c r="AY51" s="66">
        <v>80</v>
      </c>
      <c r="AZ51" s="66">
        <v>81</v>
      </c>
      <c r="BA51" s="66">
        <v>88</v>
      </c>
      <c r="BB51" s="66">
        <v>80</v>
      </c>
      <c r="BC51" s="66">
        <v>89</v>
      </c>
      <c r="BD51" s="66">
        <v>97</v>
      </c>
      <c r="BE51" s="66">
        <v>98</v>
      </c>
      <c r="BF51" s="66">
        <v>93</v>
      </c>
      <c r="BG51" s="66">
        <v>95</v>
      </c>
      <c r="BH51" s="66">
        <v>91</v>
      </c>
      <c r="BI51" s="66">
        <v>100</v>
      </c>
      <c r="BJ51" s="66">
        <v>96</v>
      </c>
      <c r="BK51" s="66">
        <v>99</v>
      </c>
      <c r="BL51" s="66">
        <v>100</v>
      </c>
      <c r="BM51" s="66">
        <v>110</v>
      </c>
      <c r="BN51" s="66">
        <v>95</v>
      </c>
      <c r="BO51" s="66">
        <v>97</v>
      </c>
      <c r="BP51" s="66">
        <v>98</v>
      </c>
      <c r="BQ51" s="66">
        <v>114</v>
      </c>
      <c r="BR51" s="66">
        <v>90</v>
      </c>
      <c r="BS51" s="66">
        <v>98</v>
      </c>
      <c r="BT51" s="66">
        <v>101</v>
      </c>
      <c r="BU51" s="66">
        <v>96</v>
      </c>
      <c r="BV51" s="66">
        <v>81</v>
      </c>
      <c r="BW51" s="66">
        <f t="shared" si="53"/>
        <v>86</v>
      </c>
      <c r="BX51" s="66">
        <f>249-BW51-BV51</f>
        <v>82</v>
      </c>
      <c r="BY51" s="66">
        <v>82</v>
      </c>
      <c r="BZ51" s="66">
        <v>61</v>
      </c>
      <c r="CA51" s="66">
        <v>74</v>
      </c>
      <c r="CB51" s="66">
        <v>65</v>
      </c>
      <c r="CC51" s="66">
        <v>78</v>
      </c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5"/>
      <c r="EG51" s="25">
        <v>0</v>
      </c>
      <c r="EH51" s="25">
        <v>0</v>
      </c>
      <c r="EI51" s="25">
        <v>315</v>
      </c>
      <c r="EJ51" s="25">
        <f t="shared" si="54"/>
        <v>325</v>
      </c>
      <c r="EK51" s="25">
        <f t="shared" si="55"/>
        <v>364</v>
      </c>
      <c r="EL51" s="25">
        <f t="shared" si="61"/>
        <v>379</v>
      </c>
      <c r="EM51" s="25">
        <f>SUM(M51:N51)</f>
        <v>405</v>
      </c>
      <c r="EN51" s="25">
        <f t="shared" si="62"/>
        <v>404</v>
      </c>
      <c r="EO51" s="25">
        <f t="shared" si="56"/>
        <v>385</v>
      </c>
      <c r="EP51" s="25">
        <f t="shared" si="20"/>
        <v>331</v>
      </c>
      <c r="EQ51" s="25">
        <f t="shared" si="38"/>
        <v>278</v>
      </c>
      <c r="ER51" s="25"/>
      <c r="ES51" s="25"/>
      <c r="ET51" s="25"/>
      <c r="EU51" s="25"/>
      <c r="EV51" s="25"/>
      <c r="EW51" s="25"/>
      <c r="EX51" s="25"/>
      <c r="EY51" s="25"/>
      <c r="EZ51" s="25"/>
      <c r="FA51" s="46"/>
      <c r="FB51" s="16"/>
      <c r="FC51" s="54"/>
      <c r="FD51" s="46"/>
    </row>
    <row r="52" spans="2:169" s="26" customFormat="1" x14ac:dyDescent="0.2">
      <c r="B52" s="15" t="s">
        <v>38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>
        <v>154</v>
      </c>
      <c r="P52" s="25">
        <f>SUM(BP52:BQ52)</f>
        <v>157</v>
      </c>
      <c r="Q52" s="25">
        <f t="shared" si="51"/>
        <v>140</v>
      </c>
      <c r="R52" s="25">
        <f t="shared" si="52"/>
        <v>146</v>
      </c>
      <c r="S52" s="25">
        <v>0</v>
      </c>
      <c r="T52" s="25">
        <f t="shared" si="35"/>
        <v>77</v>
      </c>
      <c r="U52" s="25">
        <f t="shared" si="36"/>
        <v>150</v>
      </c>
      <c r="V52" s="25">
        <f t="shared" si="37"/>
        <v>144</v>
      </c>
      <c r="W52" s="25"/>
      <c r="X52" s="25"/>
      <c r="Y52" s="25"/>
      <c r="Z52" s="25"/>
      <c r="AA52" s="25">
        <v>135</v>
      </c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93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>
        <v>75</v>
      </c>
      <c r="BK52" s="66">
        <v>77</v>
      </c>
      <c r="BL52" s="66">
        <v>76</v>
      </c>
      <c r="BM52" s="66">
        <v>83</v>
      </c>
      <c r="BN52" s="66">
        <v>74</v>
      </c>
      <c r="BO52" s="66">
        <v>80</v>
      </c>
      <c r="BP52" s="66">
        <v>77</v>
      </c>
      <c r="BQ52" s="66">
        <v>80</v>
      </c>
      <c r="BR52" s="66">
        <v>68</v>
      </c>
      <c r="BS52" s="66">
        <v>72</v>
      </c>
      <c r="BT52" s="66">
        <v>71</v>
      </c>
      <c r="BU52" s="66">
        <v>75</v>
      </c>
      <c r="BV52" s="66"/>
      <c r="BW52" s="66"/>
      <c r="BX52" s="66"/>
      <c r="BY52" s="66">
        <v>77</v>
      </c>
      <c r="BZ52" s="66">
        <v>75</v>
      </c>
      <c r="CA52" s="66">
        <v>75</v>
      </c>
      <c r="CB52" s="66">
        <v>72</v>
      </c>
      <c r="CC52" s="66">
        <v>72</v>
      </c>
      <c r="CD52" s="66">
        <v>75</v>
      </c>
      <c r="CE52" s="66">
        <v>82</v>
      </c>
      <c r="CF52" s="66">
        <v>78</v>
      </c>
      <c r="CG52" s="66">
        <v>75</v>
      </c>
      <c r="CH52" s="66">
        <v>80</v>
      </c>
      <c r="CI52" s="66">
        <v>78</v>
      </c>
      <c r="CJ52" s="66">
        <v>77</v>
      </c>
      <c r="CK52" s="66">
        <v>78</v>
      </c>
      <c r="CL52" s="66">
        <v>59</v>
      </c>
      <c r="CM52" s="66">
        <v>76</v>
      </c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5"/>
      <c r="EG52" s="25"/>
      <c r="EH52" s="25"/>
      <c r="EI52" s="25"/>
      <c r="EJ52" s="25"/>
      <c r="EK52" s="25"/>
      <c r="EL52" s="25"/>
      <c r="EM52" s="25">
        <f>SUM(BJ52:BM52)</f>
        <v>311</v>
      </c>
      <c r="EN52" s="25">
        <f t="shared" si="62"/>
        <v>311</v>
      </c>
      <c r="EO52" s="25">
        <f t="shared" si="56"/>
        <v>286</v>
      </c>
      <c r="EP52" s="25"/>
      <c r="EQ52" s="25">
        <f t="shared" si="38"/>
        <v>294</v>
      </c>
      <c r="ER52" s="25">
        <f t="shared" si="39"/>
        <v>310</v>
      </c>
      <c r="ES52" s="25">
        <f t="shared" si="40"/>
        <v>313</v>
      </c>
      <c r="ET52" s="25">
        <f t="shared" si="64"/>
        <v>328.65000000000003</v>
      </c>
      <c r="EU52" s="25">
        <f t="shared" ref="EU52:EX52" si="66">ET52*1.05</f>
        <v>345.08250000000004</v>
      </c>
      <c r="EV52" s="25">
        <f t="shared" si="66"/>
        <v>362.33662500000008</v>
      </c>
      <c r="EW52" s="25">
        <f t="shared" si="66"/>
        <v>380.4534562500001</v>
      </c>
      <c r="EX52" s="25">
        <f t="shared" si="66"/>
        <v>399.47612906250015</v>
      </c>
      <c r="EY52" s="25">
        <f>+EX52*0.9</f>
        <v>359.52851615625013</v>
      </c>
      <c r="EZ52" s="25">
        <v>361</v>
      </c>
      <c r="FA52" s="25">
        <v>394</v>
      </c>
      <c r="FB52" s="25">
        <v>379</v>
      </c>
      <c r="FC52" s="54">
        <v>355</v>
      </c>
      <c r="FD52" s="46"/>
    </row>
    <row r="53" spans="2:169" s="26" customFormat="1" x14ac:dyDescent="0.2">
      <c r="B53" s="3" t="s">
        <v>50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>
        <f t="shared" si="36"/>
        <v>138</v>
      </c>
      <c r="V53" s="25">
        <f>344-U53</f>
        <v>206</v>
      </c>
      <c r="W53" s="25"/>
      <c r="X53" s="25"/>
      <c r="Y53" s="25"/>
      <c r="Z53" s="25"/>
      <c r="AA53" s="25">
        <v>203</v>
      </c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93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>
        <v>70</v>
      </c>
      <c r="BZ53" s="66">
        <v>70</v>
      </c>
      <c r="CA53" s="66">
        <f>138-BZ53</f>
        <v>68</v>
      </c>
      <c r="CB53" s="66">
        <v>99</v>
      </c>
      <c r="CC53" s="66">
        <v>107</v>
      </c>
      <c r="CD53" s="66">
        <v>90</v>
      </c>
      <c r="CE53" s="66">
        <v>87</v>
      </c>
      <c r="CF53" s="66">
        <v>96</v>
      </c>
      <c r="CG53" s="66">
        <v>111</v>
      </c>
      <c r="CH53" s="66">
        <v>94</v>
      </c>
      <c r="CI53" s="66">
        <v>106</v>
      </c>
      <c r="CJ53" s="66">
        <v>107</v>
      </c>
      <c r="CK53" s="66">
        <v>118</v>
      </c>
      <c r="CL53" s="66">
        <v>103</v>
      </c>
      <c r="CM53" s="66">
        <v>100</v>
      </c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>
        <v>96</v>
      </c>
      <c r="EA53" s="66"/>
      <c r="EB53" s="66"/>
      <c r="EC53" s="66"/>
      <c r="ED53" s="66"/>
      <c r="EE53" s="66"/>
      <c r="EF53" s="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>
        <f t="shared" si="38"/>
        <v>344</v>
      </c>
      <c r="ER53" s="25">
        <f t="shared" si="39"/>
        <v>384</v>
      </c>
      <c r="ES53" s="25">
        <f t="shared" si="40"/>
        <v>425</v>
      </c>
      <c r="ET53" s="25">
        <f>+ES53*1.01</f>
        <v>429.25</v>
      </c>
      <c r="EU53" s="25">
        <f t="shared" ref="EU53:EX53" si="67">+ET53*1.01</f>
        <v>433.54250000000002</v>
      </c>
      <c r="EV53" s="25">
        <f t="shared" si="67"/>
        <v>437.877925</v>
      </c>
      <c r="EW53" s="25">
        <f t="shared" si="67"/>
        <v>442.25670424999998</v>
      </c>
      <c r="EX53" s="25">
        <f t="shared" si="67"/>
        <v>446.6792712925</v>
      </c>
      <c r="EY53" s="25"/>
      <c r="EZ53" s="25">
        <v>470</v>
      </c>
      <c r="FA53" s="25">
        <v>435</v>
      </c>
      <c r="FB53" s="3">
        <v>408</v>
      </c>
      <c r="FC53" s="54">
        <v>426</v>
      </c>
      <c r="FD53" s="46"/>
    </row>
    <row r="54" spans="2:169" s="26" customFormat="1" hidden="1" x14ac:dyDescent="0.2">
      <c r="B54" s="15" t="s">
        <v>39</v>
      </c>
      <c r="C54" s="23"/>
      <c r="D54" s="23"/>
      <c r="E54" s="23"/>
      <c r="F54" s="23"/>
      <c r="G54" s="23"/>
      <c r="H54" s="23"/>
      <c r="I54" s="25">
        <v>312</v>
      </c>
      <c r="J54" s="25">
        <f>635-I54</f>
        <v>323</v>
      </c>
      <c r="K54" s="25">
        <v>363</v>
      </c>
      <c r="L54" s="25">
        <f>693-K54</f>
        <v>330</v>
      </c>
      <c r="M54" s="25">
        <v>339</v>
      </c>
      <c r="N54" s="25">
        <f>632-M54</f>
        <v>293</v>
      </c>
      <c r="O54" s="25">
        <v>264</v>
      </c>
      <c r="P54" s="25">
        <f>SUM(BP54:BQ54)</f>
        <v>238</v>
      </c>
      <c r="Q54" s="25">
        <f>SUM(BR54:BS54)</f>
        <v>209</v>
      </c>
      <c r="R54" s="25">
        <f>BT54+BU54</f>
        <v>188</v>
      </c>
      <c r="S54" s="25">
        <v>183</v>
      </c>
      <c r="T54" s="25">
        <f>+BY54+BX54</f>
        <v>154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146</v>
      </c>
      <c r="AY54" s="66">
        <v>165</v>
      </c>
      <c r="AZ54" s="66">
        <v>145</v>
      </c>
      <c r="BA54" s="66">
        <v>137</v>
      </c>
      <c r="BB54" s="66">
        <v>147</v>
      </c>
      <c r="BC54" s="66">
        <v>165</v>
      </c>
      <c r="BD54" s="66">
        <v>162</v>
      </c>
      <c r="BE54" s="66">
        <v>161</v>
      </c>
      <c r="BF54" s="66">
        <v>181</v>
      </c>
      <c r="BG54" s="66">
        <v>182</v>
      </c>
      <c r="BH54" s="66">
        <v>160</v>
      </c>
      <c r="BI54" s="66">
        <v>170</v>
      </c>
      <c r="BJ54" s="66">
        <v>163</v>
      </c>
      <c r="BK54" s="66">
        <v>176</v>
      </c>
      <c r="BL54" s="66">
        <v>151</v>
      </c>
      <c r="BM54" s="66">
        <v>142</v>
      </c>
      <c r="BN54" s="66">
        <v>136</v>
      </c>
      <c r="BO54" s="66">
        <v>128</v>
      </c>
      <c r="BP54" s="66">
        <v>126</v>
      </c>
      <c r="BQ54" s="66">
        <v>112</v>
      </c>
      <c r="BR54" s="66">
        <v>103</v>
      </c>
      <c r="BS54" s="66">
        <v>106</v>
      </c>
      <c r="BT54" s="66">
        <v>98</v>
      </c>
      <c r="BU54" s="66">
        <v>90</v>
      </c>
      <c r="BV54" s="66">
        <v>91</v>
      </c>
      <c r="BW54" s="66">
        <f>+S54-BV54</f>
        <v>92</v>
      </c>
      <c r="BX54" s="66">
        <f>259-BW54-BV54</f>
        <v>76</v>
      </c>
      <c r="BY54" s="66">
        <v>78</v>
      </c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5"/>
      <c r="EG54" s="25">
        <v>963</v>
      </c>
      <c r="EH54" s="25">
        <v>763</v>
      </c>
      <c r="EI54" s="25">
        <v>618</v>
      </c>
      <c r="EJ54" s="25">
        <f>SUM(AX54:BA54)</f>
        <v>593</v>
      </c>
      <c r="EK54" s="25">
        <f>SUM(BB54:BE54)</f>
        <v>635</v>
      </c>
      <c r="EL54" s="25">
        <f>SUM(K54:L54)</f>
        <v>693</v>
      </c>
      <c r="EM54" s="25">
        <f>SUM(M54:N54)</f>
        <v>632</v>
      </c>
      <c r="EN54" s="25">
        <f>SUM(BN54:BQ54)</f>
        <v>502</v>
      </c>
      <c r="EO54" s="25">
        <f>SUM(BR54:BU54)</f>
        <v>397</v>
      </c>
      <c r="EP54" s="25">
        <f>SUM(BV54:BY54)</f>
        <v>337</v>
      </c>
      <c r="EQ54" s="25">
        <f t="shared" ref="EQ54:EQ61" si="68">SUM(BZ54:CC54)</f>
        <v>0</v>
      </c>
      <c r="ER54" s="25">
        <f t="shared" si="39"/>
        <v>0</v>
      </c>
      <c r="ES54" s="25">
        <f t="shared" si="40"/>
        <v>0</v>
      </c>
      <c r="ET54" s="25"/>
      <c r="EU54" s="25"/>
      <c r="EV54" s="25"/>
      <c r="EW54" s="25"/>
      <c r="EX54" s="25"/>
      <c r="EY54" s="25"/>
      <c r="EZ54" s="25"/>
      <c r="FA54" s="46"/>
      <c r="FB54" s="16"/>
      <c r="FC54" s="54">
        <f t="shared" si="24"/>
        <v>0</v>
      </c>
      <c r="FD54" s="46"/>
    </row>
    <row r="55" spans="2:169" s="26" customFormat="1" hidden="1" x14ac:dyDescent="0.2">
      <c r="B55" s="15" t="s">
        <v>32</v>
      </c>
      <c r="C55" s="23"/>
      <c r="D55" s="23"/>
      <c r="E55" s="23"/>
      <c r="F55" s="23"/>
      <c r="G55" s="23"/>
      <c r="H55" s="23"/>
      <c r="I55" s="25">
        <v>235</v>
      </c>
      <c r="J55" s="25">
        <f>500-I55</f>
        <v>265</v>
      </c>
      <c r="K55" s="25">
        <v>254</v>
      </c>
      <c r="L55" s="25">
        <f>498-K55</f>
        <v>244</v>
      </c>
      <c r="M55" s="25">
        <v>205</v>
      </c>
      <c r="N55" s="25">
        <f>425-M55</f>
        <v>220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109</v>
      </c>
      <c r="AY55" s="66">
        <v>111</v>
      </c>
      <c r="AZ55" s="66">
        <v>114</v>
      </c>
      <c r="BA55" s="66">
        <v>123</v>
      </c>
      <c r="BB55" s="66">
        <v>105</v>
      </c>
      <c r="BC55" s="66">
        <v>130</v>
      </c>
      <c r="BD55" s="66">
        <v>130</v>
      </c>
      <c r="BE55" s="66">
        <v>135</v>
      </c>
      <c r="BF55" s="66">
        <v>130</v>
      </c>
      <c r="BG55" s="66">
        <v>124</v>
      </c>
      <c r="BH55" s="66">
        <v>127</v>
      </c>
      <c r="BI55" s="66">
        <v>117</v>
      </c>
      <c r="BJ55" s="66">
        <v>105</v>
      </c>
      <c r="BK55" s="66">
        <v>100</v>
      </c>
      <c r="BL55" s="66">
        <v>110</v>
      </c>
      <c r="BM55" s="66">
        <v>110</v>
      </c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5"/>
      <c r="EG55" s="25">
        <v>437</v>
      </c>
      <c r="EH55" s="25">
        <v>451</v>
      </c>
      <c r="EI55" s="25">
        <v>437</v>
      </c>
      <c r="EJ55" s="25">
        <f t="shared" ref="EJ55:EJ61" si="69">SUM(AX55:BA55)</f>
        <v>457</v>
      </c>
      <c r="EK55" s="25">
        <f t="shared" ref="EK55:EK61" si="70">SUM(BB55:BE55)</f>
        <v>500</v>
      </c>
      <c r="EL55" s="25">
        <f>SUM(K55:L55)</f>
        <v>498</v>
      </c>
      <c r="EM55" s="25">
        <f>SUM(M55:N55)</f>
        <v>425</v>
      </c>
      <c r="EN55" s="25"/>
      <c r="EO55" s="25"/>
      <c r="EQ55" s="25">
        <f t="shared" si="68"/>
        <v>0</v>
      </c>
      <c r="ER55" s="25">
        <f t="shared" si="39"/>
        <v>0</v>
      </c>
      <c r="ES55" s="25">
        <f t="shared" si="40"/>
        <v>0</v>
      </c>
      <c r="FA55" s="46"/>
      <c r="FB55" s="111"/>
      <c r="FC55" s="54">
        <f t="shared" si="24"/>
        <v>0</v>
      </c>
      <c r="FD55" s="25"/>
      <c r="FE55" s="25"/>
      <c r="FF55" s="25"/>
      <c r="FG55" s="25"/>
      <c r="FH55" s="25"/>
      <c r="FI55" s="25"/>
      <c r="FJ55" s="25"/>
      <c r="FK55" s="25"/>
      <c r="FL55" s="25"/>
      <c r="FM55" s="25"/>
    </row>
    <row r="56" spans="2:169" s="26" customFormat="1" hidden="1" x14ac:dyDescent="0.2">
      <c r="B56" s="3" t="s">
        <v>36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31</v>
      </c>
      <c r="AY56" s="66">
        <v>47</v>
      </c>
      <c r="AZ56" s="66">
        <v>43</v>
      </c>
      <c r="BA56" s="66">
        <v>47</v>
      </c>
      <c r="BB56" s="66">
        <v>50</v>
      </c>
      <c r="BC56" s="66">
        <v>66</v>
      </c>
      <c r="BD56" s="66">
        <v>62</v>
      </c>
      <c r="BE56" s="66">
        <v>81</v>
      </c>
      <c r="BF56" s="66">
        <v>72</v>
      </c>
      <c r="BG56" s="66">
        <v>71</v>
      </c>
      <c r="BH56" s="66">
        <v>78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5"/>
      <c r="EG56" s="25">
        <v>0</v>
      </c>
      <c r="EH56" s="25">
        <v>0</v>
      </c>
      <c r="EI56" s="25">
        <v>49</v>
      </c>
      <c r="EJ56" s="25">
        <f t="shared" si="69"/>
        <v>168</v>
      </c>
      <c r="EK56" s="25">
        <f t="shared" si="70"/>
        <v>259</v>
      </c>
      <c r="EL56" s="25"/>
      <c r="EM56" s="25"/>
      <c r="EN56" s="25"/>
      <c r="EO56" s="25"/>
      <c r="EP56" s="25"/>
      <c r="EQ56" s="25">
        <f t="shared" si="68"/>
        <v>0</v>
      </c>
      <c r="ER56" s="25">
        <f t="shared" si="39"/>
        <v>0</v>
      </c>
      <c r="ES56" s="25">
        <f t="shared" si="40"/>
        <v>0</v>
      </c>
      <c r="ET56" s="25"/>
      <c r="EU56" s="25"/>
      <c r="EV56" s="25"/>
      <c r="EW56" s="25"/>
      <c r="EX56" s="25"/>
      <c r="EY56" s="25"/>
      <c r="EZ56" s="25"/>
      <c r="FA56" s="46"/>
      <c r="FB56" s="112"/>
      <c r="FC56" s="54">
        <f t="shared" si="24"/>
        <v>0</v>
      </c>
      <c r="FD56" s="99"/>
      <c r="FE56" s="99"/>
      <c r="FF56" s="99"/>
      <c r="FG56" s="99"/>
      <c r="FH56" s="99"/>
      <c r="FI56" s="99"/>
      <c r="FJ56" s="99"/>
      <c r="FK56" s="99"/>
      <c r="FL56" s="99"/>
      <c r="FM56" s="99"/>
    </row>
    <row r="57" spans="2:169" s="26" customFormat="1" hidden="1" x14ac:dyDescent="0.2">
      <c r="B57" s="3" t="s">
        <v>477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>
        <v>7.904642409033876</v>
      </c>
      <c r="AY57" s="66">
        <v>16.813048933500628</v>
      </c>
      <c r="AZ57" s="66">
        <v>23.282308657465496</v>
      </c>
      <c r="BA57" s="66">
        <v>22</v>
      </c>
      <c r="BB57" s="66">
        <v>28</v>
      </c>
      <c r="BC57" s="66">
        <v>31</v>
      </c>
      <c r="BD57" s="66">
        <v>28</v>
      </c>
      <c r="BE57" s="66">
        <v>30</v>
      </c>
      <c r="BF57" s="66">
        <v>31</v>
      </c>
      <c r="BG57" s="66">
        <v>31</v>
      </c>
      <c r="BH57" s="66">
        <v>32</v>
      </c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5"/>
      <c r="EG57" s="25">
        <v>0</v>
      </c>
      <c r="EH57" s="25">
        <v>0</v>
      </c>
      <c r="EI57" s="25">
        <v>3</v>
      </c>
      <c r="EJ57" s="25">
        <f t="shared" si="69"/>
        <v>70</v>
      </c>
      <c r="EK57" s="25">
        <f t="shared" si="70"/>
        <v>117</v>
      </c>
      <c r="EL57" s="25"/>
      <c r="EM57" s="25"/>
      <c r="EN57" s="25"/>
      <c r="EO57" s="25"/>
      <c r="EP57" s="25"/>
      <c r="EQ57" s="25">
        <f t="shared" si="68"/>
        <v>0</v>
      </c>
      <c r="ER57" s="25">
        <f t="shared" si="39"/>
        <v>0</v>
      </c>
      <c r="ES57" s="25">
        <f t="shared" si="40"/>
        <v>0</v>
      </c>
      <c r="ET57" s="25"/>
      <c r="EU57" s="25"/>
      <c r="EV57" s="25"/>
      <c r="EW57" s="25"/>
      <c r="EX57" s="25"/>
      <c r="EY57" s="25"/>
      <c r="EZ57" s="25"/>
      <c r="FA57" s="46"/>
      <c r="FB57" s="16"/>
      <c r="FC57" s="54">
        <f t="shared" si="24"/>
        <v>0</v>
      </c>
      <c r="FD57" s="46"/>
    </row>
    <row r="58" spans="2:169" s="26" customFormat="1" hidden="1" x14ac:dyDescent="0.2">
      <c r="B58" s="3" t="s">
        <v>476</v>
      </c>
      <c r="C58" s="23"/>
      <c r="D58" s="23"/>
      <c r="E58" s="23"/>
      <c r="F58" s="23"/>
      <c r="G58" s="23"/>
      <c r="H58" s="23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104</v>
      </c>
      <c r="AY58" s="66">
        <v>96</v>
      </c>
      <c r="AZ58" s="66">
        <v>86</v>
      </c>
      <c r="BA58" s="66">
        <v>75</v>
      </c>
      <c r="BB58" s="66">
        <v>83</v>
      </c>
      <c r="BC58" s="66">
        <v>84</v>
      </c>
      <c r="BD58" s="66">
        <v>79</v>
      </c>
      <c r="BE58" s="66">
        <v>80</v>
      </c>
      <c r="BF58" s="66">
        <v>81</v>
      </c>
      <c r="BG58" s="66">
        <v>78</v>
      </c>
      <c r="BH58" s="66">
        <v>75</v>
      </c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5"/>
      <c r="EG58" s="25">
        <v>289</v>
      </c>
      <c r="EH58" s="25">
        <v>329</v>
      </c>
      <c r="EI58" s="25">
        <v>392</v>
      </c>
      <c r="EJ58" s="25">
        <f t="shared" si="69"/>
        <v>361</v>
      </c>
      <c r="EK58" s="25">
        <f t="shared" si="70"/>
        <v>326</v>
      </c>
      <c r="EL58" s="25"/>
      <c r="EM58" s="25"/>
      <c r="EN58" s="25"/>
      <c r="EO58" s="25"/>
      <c r="EP58" s="25"/>
      <c r="EQ58" s="25">
        <f t="shared" si="68"/>
        <v>0</v>
      </c>
      <c r="ER58" s="25">
        <f t="shared" si="39"/>
        <v>0</v>
      </c>
      <c r="ES58" s="25">
        <f t="shared" si="40"/>
        <v>0</v>
      </c>
      <c r="ET58" s="25"/>
      <c r="EU58" s="25"/>
      <c r="EV58" s="25"/>
      <c r="EW58" s="25"/>
      <c r="EX58" s="25"/>
      <c r="EY58" s="25"/>
      <c r="EZ58" s="25"/>
      <c r="FA58" s="46"/>
      <c r="FB58" s="16"/>
      <c r="FC58" s="54">
        <f t="shared" si="24"/>
        <v>0</v>
      </c>
      <c r="FD58" s="46"/>
    </row>
    <row r="59" spans="2:169" s="26" customFormat="1" hidden="1" x14ac:dyDescent="0.2">
      <c r="B59" s="3" t="s">
        <v>478</v>
      </c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66">
        <v>0</v>
      </c>
      <c r="AY59" s="66">
        <v>17</v>
      </c>
      <c r="AZ59" s="66">
        <v>6</v>
      </c>
      <c r="BA59" s="66">
        <v>15</v>
      </c>
      <c r="BB59" s="66">
        <v>16</v>
      </c>
      <c r="BC59" s="66">
        <v>25</v>
      </c>
      <c r="BD59" s="66">
        <v>28</v>
      </c>
      <c r="BE59" s="66">
        <v>35</v>
      </c>
      <c r="BF59" s="66">
        <v>27</v>
      </c>
      <c r="BG59" s="66">
        <v>37</v>
      </c>
      <c r="BH59" s="66">
        <v>37</v>
      </c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5"/>
      <c r="EG59" s="25">
        <v>0</v>
      </c>
      <c r="EH59" s="25">
        <v>0</v>
      </c>
      <c r="EI59" s="25">
        <v>0</v>
      </c>
      <c r="EJ59" s="25">
        <f t="shared" si="69"/>
        <v>38</v>
      </c>
      <c r="EK59" s="25">
        <f t="shared" si="70"/>
        <v>104</v>
      </c>
      <c r="EL59" s="25"/>
      <c r="EM59" s="25"/>
      <c r="EN59" s="25"/>
      <c r="EO59" s="25"/>
      <c r="EP59" s="25"/>
      <c r="EQ59" s="25">
        <f t="shared" si="68"/>
        <v>0</v>
      </c>
      <c r="ER59" s="25">
        <f t="shared" si="39"/>
        <v>0</v>
      </c>
      <c r="ES59" s="25">
        <f t="shared" si="40"/>
        <v>0</v>
      </c>
      <c r="ET59" s="25"/>
      <c r="EU59" s="25"/>
      <c r="EV59" s="25"/>
      <c r="EW59" s="25"/>
      <c r="EX59" s="25"/>
      <c r="EY59" s="25"/>
      <c r="EZ59" s="25"/>
      <c r="FA59" s="46"/>
      <c r="FB59" s="16"/>
      <c r="FC59" s="54">
        <f t="shared" si="24"/>
        <v>0</v>
      </c>
      <c r="FD59" s="46"/>
    </row>
    <row r="60" spans="2:169" s="26" customFormat="1" hidden="1" x14ac:dyDescent="0.2">
      <c r="B60" s="3" t="s">
        <v>479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93"/>
      <c r="AX60" s="66">
        <v>11</v>
      </c>
      <c r="AY60" s="66">
        <v>11</v>
      </c>
      <c r="AZ60" s="66">
        <v>11</v>
      </c>
      <c r="BA60" s="66">
        <v>12</v>
      </c>
      <c r="BB60" s="66">
        <v>11</v>
      </c>
      <c r="BC60" s="66">
        <v>15</v>
      </c>
      <c r="BD60" s="66">
        <v>15</v>
      </c>
      <c r="BE60" s="66">
        <v>16</v>
      </c>
      <c r="BF60" s="66">
        <v>13</v>
      </c>
      <c r="BG60" s="66">
        <v>16</v>
      </c>
      <c r="BH60" s="66">
        <v>17</v>
      </c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  <c r="EF60" s="5"/>
      <c r="EG60" s="25">
        <v>0</v>
      </c>
      <c r="EH60" s="25">
        <v>0</v>
      </c>
      <c r="EI60" s="25">
        <v>0</v>
      </c>
      <c r="EJ60" s="25">
        <f t="shared" si="69"/>
        <v>45</v>
      </c>
      <c r="EK60" s="25">
        <f t="shared" si="70"/>
        <v>57</v>
      </c>
      <c r="EL60" s="25"/>
      <c r="EM60" s="25"/>
      <c r="EN60" s="25"/>
      <c r="EO60" s="25"/>
      <c r="EP60" s="25"/>
      <c r="EQ60" s="25">
        <f t="shared" si="68"/>
        <v>0</v>
      </c>
      <c r="ER60" s="25">
        <f t="shared" si="39"/>
        <v>0</v>
      </c>
      <c r="ES60" s="25">
        <f t="shared" si="40"/>
        <v>0</v>
      </c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f t="shared" si="24"/>
        <v>0</v>
      </c>
      <c r="FD60" s="46"/>
    </row>
    <row r="61" spans="2:169" s="26" customFormat="1" hidden="1" x14ac:dyDescent="0.2">
      <c r="B61" s="3" t="s">
        <v>35</v>
      </c>
      <c r="C61" s="23"/>
      <c r="D61" s="23"/>
      <c r="E61" s="23"/>
      <c r="F61" s="23"/>
      <c r="G61" s="23"/>
      <c r="H61" s="2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93"/>
      <c r="AX61" s="66">
        <v>102</v>
      </c>
      <c r="AY61" s="66">
        <v>95</v>
      </c>
      <c r="AZ61" s="66">
        <v>99</v>
      </c>
      <c r="BA61" s="66">
        <v>87</v>
      </c>
      <c r="BB61" s="66">
        <v>104</v>
      </c>
      <c r="BC61" s="66">
        <v>109</v>
      </c>
      <c r="BD61" s="66">
        <v>107</v>
      </c>
      <c r="BE61" s="66">
        <v>87</v>
      </c>
      <c r="BF61" s="66">
        <v>60</v>
      </c>
      <c r="BG61" s="66">
        <v>57</v>
      </c>
      <c r="BH61" s="66">
        <v>53</v>
      </c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5"/>
      <c r="EG61" s="25">
        <v>0</v>
      </c>
      <c r="EH61" s="25">
        <v>0</v>
      </c>
      <c r="EI61" s="25">
        <v>223</v>
      </c>
      <c r="EJ61" s="25">
        <f t="shared" si="69"/>
        <v>383</v>
      </c>
      <c r="EK61" s="25">
        <f t="shared" si="70"/>
        <v>407</v>
      </c>
      <c r="EL61" s="25"/>
      <c r="EM61" s="25"/>
      <c r="EN61" s="25"/>
      <c r="EO61" s="25"/>
      <c r="EP61" s="25"/>
      <c r="EQ61" s="25">
        <f t="shared" si="68"/>
        <v>0</v>
      </c>
      <c r="ER61" s="25">
        <f t="shared" si="39"/>
        <v>0</v>
      </c>
      <c r="ES61" s="25">
        <f t="shared" si="40"/>
        <v>0</v>
      </c>
      <c r="ET61" s="25"/>
      <c r="EU61" s="25"/>
      <c r="EV61" s="25"/>
      <c r="EW61" s="25"/>
      <c r="EX61" s="25"/>
      <c r="EY61" s="25"/>
      <c r="EZ61" s="25"/>
      <c r="FA61" s="46"/>
      <c r="FB61" s="16"/>
      <c r="FC61" s="54">
        <f t="shared" si="24"/>
        <v>0</v>
      </c>
      <c r="FD61" s="46"/>
    </row>
    <row r="62" spans="2:169" s="26" customFormat="1" x14ac:dyDescent="0.2">
      <c r="B62" s="3" t="s">
        <v>720</v>
      </c>
      <c r="C62" s="23"/>
      <c r="D62" s="23"/>
      <c r="E62" s="23"/>
      <c r="F62" s="23"/>
      <c r="G62" s="23"/>
      <c r="H62" s="23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>
        <v>31</v>
      </c>
      <c r="W62" s="25"/>
      <c r="X62" s="25"/>
      <c r="Y62" s="25"/>
      <c r="Z62" s="25"/>
      <c r="AA62" s="25">
        <v>155</v>
      </c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93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>
        <v>32</v>
      </c>
      <c r="CE62" s="66">
        <v>60</v>
      </c>
      <c r="CF62" s="66">
        <v>65</v>
      </c>
      <c r="CG62" s="66">
        <v>77</v>
      </c>
      <c r="CH62" s="66">
        <v>84</v>
      </c>
      <c r="CI62" s="66">
        <v>87</v>
      </c>
      <c r="CJ62" s="66">
        <v>89</v>
      </c>
      <c r="CK62" s="66">
        <v>94</v>
      </c>
      <c r="CL62" s="66">
        <v>79</v>
      </c>
      <c r="CM62" s="66">
        <v>76</v>
      </c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>
        <f t="shared" si="39"/>
        <v>234</v>
      </c>
      <c r="ES62" s="25">
        <f t="shared" si="40"/>
        <v>354</v>
      </c>
      <c r="ET62" s="25">
        <f>+ES62*1.1</f>
        <v>389.40000000000003</v>
      </c>
      <c r="EU62" s="25">
        <f t="shared" ref="EU62:EX62" si="71">+ET62*1.1</f>
        <v>428.34000000000009</v>
      </c>
      <c r="EV62" s="25">
        <f t="shared" si="71"/>
        <v>471.17400000000015</v>
      </c>
      <c r="EW62" s="25">
        <f t="shared" si="71"/>
        <v>518.29140000000018</v>
      </c>
      <c r="EX62" s="25">
        <f t="shared" si="71"/>
        <v>570.12054000000023</v>
      </c>
      <c r="EY62" s="25"/>
      <c r="EZ62" s="25"/>
      <c r="FA62" s="46"/>
      <c r="FB62" s="16"/>
      <c r="FC62" s="54"/>
      <c r="FD62" s="46"/>
    </row>
    <row r="63" spans="2:169" s="26" customFormat="1" x14ac:dyDescent="0.2">
      <c r="B63" s="15" t="s">
        <v>37</v>
      </c>
      <c r="C63" s="23"/>
      <c r="D63" s="23"/>
      <c r="E63" s="23"/>
      <c r="F63" s="23"/>
      <c r="G63" s="23"/>
      <c r="H63" s="23"/>
      <c r="I63" s="25">
        <v>614</v>
      </c>
      <c r="J63" s="25">
        <f>927-I63</f>
        <v>313</v>
      </c>
      <c r="K63" s="25">
        <v>216</v>
      </c>
      <c r="L63" s="25">
        <f>416-K63</f>
        <v>200</v>
      </c>
      <c r="M63" s="25">
        <v>204</v>
      </c>
      <c r="N63" s="25">
        <f>399-M63</f>
        <v>195</v>
      </c>
      <c r="O63" s="25">
        <v>176</v>
      </c>
      <c r="P63" s="25">
        <f>SUM(BP63:BQ63)</f>
        <v>168</v>
      </c>
      <c r="Q63" s="25">
        <f>SUM(BR63:BS63)</f>
        <v>164</v>
      </c>
      <c r="R63" s="25">
        <f>BT63+BU63</f>
        <v>143</v>
      </c>
      <c r="S63" s="25">
        <v>165</v>
      </c>
      <c r="T63" s="25">
        <f>+BY63+BX63</f>
        <v>146</v>
      </c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93"/>
      <c r="AX63" s="66">
        <v>369</v>
      </c>
      <c r="AY63" s="66">
        <v>305</v>
      </c>
      <c r="AZ63" s="66">
        <v>307</v>
      </c>
      <c r="BA63" s="66">
        <v>321</v>
      </c>
      <c r="BB63" s="66">
        <v>330</v>
      </c>
      <c r="BC63" s="66">
        <v>284</v>
      </c>
      <c r="BD63" s="66">
        <v>152</v>
      </c>
      <c r="BE63" s="66">
        <v>161</v>
      </c>
      <c r="BF63" s="66">
        <v>110</v>
      </c>
      <c r="BG63" s="66">
        <v>106</v>
      </c>
      <c r="BH63" s="66">
        <v>96</v>
      </c>
      <c r="BI63" s="66">
        <v>104</v>
      </c>
      <c r="BJ63" s="66">
        <v>100</v>
      </c>
      <c r="BK63" s="66">
        <v>104</v>
      </c>
      <c r="BL63" s="66">
        <v>95</v>
      </c>
      <c r="BM63" s="66">
        <v>100</v>
      </c>
      <c r="BN63" s="66">
        <v>91</v>
      </c>
      <c r="BO63" s="66">
        <v>85</v>
      </c>
      <c r="BP63" s="66">
        <v>76</v>
      </c>
      <c r="BQ63" s="66">
        <v>92</v>
      </c>
      <c r="BR63" s="66">
        <v>77</v>
      </c>
      <c r="BS63" s="66">
        <v>87</v>
      </c>
      <c r="BT63" s="66">
        <v>73</v>
      </c>
      <c r="BU63" s="66">
        <v>70</v>
      </c>
      <c r="BV63" s="66">
        <v>82</v>
      </c>
      <c r="BW63" s="66">
        <f>+S63-BV63</f>
        <v>83</v>
      </c>
      <c r="BX63" s="66">
        <f>242-BW63-BV63</f>
        <v>77</v>
      </c>
      <c r="BY63" s="66">
        <v>69</v>
      </c>
      <c r="BZ63" s="66"/>
      <c r="CA63" s="66"/>
      <c r="CB63" s="66"/>
      <c r="CC63" s="66"/>
      <c r="CD63" s="66">
        <v>73</v>
      </c>
      <c r="CE63" s="66">
        <v>60</v>
      </c>
      <c r="CF63" s="66">
        <v>65</v>
      </c>
      <c r="CG63" s="66">
        <v>68</v>
      </c>
      <c r="CH63" s="66">
        <v>68</v>
      </c>
      <c r="CI63" s="66">
        <v>70</v>
      </c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66"/>
      <c r="ED63" s="66"/>
      <c r="EE63" s="66"/>
      <c r="EF63" s="5"/>
      <c r="EG63" s="25">
        <v>1755</v>
      </c>
      <c r="EH63" s="25">
        <v>1548</v>
      </c>
      <c r="EI63" s="25">
        <v>1375</v>
      </c>
      <c r="EJ63" s="25">
        <f>SUM(AX63:BA63)</f>
        <v>1302</v>
      </c>
      <c r="EK63" s="25">
        <f>SUM(BB63:BE63)</f>
        <v>927</v>
      </c>
      <c r="EL63" s="25">
        <f>SUM(K63:L63)</f>
        <v>416</v>
      </c>
      <c r="EM63" s="25">
        <f>SUM(M63:N63)</f>
        <v>399</v>
      </c>
      <c r="EN63" s="25">
        <f>SUM(BN63:BQ63)</f>
        <v>344</v>
      </c>
      <c r="EO63" s="25">
        <f>SUM(BR63:BU63)</f>
        <v>307</v>
      </c>
      <c r="EP63" s="25">
        <f>SUM(BV63:BY63)</f>
        <v>311</v>
      </c>
      <c r="EQ63" s="25"/>
      <c r="ER63" s="25">
        <f t="shared" si="39"/>
        <v>266</v>
      </c>
      <c r="ES63" s="25">
        <f t="shared" si="40"/>
        <v>138</v>
      </c>
      <c r="ET63" s="25"/>
      <c r="EU63" s="25"/>
      <c r="EV63" s="25"/>
      <c r="EW63" s="25"/>
      <c r="EX63" s="25"/>
      <c r="EY63" s="25"/>
      <c r="EZ63" s="25">
        <v>252</v>
      </c>
      <c r="FA63" s="25">
        <v>244</v>
      </c>
      <c r="FB63" s="16"/>
      <c r="FC63" s="54"/>
      <c r="FD63" s="46"/>
    </row>
    <row r="64" spans="2:169" s="26" customFormat="1" x14ac:dyDescent="0.2">
      <c r="B64" s="3"/>
      <c r="C64" s="23"/>
      <c r="D64" s="23"/>
      <c r="E64" s="23"/>
      <c r="F64" s="23"/>
      <c r="G64" s="23"/>
      <c r="H64" s="23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66"/>
      <c r="ED64" s="66"/>
      <c r="EE64" s="66"/>
      <c r="EF64" s="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>
        <v>300</v>
      </c>
      <c r="EU64" s="25">
        <v>400</v>
      </c>
      <c r="EV64" s="25">
        <v>500</v>
      </c>
      <c r="EW64" s="25">
        <v>600</v>
      </c>
      <c r="EX64" s="25">
        <v>600</v>
      </c>
      <c r="EY64" s="25">
        <v>600</v>
      </c>
      <c r="EZ64" s="25"/>
      <c r="FA64" s="46"/>
      <c r="FB64" s="16"/>
      <c r="FC64" s="54"/>
      <c r="FD64" s="46"/>
    </row>
    <row r="65" spans="2:162" s="26" customFormat="1" x14ac:dyDescent="0.2">
      <c r="B65" s="3" t="s">
        <v>339</v>
      </c>
      <c r="C65" s="23"/>
      <c r="D65" s="23"/>
      <c r="E65" s="23"/>
      <c r="F65" s="23"/>
      <c r="G65" s="23"/>
      <c r="H65" s="23"/>
      <c r="I65" s="25"/>
      <c r="J65" s="25"/>
      <c r="K65" s="25"/>
      <c r="L65" s="25"/>
      <c r="M65" s="25"/>
      <c r="N65" s="25"/>
      <c r="O65" s="25"/>
      <c r="P65" s="25"/>
      <c r="Q65" s="68">
        <f>Q8+Q4+Q5-SUM(Q22:Q52)</f>
        <v>8792</v>
      </c>
      <c r="R65" s="68">
        <f>R8+R4+R5-SUM(R22:R52)</f>
        <v>6342</v>
      </c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93"/>
      <c r="AX65" s="66">
        <v>1354</v>
      </c>
      <c r="AY65" s="66">
        <v>1389</v>
      </c>
      <c r="AZ65" s="66">
        <v>1247</v>
      </c>
      <c r="BA65" s="66">
        <v>1287</v>
      </c>
      <c r="BB65" s="66">
        <v>1332</v>
      </c>
      <c r="BC65" s="66">
        <v>1387.7282626022334</v>
      </c>
      <c r="BD65" s="66">
        <v>1301.2717373977657</v>
      </c>
      <c r="BE65" s="66">
        <v>1442</v>
      </c>
      <c r="BF65" s="66">
        <v>1278</v>
      </c>
      <c r="BG65" s="66">
        <v>1338</v>
      </c>
      <c r="BH65" s="66">
        <v>1286.2578675886843</v>
      </c>
      <c r="BI65" s="66">
        <v>1242.1465217449652</v>
      </c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25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>
        <v>787</v>
      </c>
      <c r="DS65" s="66"/>
      <c r="DT65" s="66"/>
      <c r="DU65" s="66"/>
      <c r="DV65" s="66"/>
      <c r="DW65" s="66"/>
      <c r="DX65" s="66"/>
      <c r="DY65" s="66"/>
      <c r="DZ65" s="66">
        <v>779</v>
      </c>
      <c r="EA65" s="66"/>
      <c r="EB65" s="66"/>
      <c r="EC65" s="66"/>
      <c r="ED65" s="66"/>
      <c r="EE65" s="66"/>
      <c r="EF65" s="5"/>
      <c r="EG65" s="25">
        <v>7640</v>
      </c>
      <c r="EH65" s="25">
        <v>6710</v>
      </c>
      <c r="EI65" s="25">
        <v>6004</v>
      </c>
      <c r="EJ65" s="25">
        <f>SUM(AX65:BA65)</f>
        <v>5277</v>
      </c>
      <c r="EK65" s="25">
        <f>SUM(BB65:BE65)</f>
        <v>5462.9999999999991</v>
      </c>
      <c r="EL65" s="25">
        <f>SUM(BF65:BI65)</f>
        <v>5144.4043893336493</v>
      </c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46"/>
      <c r="FB65" s="16"/>
      <c r="FC65" s="54">
        <v>2770</v>
      </c>
      <c r="FD65" s="46"/>
    </row>
    <row r="66" spans="2:162" s="26" customFormat="1" x14ac:dyDescent="0.2">
      <c r="B66" s="3" t="s">
        <v>18</v>
      </c>
      <c r="C66" s="23"/>
      <c r="D66" s="23"/>
      <c r="E66" s="23"/>
      <c r="F66" s="23"/>
      <c r="G66" s="23"/>
      <c r="H66" s="23"/>
      <c r="I66" s="27">
        <f t="shared" ref="I66:P66" si="72">I8+I4+I5-SUM(I22:I52)</f>
        <v>7606</v>
      </c>
      <c r="J66" s="27">
        <f t="shared" si="72"/>
        <v>7873</v>
      </c>
      <c r="K66" s="27">
        <f t="shared" si="72"/>
        <v>8448</v>
      </c>
      <c r="L66" s="27">
        <f t="shared" si="72"/>
        <v>8812</v>
      </c>
      <c r="M66" s="27">
        <f t="shared" si="72"/>
        <v>9113</v>
      </c>
      <c r="N66" s="27">
        <f t="shared" si="72"/>
        <v>9363</v>
      </c>
      <c r="O66" s="27">
        <f t="shared" si="72"/>
        <v>8582</v>
      </c>
      <c r="P66" s="27">
        <f t="shared" si="72"/>
        <v>9042</v>
      </c>
      <c r="Q66" s="46"/>
      <c r="R66" s="27"/>
      <c r="S66" s="27">
        <f>+BV66+BW66</f>
        <v>8893</v>
      </c>
      <c r="T66" s="27">
        <f>+BY66+BX66</f>
        <v>8280</v>
      </c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25">
        <f t="shared" ref="BH66:BT66" si="73">BH4+BH5+BH8-SUM(BH22:BH52)</f>
        <v>4080.910722056241</v>
      </c>
      <c r="BI66" s="25">
        <f t="shared" si="73"/>
        <v>4365.2622756988276</v>
      </c>
      <c r="BJ66" s="25">
        <f t="shared" si="73"/>
        <v>4394</v>
      </c>
      <c r="BK66" s="25">
        <f t="shared" si="73"/>
        <v>4567</v>
      </c>
      <c r="BL66" s="25">
        <f t="shared" si="73"/>
        <v>4474</v>
      </c>
      <c r="BM66" s="25">
        <f t="shared" si="73"/>
        <v>4730</v>
      </c>
      <c r="BN66" s="25">
        <f t="shared" si="73"/>
        <v>4244</v>
      </c>
      <c r="BO66" s="25">
        <f t="shared" si="73"/>
        <v>4335</v>
      </c>
      <c r="BP66" s="25">
        <f t="shared" si="73"/>
        <v>4395</v>
      </c>
      <c r="BQ66" s="25">
        <f t="shared" si="73"/>
        <v>4647</v>
      </c>
      <c r="BR66" s="25">
        <f t="shared" si="73"/>
        <v>4259</v>
      </c>
      <c r="BS66" s="25">
        <f t="shared" si="73"/>
        <v>4533</v>
      </c>
      <c r="BT66" s="25">
        <f t="shared" si="73"/>
        <v>4303</v>
      </c>
      <c r="BU66" s="25">
        <f t="shared" ref="BU66:CC66" si="74">BU4+BU5+BU7+BU8-SUM(BU22:BU65)</f>
        <v>4117</v>
      </c>
      <c r="BV66" s="25">
        <f t="shared" si="74"/>
        <v>4386</v>
      </c>
      <c r="BW66" s="25">
        <f t="shared" si="74"/>
        <v>4507</v>
      </c>
      <c r="BX66" s="25">
        <f t="shared" si="74"/>
        <v>4237</v>
      </c>
      <c r="BY66" s="25">
        <f t="shared" si="74"/>
        <v>4043</v>
      </c>
      <c r="BZ66" s="25">
        <f t="shared" si="74"/>
        <v>4217</v>
      </c>
      <c r="CA66" s="25">
        <f t="shared" si="74"/>
        <v>4087</v>
      </c>
      <c r="CB66" s="25">
        <f t="shared" si="74"/>
        <v>3723</v>
      </c>
      <c r="CC66" s="25">
        <f t="shared" si="74"/>
        <v>4220</v>
      </c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5"/>
      <c r="EG66" s="25"/>
      <c r="EH66" s="25"/>
      <c r="EI66" s="25"/>
      <c r="EJ66" s="25"/>
      <c r="EK66" s="25"/>
      <c r="EL66" s="25">
        <f>SUM(K66:L66)</f>
        <v>17260</v>
      </c>
      <c r="EM66" s="25">
        <f>SUM(M66:N66)</f>
        <v>18476</v>
      </c>
      <c r="EN66" s="25">
        <f>SUM(BN66:BQ66)</f>
        <v>17621</v>
      </c>
      <c r="EO66" s="25">
        <f>SUM(BR66:BU66)</f>
        <v>17212</v>
      </c>
      <c r="EP66" s="25">
        <f>SUM(BV66:BY66)</f>
        <v>17173</v>
      </c>
      <c r="EQ66" s="25">
        <f>SUM(BZ66:CC66)</f>
        <v>16247</v>
      </c>
      <c r="ER66" s="25"/>
      <c r="ES66" s="25"/>
      <c r="ET66" s="25">
        <f t="shared" ref="ET66:EY66" si="75">ES66*0.9</f>
        <v>0</v>
      </c>
      <c r="EU66" s="25">
        <f t="shared" si="75"/>
        <v>0</v>
      </c>
      <c r="EV66" s="25">
        <f t="shared" si="75"/>
        <v>0</v>
      </c>
      <c r="EW66" s="25">
        <f t="shared" si="75"/>
        <v>0</v>
      </c>
      <c r="EX66" s="25">
        <f t="shared" si="75"/>
        <v>0</v>
      </c>
      <c r="EY66" s="25">
        <f t="shared" si="75"/>
        <v>0</v>
      </c>
      <c r="EZ66" s="25">
        <f>464+93+195+337+1758</f>
        <v>2847</v>
      </c>
      <c r="FA66" s="25">
        <f>1576+2+294+224+106+382</f>
        <v>2584</v>
      </c>
      <c r="FB66" s="20"/>
      <c r="FC66" s="54"/>
      <c r="FD66" s="46"/>
      <c r="FF66" s="97"/>
    </row>
    <row r="67" spans="2:162" s="17" customFormat="1" x14ac:dyDescent="0.2">
      <c r="B67" s="17" t="s">
        <v>63</v>
      </c>
      <c r="C67" s="69">
        <v>12810</v>
      </c>
      <c r="D67" s="69">
        <v>14380</v>
      </c>
      <c r="E67" s="27">
        <v>14526</v>
      </c>
      <c r="F67" s="27">
        <v>14996</v>
      </c>
      <c r="G67" s="27"/>
      <c r="H67" s="27"/>
      <c r="I67" s="27">
        <f t="shared" ref="I67:Q67" si="76">+I4+I5+I6+I8</f>
        <v>16622</v>
      </c>
      <c r="J67" s="27">
        <f t="shared" si="76"/>
        <v>18889</v>
      </c>
      <c r="K67" s="27">
        <f t="shared" si="76"/>
        <v>19849</v>
      </c>
      <c r="L67" s="27">
        <f t="shared" si="76"/>
        <v>22192</v>
      </c>
      <c r="M67" s="27">
        <f t="shared" si="76"/>
        <v>22827</v>
      </c>
      <c r="N67" s="27">
        <f t="shared" si="76"/>
        <v>23306</v>
      </c>
      <c r="O67" s="27">
        <f t="shared" si="76"/>
        <v>22004</v>
      </c>
      <c r="P67" s="27">
        <f t="shared" si="76"/>
        <v>23613</v>
      </c>
      <c r="Q67" s="27">
        <f t="shared" si="76"/>
        <v>24006</v>
      </c>
      <c r="R67" s="27">
        <f>R6+R3</f>
        <v>25216</v>
      </c>
      <c r="S67" s="27">
        <f>SUM(S22:S66)+S6</f>
        <v>24636</v>
      </c>
      <c r="T67" s="27">
        <f>SUM(T22:T66)+T6</f>
        <v>22767</v>
      </c>
      <c r="U67" s="27">
        <f>SUM(U22:U66)+U6</f>
        <v>13367</v>
      </c>
      <c r="V67" s="27">
        <f>SUM(V22:V66)+V6</f>
        <v>12948</v>
      </c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48"/>
      <c r="AX67" s="48"/>
      <c r="AY67" s="24"/>
      <c r="AZ67" s="24"/>
      <c r="BA67" s="24"/>
      <c r="BB67" s="24"/>
      <c r="BC67" s="24"/>
      <c r="BD67" s="24"/>
      <c r="BE67" s="24"/>
      <c r="BF67" s="24"/>
      <c r="BG67" s="24"/>
      <c r="BH67" s="27">
        <f t="shared" ref="BH67:BU67" si="77">SUM(BH22:BH66)+BH6</f>
        <v>12262.168589644925</v>
      </c>
      <c r="BI67" s="27">
        <f t="shared" si="77"/>
        <v>13158.408797443793</v>
      </c>
      <c r="BJ67" s="27">
        <f t="shared" si="77"/>
        <v>11726</v>
      </c>
      <c r="BK67" s="27">
        <f t="shared" si="77"/>
        <v>11849</v>
      </c>
      <c r="BL67" s="27">
        <f t="shared" si="77"/>
        <v>11476</v>
      </c>
      <c r="BM67" s="27">
        <f t="shared" si="77"/>
        <v>12538</v>
      </c>
      <c r="BN67" s="27">
        <f t="shared" si="77"/>
        <v>11082</v>
      </c>
      <c r="BO67" s="27">
        <f t="shared" si="77"/>
        <v>11362</v>
      </c>
      <c r="BP67" s="27">
        <f t="shared" si="77"/>
        <v>11503</v>
      </c>
      <c r="BQ67" s="27">
        <f t="shared" si="77"/>
        <v>12516</v>
      </c>
      <c r="BR67" s="27">
        <f t="shared" si="77"/>
        <v>11757</v>
      </c>
      <c r="BS67" s="27">
        <f t="shared" si="77"/>
        <v>12622</v>
      </c>
      <c r="BT67" s="27">
        <f t="shared" si="77"/>
        <v>12564</v>
      </c>
      <c r="BU67" s="27">
        <f t="shared" si="77"/>
        <v>12652</v>
      </c>
      <c r="BV67" s="27">
        <f>SUM(BV22:BV65)+BV6</f>
        <v>7859</v>
      </c>
      <c r="BW67" s="27">
        <f t="shared" ref="BW67:CC67" si="78">SUM(BW22:BW66)+BW6</f>
        <v>12391</v>
      </c>
      <c r="BX67" s="27">
        <f t="shared" si="78"/>
        <v>11491</v>
      </c>
      <c r="BY67" s="27">
        <f t="shared" si="78"/>
        <v>11346</v>
      </c>
      <c r="BZ67" s="27">
        <f t="shared" si="78"/>
        <v>11120</v>
      </c>
      <c r="CA67" s="27">
        <f t="shared" si="78"/>
        <v>10551</v>
      </c>
      <c r="CB67" s="27">
        <f t="shared" si="78"/>
        <v>9821</v>
      </c>
      <c r="CC67" s="27">
        <f t="shared" si="78"/>
        <v>11039</v>
      </c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G67" s="27"/>
      <c r="EH67" s="27">
        <v>26066</v>
      </c>
      <c r="EI67" s="27">
        <v>27190</v>
      </c>
      <c r="EJ67" s="27">
        <v>29522</v>
      </c>
      <c r="EK67" s="27">
        <f>I67+J67</f>
        <v>35511</v>
      </c>
      <c r="EL67" s="27">
        <f>L67+K67</f>
        <v>42041</v>
      </c>
      <c r="EM67" s="27">
        <f>N67+M67</f>
        <v>46133</v>
      </c>
      <c r="EN67" s="27">
        <f>SUM(EN22:EN66,EN6)</f>
        <v>46463</v>
      </c>
      <c r="EO67" s="27">
        <f>SUM(EO22:EO66,EO6)</f>
        <v>49595</v>
      </c>
      <c r="EP67" s="27">
        <f>SUM(EP22:EP66)+EP6</f>
        <v>47326</v>
      </c>
      <c r="EQ67" s="27">
        <f>EQ3+EQ6</f>
        <v>42531</v>
      </c>
      <c r="ER67" s="27">
        <f>SUM(ER22:ER66)+ER6</f>
        <v>17131</v>
      </c>
      <c r="ES67" s="27">
        <v>46780</v>
      </c>
      <c r="ET67" s="27">
        <v>47462</v>
      </c>
      <c r="EU67" s="27">
        <v>47581</v>
      </c>
      <c r="EV67" s="27">
        <v>48149</v>
      </c>
      <c r="EW67" s="27">
        <v>45104</v>
      </c>
      <c r="EX67" s="27">
        <v>46273</v>
      </c>
      <c r="EY67" s="27">
        <v>51837</v>
      </c>
      <c r="EZ67" s="27">
        <f>SUM(EZ9:EZ66)+EZ6</f>
        <v>58323</v>
      </c>
      <c r="FA67" s="27">
        <f>SUM(FA9:FA66)+FA6</f>
        <v>62801</v>
      </c>
      <c r="FB67" s="27">
        <f>SUM(FB9:FB66)+FB6</f>
        <v>60279</v>
      </c>
      <c r="FC67" s="27">
        <f>SUM(FC9:FC66)+FC6</f>
        <v>59169</v>
      </c>
      <c r="FD67" s="48"/>
    </row>
    <row r="68" spans="2:162" x14ac:dyDescent="0.2">
      <c r="B68" s="15" t="s">
        <v>64</v>
      </c>
      <c r="C68" s="70"/>
      <c r="D68" s="70"/>
      <c r="E68" s="25">
        <v>790</v>
      </c>
      <c r="F68" s="25">
        <v>860</v>
      </c>
      <c r="G68" s="70">
        <v>710</v>
      </c>
      <c r="H68" s="25"/>
      <c r="I68" s="25">
        <v>710</v>
      </c>
      <c r="J68" s="25">
        <f>1447-I68</f>
        <v>737</v>
      </c>
      <c r="K68" s="25">
        <v>727</v>
      </c>
      <c r="L68" s="25">
        <f>1466-K68</f>
        <v>739</v>
      </c>
      <c r="M68" s="25">
        <f>1191-492-74-22-2</f>
        <v>601</v>
      </c>
      <c r="N68" s="25">
        <f>2243-M68-259-722-55-5</f>
        <v>601</v>
      </c>
      <c r="O68" s="25">
        <v>1136</v>
      </c>
      <c r="P68" s="25">
        <f>+O68+15</f>
        <v>1151</v>
      </c>
      <c r="Q68" s="25">
        <v>1116</v>
      </c>
      <c r="R68" s="25">
        <f>2100-Q68</f>
        <v>984</v>
      </c>
      <c r="S68" s="25">
        <v>878</v>
      </c>
      <c r="T68" s="25">
        <f>1694-S68</f>
        <v>816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G68" s="25"/>
      <c r="EH68" s="25"/>
      <c r="EI68" s="25"/>
      <c r="EJ68" s="25">
        <v>1570</v>
      </c>
      <c r="EK68" s="25">
        <f>I68+J68</f>
        <v>1447</v>
      </c>
      <c r="EL68" s="25">
        <f>L68+K68</f>
        <v>1466</v>
      </c>
      <c r="EM68" s="25">
        <f>N68+M68</f>
        <v>1202</v>
      </c>
      <c r="EN68" s="25">
        <f>SUM(O68:P68)</f>
        <v>2287</v>
      </c>
      <c r="EO68" s="25">
        <f>SUM(Q68:R68)</f>
        <v>2100</v>
      </c>
      <c r="EP68" s="25">
        <f>T68+S68</f>
        <v>1694</v>
      </c>
      <c r="EQ68" s="25">
        <v>1582</v>
      </c>
      <c r="ER68" s="25">
        <f t="shared" ref="ER68:EY68" si="79">EQ68</f>
        <v>1582</v>
      </c>
      <c r="ES68" s="25">
        <f t="shared" si="79"/>
        <v>1582</v>
      </c>
      <c r="ET68" s="25">
        <f t="shared" si="79"/>
        <v>1582</v>
      </c>
      <c r="EU68" s="25">
        <f t="shared" si="79"/>
        <v>1582</v>
      </c>
      <c r="EV68" s="25">
        <f t="shared" si="79"/>
        <v>1582</v>
      </c>
      <c r="EW68" s="25">
        <f t="shared" si="79"/>
        <v>1582</v>
      </c>
      <c r="EX68" s="25">
        <f t="shared" si="79"/>
        <v>1582</v>
      </c>
      <c r="EY68" s="25">
        <f t="shared" si="79"/>
        <v>1582</v>
      </c>
      <c r="EZ68" s="25">
        <v>2020</v>
      </c>
      <c r="FA68" s="23">
        <v>3049</v>
      </c>
      <c r="FC68" s="23">
        <v>1725</v>
      </c>
    </row>
    <row r="69" spans="2:162" s="17" customFormat="1" x14ac:dyDescent="0.2">
      <c r="B69" s="15" t="s">
        <v>13</v>
      </c>
      <c r="C69" s="25">
        <v>2895</v>
      </c>
      <c r="D69" s="25">
        <v>3202</v>
      </c>
      <c r="E69" s="25">
        <v>3193</v>
      </c>
      <c r="F69" s="25">
        <v>3363</v>
      </c>
      <c r="G69" s="25">
        <v>3760</v>
      </c>
      <c r="H69" s="25">
        <v>3958</v>
      </c>
      <c r="I69" s="25">
        <v>4348</v>
      </c>
      <c r="J69" s="25">
        <f>9304-I69</f>
        <v>4956</v>
      </c>
      <c r="K69" s="25">
        <v>4934</v>
      </c>
      <c r="L69" s="25">
        <f>10616-K69</f>
        <v>5682</v>
      </c>
      <c r="M69" s="25">
        <v>5629</v>
      </c>
      <c r="N69" s="71">
        <f>13743-M69</f>
        <v>8114</v>
      </c>
      <c r="O69" s="25">
        <v>6532</v>
      </c>
      <c r="P69" s="25">
        <f>O69+597</f>
        <v>7129</v>
      </c>
      <c r="Q69" s="25">
        <v>7100</v>
      </c>
      <c r="R69" s="25">
        <f>14615-Q69</f>
        <v>7515</v>
      </c>
      <c r="S69" s="25">
        <v>6870</v>
      </c>
      <c r="T69" s="25">
        <f>13293-S69</f>
        <v>6423</v>
      </c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93"/>
      <c r="AX69" s="93"/>
      <c r="AY69" s="93"/>
      <c r="AZ69" s="93"/>
      <c r="BA69" s="93"/>
      <c r="BB69" s="93"/>
      <c r="BC69" s="93"/>
      <c r="BD69" s="93"/>
      <c r="BE69" s="93"/>
      <c r="BF69" s="93"/>
      <c r="BG69" s="93"/>
      <c r="BH69" s="93"/>
      <c r="BI69" s="93"/>
      <c r="BJ69" s="93"/>
      <c r="BK69" s="93"/>
      <c r="BL69" s="93"/>
      <c r="BM69" s="93"/>
      <c r="BN69" s="93"/>
      <c r="BO69" s="93"/>
      <c r="BP69" s="93"/>
      <c r="BQ69" s="93"/>
      <c r="BR69" s="93"/>
      <c r="BS69" s="93"/>
      <c r="BT69" s="94"/>
      <c r="BU69" s="93"/>
      <c r="BV69" s="93"/>
      <c r="BW69" s="93"/>
      <c r="BX69" s="93"/>
      <c r="BY69" s="93"/>
      <c r="BZ69" s="93"/>
      <c r="CA69" s="93"/>
      <c r="CB69" s="93"/>
      <c r="CC69" s="93"/>
      <c r="CD69" s="93"/>
      <c r="CE69" s="93"/>
      <c r="CF69" s="93"/>
      <c r="CG69" s="93"/>
      <c r="CH69" s="93"/>
      <c r="CI69" s="93"/>
      <c r="CJ69" s="93"/>
      <c r="CK69" s="93"/>
      <c r="CL69" s="93"/>
      <c r="CM69" s="93"/>
      <c r="CN69" s="93"/>
      <c r="CO69" s="93"/>
      <c r="CP69" s="93"/>
      <c r="CQ69" s="93"/>
      <c r="CR69" s="93"/>
      <c r="CS69" s="93"/>
      <c r="CT69" s="93"/>
      <c r="CU69" s="93"/>
      <c r="CV69" s="93"/>
      <c r="CW69" s="93"/>
      <c r="CX69" s="93"/>
      <c r="CY69" s="93"/>
      <c r="CZ69" s="93"/>
      <c r="DA69" s="93"/>
      <c r="DB69" s="93"/>
      <c r="DC69" s="93"/>
      <c r="DD69" s="93"/>
      <c r="DE69" s="93"/>
      <c r="DF69" s="93"/>
      <c r="DG69" s="93"/>
      <c r="DH69" s="93"/>
      <c r="DI69" s="93"/>
      <c r="DJ69" s="93"/>
      <c r="DK69" s="93"/>
      <c r="DL69" s="93"/>
      <c r="DM69" s="93"/>
      <c r="DN69" s="93"/>
      <c r="DO69" s="93"/>
      <c r="DP69" s="93"/>
      <c r="DQ69" s="93"/>
      <c r="DR69" s="93"/>
      <c r="DS69" s="93"/>
      <c r="DT69" s="93"/>
      <c r="DU69" s="93"/>
      <c r="DV69" s="93"/>
      <c r="DW69" s="93"/>
      <c r="DX69" s="93"/>
      <c r="DY69" s="93"/>
      <c r="DZ69" s="93"/>
      <c r="EA69" s="93"/>
      <c r="EB69" s="93"/>
      <c r="EC69" s="93"/>
      <c r="ED69" s="93"/>
      <c r="EE69" s="93"/>
      <c r="EF69" s="5"/>
      <c r="EG69" s="25"/>
      <c r="EH69" s="25">
        <v>5984</v>
      </c>
      <c r="EI69" s="25">
        <v>6097</v>
      </c>
      <c r="EJ69" s="25">
        <v>7718</v>
      </c>
      <c r="EK69" s="25">
        <f>I69+J69</f>
        <v>9304</v>
      </c>
      <c r="EL69" s="25">
        <f>L69+K69</f>
        <v>10616</v>
      </c>
      <c r="EM69" s="25">
        <f>N69+M69</f>
        <v>13743</v>
      </c>
      <c r="EN69" s="25">
        <f>SUM(O69:P69)</f>
        <v>13661</v>
      </c>
      <c r="EO69" s="25">
        <f>SUM(Q69:R69)</f>
        <v>14615</v>
      </c>
      <c r="EP69" s="25">
        <f>T69+S69</f>
        <v>13293</v>
      </c>
      <c r="EQ69" s="25">
        <v>11942</v>
      </c>
      <c r="ER69" s="25">
        <f t="shared" ref="ER69:EY69" si="80">ER67-ER70+ER68</f>
        <v>18713</v>
      </c>
      <c r="ES69" s="25">
        <f t="shared" si="80"/>
        <v>48362</v>
      </c>
      <c r="ET69" s="25">
        <f t="shared" si="80"/>
        <v>49044</v>
      </c>
      <c r="EU69" s="25">
        <f t="shared" si="80"/>
        <v>49163</v>
      </c>
      <c r="EV69" s="25">
        <f t="shared" si="80"/>
        <v>49731</v>
      </c>
      <c r="EW69" s="25">
        <f t="shared" si="80"/>
        <v>46686</v>
      </c>
      <c r="EX69" s="25">
        <f t="shared" si="80"/>
        <v>47855</v>
      </c>
      <c r="EY69" s="25">
        <f t="shared" si="80"/>
        <v>53419</v>
      </c>
      <c r="EZ69" s="25">
        <v>14567</v>
      </c>
      <c r="FA69" s="25">
        <v>18138</v>
      </c>
      <c r="FC69" s="25">
        <v>15251</v>
      </c>
      <c r="FD69" s="48"/>
    </row>
    <row r="70" spans="2:162" s="17" customFormat="1" x14ac:dyDescent="0.2">
      <c r="B70" s="15" t="s">
        <v>0</v>
      </c>
      <c r="C70" s="25">
        <v>9915</v>
      </c>
      <c r="D70" s="25">
        <v>11178</v>
      </c>
      <c r="E70" s="25">
        <v>11333</v>
      </c>
      <c r="F70" s="25">
        <v>11633</v>
      </c>
      <c r="G70" s="25">
        <v>10766</v>
      </c>
      <c r="H70" s="25">
        <v>11038</v>
      </c>
      <c r="I70" s="25">
        <f t="shared" ref="I70:N70" si="81">I67-I69+I68</f>
        <v>12984</v>
      </c>
      <c r="J70" s="25">
        <f t="shared" si="81"/>
        <v>14670</v>
      </c>
      <c r="K70" s="25">
        <f t="shared" si="81"/>
        <v>15642</v>
      </c>
      <c r="L70" s="25">
        <f t="shared" si="81"/>
        <v>17249</v>
      </c>
      <c r="M70" s="25">
        <f>M67-M69+M68</f>
        <v>17799</v>
      </c>
      <c r="N70" s="25">
        <f t="shared" si="81"/>
        <v>15793</v>
      </c>
      <c r="O70" s="25">
        <f t="shared" ref="O70:T70" si="82">O67-O69+O68</f>
        <v>16608</v>
      </c>
      <c r="P70" s="25">
        <f t="shared" si="82"/>
        <v>17635</v>
      </c>
      <c r="Q70" s="25">
        <f t="shared" si="82"/>
        <v>18022</v>
      </c>
      <c r="R70" s="25">
        <f t="shared" si="82"/>
        <v>18685</v>
      </c>
      <c r="S70" s="25">
        <f t="shared" si="82"/>
        <v>18644</v>
      </c>
      <c r="T70" s="25">
        <f t="shared" si="82"/>
        <v>17160</v>
      </c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93"/>
      <c r="AX70" s="93"/>
      <c r="AY70" s="93"/>
      <c r="AZ70" s="93"/>
      <c r="BA70" s="93"/>
      <c r="BB70" s="93"/>
      <c r="BC70" s="93"/>
      <c r="BD70" s="93"/>
      <c r="BE70" s="93"/>
      <c r="BF70" s="93"/>
      <c r="BG70" s="93"/>
      <c r="BH70" s="93"/>
      <c r="BI70" s="93"/>
      <c r="BJ70" s="93"/>
      <c r="BK70" s="93"/>
      <c r="BL70" s="93"/>
      <c r="BM70" s="93"/>
      <c r="BN70" s="93"/>
      <c r="BO70" s="93"/>
      <c r="BP70" s="93"/>
      <c r="BQ70" s="93"/>
      <c r="BR70" s="93"/>
      <c r="BS70" s="93"/>
      <c r="BT70" s="93"/>
      <c r="BU70" s="93"/>
      <c r="BV70" s="93"/>
      <c r="BW70" s="93"/>
      <c r="BX70" s="93"/>
      <c r="BY70" s="93"/>
      <c r="BZ70" s="93"/>
      <c r="CA70" s="93"/>
      <c r="CB70" s="93"/>
      <c r="CC70" s="93"/>
      <c r="CD70" s="93"/>
      <c r="CE70" s="93"/>
      <c r="CF70" s="93"/>
      <c r="CG70" s="93"/>
      <c r="CH70" s="93"/>
      <c r="CI70" s="93"/>
      <c r="CJ70" s="93"/>
      <c r="CK70" s="93"/>
      <c r="CL70" s="93"/>
      <c r="CM70" s="93"/>
      <c r="CN70" s="93"/>
      <c r="CO70" s="93"/>
      <c r="CP70" s="93"/>
      <c r="CQ70" s="93"/>
      <c r="CR70" s="93"/>
      <c r="CS70" s="93"/>
      <c r="CT70" s="93"/>
      <c r="CU70" s="93"/>
      <c r="CV70" s="93"/>
      <c r="CW70" s="93"/>
      <c r="CX70" s="93"/>
      <c r="CY70" s="93"/>
      <c r="CZ70" s="93"/>
      <c r="DA70" s="93"/>
      <c r="DB70" s="93"/>
      <c r="DC70" s="93"/>
      <c r="DD70" s="93"/>
      <c r="DE70" s="93"/>
      <c r="DF70" s="93"/>
      <c r="DG70" s="93"/>
      <c r="DH70" s="93"/>
      <c r="DI70" s="93"/>
      <c r="DJ70" s="93"/>
      <c r="DK70" s="93"/>
      <c r="DL70" s="93"/>
      <c r="DM70" s="93"/>
      <c r="DN70" s="93"/>
      <c r="DO70" s="93"/>
      <c r="DP70" s="93"/>
      <c r="DQ70" s="93"/>
      <c r="DR70" s="93"/>
      <c r="DS70" s="93"/>
      <c r="DT70" s="93"/>
      <c r="DU70" s="93"/>
      <c r="DV70" s="93"/>
      <c r="DW70" s="93"/>
      <c r="DX70" s="93"/>
      <c r="DY70" s="93"/>
      <c r="DZ70" s="93"/>
      <c r="EA70" s="93"/>
      <c r="EB70" s="93"/>
      <c r="EC70" s="93"/>
      <c r="ED70" s="93"/>
      <c r="EE70" s="93"/>
      <c r="EF70" s="5"/>
      <c r="EG70" s="25"/>
      <c r="EH70" s="25">
        <v>20082</v>
      </c>
      <c r="EI70" s="25">
        <v>21093</v>
      </c>
      <c r="EJ70" s="25">
        <v>21804</v>
      </c>
      <c r="EK70" s="25">
        <f t="shared" ref="EK70:EL70" si="83">EK67+EK68-EK69</f>
        <v>27654</v>
      </c>
      <c r="EL70" s="25">
        <f t="shared" si="83"/>
        <v>32891</v>
      </c>
      <c r="EM70" s="25">
        <f>EM67+EM68-EM69</f>
        <v>33592</v>
      </c>
      <c r="EN70" s="25">
        <f>EN67+EN68-EN69</f>
        <v>35089</v>
      </c>
      <c r="EO70" s="25">
        <f>SUM(Q70:R70)</f>
        <v>36707</v>
      </c>
      <c r="EP70" s="25">
        <f>EP67+EP68-EP69</f>
        <v>35727</v>
      </c>
      <c r="EQ70" s="25">
        <f>EQ67+EQ68-EQ69</f>
        <v>32171</v>
      </c>
      <c r="ER70" s="25">
        <f t="shared" ref="ER70:EY70" si="84">ER67*ER89</f>
        <v>0</v>
      </c>
      <c r="ES70" s="25">
        <f t="shared" si="84"/>
        <v>0</v>
      </c>
      <c r="ET70" s="25">
        <f t="shared" si="84"/>
        <v>0</v>
      </c>
      <c r="EU70" s="25">
        <f t="shared" si="84"/>
        <v>0</v>
      </c>
      <c r="EV70" s="25">
        <f t="shared" si="84"/>
        <v>0</v>
      </c>
      <c r="EW70" s="25">
        <f t="shared" si="84"/>
        <v>0</v>
      </c>
      <c r="EX70" s="25">
        <f t="shared" si="84"/>
        <v>0</v>
      </c>
      <c r="EY70" s="25">
        <f t="shared" si="84"/>
        <v>0</v>
      </c>
      <c r="EZ70" s="25">
        <f>EZ67+EZ68-EZ69</f>
        <v>45776</v>
      </c>
      <c r="FA70" s="25">
        <f>FA67+FA68-FA69</f>
        <v>47712</v>
      </c>
      <c r="FC70" s="25">
        <f>FC67+FC68-FC69</f>
        <v>45643</v>
      </c>
      <c r="FD70" s="48"/>
    </row>
    <row r="71" spans="2:162" x14ac:dyDescent="0.2">
      <c r="B71" s="15" t="s">
        <v>186</v>
      </c>
      <c r="C71" s="25">
        <v>3658</v>
      </c>
      <c r="D71" s="25">
        <v>4159</v>
      </c>
      <c r="E71" s="25">
        <v>3983</v>
      </c>
      <c r="F71" s="25">
        <v>4292</v>
      </c>
      <c r="G71" s="25">
        <v>4000</v>
      </c>
      <c r="H71" s="25">
        <v>4338</v>
      </c>
      <c r="I71" s="25">
        <v>4409</v>
      </c>
      <c r="J71" s="25">
        <f>9625-I71</f>
        <v>5216</v>
      </c>
      <c r="K71" s="25">
        <v>5208</v>
      </c>
      <c r="L71" s="25">
        <f>10856-K71</f>
        <v>5648</v>
      </c>
      <c r="M71" s="25">
        <v>5552</v>
      </c>
      <c r="N71" s="71">
        <f>9327-M71</f>
        <v>3775</v>
      </c>
      <c r="O71" s="25">
        <v>4371</v>
      </c>
      <c r="P71" s="25">
        <f>O71+428</f>
        <v>4799</v>
      </c>
      <c r="Q71" s="25">
        <v>4567</v>
      </c>
      <c r="R71" s="25">
        <f>9475-Q71</f>
        <v>4908</v>
      </c>
      <c r="S71" s="25">
        <v>4546</v>
      </c>
      <c r="T71" s="25">
        <f>9488-S71</f>
        <v>4942</v>
      </c>
      <c r="U71" s="25"/>
      <c r="V71" s="25"/>
      <c r="W71" s="25"/>
      <c r="X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EG71" s="25"/>
      <c r="EH71" s="25">
        <v>7859</v>
      </c>
      <c r="EI71" s="25">
        <v>7817</v>
      </c>
      <c r="EJ71" s="25">
        <v>8338</v>
      </c>
      <c r="EK71" s="25">
        <v>9507</v>
      </c>
      <c r="EL71" s="25">
        <f>SUM(K71:L71)</f>
        <v>10856</v>
      </c>
      <c r="EM71" s="25">
        <f>N71+M71</f>
        <v>9327</v>
      </c>
      <c r="EN71" s="25">
        <f>SUM(O71:P71)</f>
        <v>9170</v>
      </c>
      <c r="EO71" s="25">
        <f t="shared" ref="EO71" si="85">SUM(Q71:R71)</f>
        <v>9475</v>
      </c>
      <c r="EP71" s="25">
        <f>T71+S71</f>
        <v>9488</v>
      </c>
      <c r="EQ71" s="25">
        <v>8049</v>
      </c>
      <c r="ER71" s="25">
        <f t="shared" ref="ER71:EY71" si="86">EQ71*0.99</f>
        <v>7968.51</v>
      </c>
      <c r="ES71" s="25">
        <f t="shared" si="86"/>
        <v>7888.8249000000005</v>
      </c>
      <c r="ET71" s="25">
        <f t="shared" si="86"/>
        <v>7809.9366510000009</v>
      </c>
      <c r="EU71" s="25">
        <f t="shared" si="86"/>
        <v>7731.8372844900005</v>
      </c>
      <c r="EV71" s="25">
        <f t="shared" si="86"/>
        <v>7654.5189116451002</v>
      </c>
      <c r="EW71" s="25">
        <f t="shared" si="86"/>
        <v>7577.973722528649</v>
      </c>
      <c r="EX71" s="25">
        <f t="shared" si="86"/>
        <v>7502.1939853033628</v>
      </c>
      <c r="EY71" s="25">
        <f t="shared" si="86"/>
        <v>7427.1720454503293</v>
      </c>
      <c r="EZ71" s="25">
        <v>9361</v>
      </c>
      <c r="FA71" s="25">
        <v>9444</v>
      </c>
      <c r="FC71" s="25"/>
    </row>
    <row r="72" spans="2:162" s="17" customFormat="1" x14ac:dyDescent="0.2">
      <c r="B72" s="15" t="s">
        <v>185</v>
      </c>
      <c r="C72" s="25">
        <v>633</v>
      </c>
      <c r="D72" s="25">
        <v>727</v>
      </c>
      <c r="E72" s="25">
        <v>677</v>
      </c>
      <c r="F72" s="25">
        <v>721</v>
      </c>
      <c r="G72" s="25">
        <v>1059</v>
      </c>
      <c r="H72" s="25">
        <v>1026</v>
      </c>
      <c r="I72" s="25">
        <v>1145</v>
      </c>
      <c r="J72" s="25">
        <f>2288-I72</f>
        <v>1143</v>
      </c>
      <c r="K72" s="25">
        <v>1072</v>
      </c>
      <c r="L72" s="25">
        <f>2542-K72</f>
        <v>1470</v>
      </c>
      <c r="M72" s="25">
        <v>1237</v>
      </c>
      <c r="N72" s="25">
        <f>2453-M72</f>
        <v>1216</v>
      </c>
      <c r="O72" s="25">
        <v>1089</v>
      </c>
      <c r="P72" s="25">
        <f>O72+154</f>
        <v>1243</v>
      </c>
      <c r="Q72" s="25">
        <v>967</v>
      </c>
      <c r="R72" s="25">
        <f>2175-Q72</f>
        <v>1208</v>
      </c>
      <c r="S72" s="25">
        <v>871</v>
      </c>
      <c r="T72" s="25">
        <f>2874-S72</f>
        <v>2003</v>
      </c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93"/>
      <c r="AX72" s="93"/>
      <c r="AY72" s="93"/>
      <c r="AZ72" s="93"/>
      <c r="BA72" s="93"/>
      <c r="BB72" s="93"/>
      <c r="BC72" s="93"/>
      <c r="BD72" s="93"/>
      <c r="BE72" s="93"/>
      <c r="BF72" s="93"/>
      <c r="BG72" s="93"/>
      <c r="BH72" s="93"/>
      <c r="BI72" s="93"/>
      <c r="BJ72" s="93"/>
      <c r="BK72" s="93"/>
      <c r="BL72" s="93"/>
      <c r="BM72" s="93"/>
      <c r="BN72" s="93"/>
      <c r="BO72" s="93"/>
      <c r="BP72" s="93"/>
      <c r="BQ72" s="93"/>
      <c r="BR72" s="93"/>
      <c r="BS72" s="93"/>
      <c r="BT72" s="93"/>
      <c r="BU72" s="93"/>
      <c r="BV72" s="93"/>
      <c r="BW72" s="93"/>
      <c r="BX72" s="93"/>
      <c r="BY72" s="93"/>
      <c r="BZ72" s="93"/>
      <c r="CA72" s="93"/>
      <c r="CB72" s="93"/>
      <c r="CC72" s="93"/>
      <c r="CD72" s="93"/>
      <c r="CE72" s="93"/>
      <c r="CF72" s="93"/>
      <c r="CG72" s="93"/>
      <c r="CH72" s="93"/>
      <c r="CI72" s="93"/>
      <c r="CJ72" s="93"/>
      <c r="CK72" s="93"/>
      <c r="CL72" s="93"/>
      <c r="CM72" s="93"/>
      <c r="CN72" s="93"/>
      <c r="CO72" s="93"/>
      <c r="CP72" s="93"/>
      <c r="CQ72" s="93"/>
      <c r="CR72" s="93"/>
      <c r="CS72" s="93"/>
      <c r="CT72" s="93"/>
      <c r="CU72" s="93"/>
      <c r="CV72" s="93"/>
      <c r="CW72" s="93"/>
      <c r="CX72" s="93"/>
      <c r="CY72" s="93"/>
      <c r="CZ72" s="93"/>
      <c r="DA72" s="93"/>
      <c r="DB72" s="93"/>
      <c r="DC72" s="93"/>
      <c r="DD72" s="93"/>
      <c r="DE72" s="93"/>
      <c r="DF72" s="93"/>
      <c r="DG72" s="93"/>
      <c r="DH72" s="93"/>
      <c r="DI72" s="93"/>
      <c r="DJ72" s="93"/>
      <c r="DK72" s="93"/>
      <c r="DL72" s="93"/>
      <c r="DM72" s="93"/>
      <c r="DN72" s="93"/>
      <c r="DO72" s="93"/>
      <c r="DP72" s="93"/>
      <c r="DQ72" s="93"/>
      <c r="DR72" s="93"/>
      <c r="DS72" s="93"/>
      <c r="DT72" s="93"/>
      <c r="DU72" s="93"/>
      <c r="DV72" s="93"/>
      <c r="DW72" s="93"/>
      <c r="DX72" s="93"/>
      <c r="DY72" s="93"/>
      <c r="DZ72" s="93"/>
      <c r="EA72" s="93"/>
      <c r="EB72" s="93"/>
      <c r="EC72" s="93"/>
      <c r="ED72" s="93"/>
      <c r="EE72" s="93"/>
      <c r="EF72" s="5"/>
      <c r="EG72" s="25"/>
      <c r="EH72" s="25">
        <v>1193</v>
      </c>
      <c r="EI72" s="25">
        <v>1360</v>
      </c>
      <c r="EJ72" s="25">
        <v>2085</v>
      </c>
      <c r="EK72" s="25">
        <v>2309</v>
      </c>
      <c r="EL72" s="25">
        <f>SUM(K72:L72)</f>
        <v>2542</v>
      </c>
      <c r="EM72" s="25">
        <f>N72+M72</f>
        <v>2453</v>
      </c>
      <c r="EN72" s="25">
        <f>SUM(O72:P72)</f>
        <v>2332</v>
      </c>
      <c r="EO72" s="25">
        <f t="shared" ref="EO72" si="87">SUM(Q72:R72)</f>
        <v>2175</v>
      </c>
      <c r="EP72" s="25">
        <f>T72+S72</f>
        <v>2874</v>
      </c>
      <c r="EQ72" s="25">
        <v>2342</v>
      </c>
      <c r="ER72" s="25">
        <f t="shared" ref="ER72:EY72" si="88">EQ72*0.99</f>
        <v>2318.58</v>
      </c>
      <c r="ES72" s="25">
        <f t="shared" si="88"/>
        <v>2295.3941999999997</v>
      </c>
      <c r="ET72" s="25">
        <f t="shared" si="88"/>
        <v>2272.4402579999996</v>
      </c>
      <c r="EU72" s="25">
        <f t="shared" si="88"/>
        <v>2249.7158554199996</v>
      </c>
      <c r="EV72" s="25">
        <f t="shared" si="88"/>
        <v>2227.2186968657998</v>
      </c>
      <c r="EW72" s="25">
        <f t="shared" si="88"/>
        <v>2204.9465098971418</v>
      </c>
      <c r="EX72" s="25">
        <f t="shared" si="88"/>
        <v>2182.8970447981706</v>
      </c>
      <c r="EY72" s="25">
        <f t="shared" si="88"/>
        <v>2161.0680743501889</v>
      </c>
      <c r="EZ72" s="25">
        <v>2726</v>
      </c>
      <c r="FA72" s="25">
        <v>2663</v>
      </c>
      <c r="FC72" s="25">
        <v>13518</v>
      </c>
      <c r="FD72" s="48"/>
    </row>
    <row r="73" spans="2:162" x14ac:dyDescent="0.2">
      <c r="B73" s="15" t="s">
        <v>1</v>
      </c>
      <c r="C73" s="25">
        <v>2173</v>
      </c>
      <c r="D73" s="25">
        <v>2451</v>
      </c>
      <c r="E73" s="25">
        <v>2333</v>
      </c>
      <c r="F73" s="25">
        <v>2720</v>
      </c>
      <c r="G73" s="25">
        <v>2361</v>
      </c>
      <c r="H73" s="25">
        <v>2793</v>
      </c>
      <c r="I73" s="25">
        <v>2559</v>
      </c>
      <c r="J73" s="25">
        <f>5705-I73</f>
        <v>3146</v>
      </c>
      <c r="K73" s="72">
        <v>3063</v>
      </c>
      <c r="L73" s="72">
        <f>6589-K73</f>
        <v>3526</v>
      </c>
      <c r="M73" s="25">
        <v>3635</v>
      </c>
      <c r="N73" s="25">
        <f>8385-M73</f>
        <v>4750</v>
      </c>
      <c r="O73" s="25">
        <v>4107</v>
      </c>
      <c r="P73" s="25">
        <f>8845-O73</f>
        <v>4738</v>
      </c>
      <c r="Q73" s="25">
        <v>4518</v>
      </c>
      <c r="R73" s="25">
        <f>9874-Q73</f>
        <v>5356</v>
      </c>
      <c r="S73" s="25">
        <v>4471</v>
      </c>
      <c r="T73" s="25">
        <f>10026-S73</f>
        <v>5555</v>
      </c>
      <c r="U73" s="25"/>
      <c r="V73" s="25"/>
      <c r="W73" s="25"/>
      <c r="X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EG73" s="25"/>
      <c r="EH73" s="25">
        <v>4132</v>
      </c>
      <c r="EI73" s="25">
        <v>4624</v>
      </c>
      <c r="EJ73" s="25">
        <v>5154</v>
      </c>
      <c r="EK73" s="25">
        <f>I73+J73</f>
        <v>5705</v>
      </c>
      <c r="EL73" s="25">
        <f>L73+K73</f>
        <v>6589</v>
      </c>
      <c r="EM73" s="25">
        <f>N73+M73</f>
        <v>8385</v>
      </c>
      <c r="EN73" s="25">
        <f>SUM(O73:P73)</f>
        <v>8845</v>
      </c>
      <c r="EO73" s="25">
        <f t="shared" ref="EO73" si="89">SUM(Q73:R73)</f>
        <v>9874</v>
      </c>
      <c r="EP73" s="25">
        <f>T73+S73</f>
        <v>10026</v>
      </c>
      <c r="EQ73" s="25">
        <v>8326</v>
      </c>
      <c r="ER73" s="25"/>
      <c r="ES73" s="25"/>
      <c r="ET73" s="25"/>
      <c r="EU73" s="25"/>
      <c r="EV73" s="25"/>
      <c r="EW73" s="25"/>
      <c r="EX73" s="25"/>
      <c r="EY73" s="25"/>
      <c r="EZ73" s="25">
        <v>12153</v>
      </c>
      <c r="FA73" s="23">
        <v>13708</v>
      </c>
      <c r="FC73" s="23">
        <v>15251</v>
      </c>
    </row>
    <row r="74" spans="2:162" x14ac:dyDescent="0.2">
      <c r="B74" s="15" t="s">
        <v>183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>
        <f>736+472+2</f>
        <v>1210</v>
      </c>
      <c r="N74" s="25">
        <f>1560+976+6+58-M74</f>
        <v>1390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EG74" s="25"/>
      <c r="EH74" s="25"/>
      <c r="EI74" s="25"/>
      <c r="EJ74" s="25"/>
      <c r="EK74" s="25"/>
      <c r="EL74" s="25">
        <f>M74+L74</f>
        <v>1210</v>
      </c>
      <c r="EM74" s="25">
        <f>N74+M74</f>
        <v>2600</v>
      </c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</row>
    <row r="75" spans="2:162" x14ac:dyDescent="0.2">
      <c r="B75" s="3" t="s">
        <v>580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>
        <f t="shared" ref="M75:Q75" si="90">SUM(M71:M73)-M74</f>
        <v>9214</v>
      </c>
      <c r="N75" s="25">
        <f t="shared" si="90"/>
        <v>8351</v>
      </c>
      <c r="O75" s="25">
        <f t="shared" si="90"/>
        <v>9567</v>
      </c>
      <c r="P75" s="25">
        <f t="shared" si="90"/>
        <v>10780</v>
      </c>
      <c r="Q75" s="25">
        <f t="shared" si="90"/>
        <v>10052</v>
      </c>
      <c r="R75" s="25">
        <f>SUM(R71:R73)-R74</f>
        <v>11472</v>
      </c>
      <c r="S75" s="25">
        <f>SUM(S71:S73)-S74</f>
        <v>9888</v>
      </c>
      <c r="T75" s="25">
        <f>SUM(T71:T73)-T74</f>
        <v>12500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/>
      <c r="EI75" s="25"/>
      <c r="EJ75" s="25"/>
      <c r="EK75" s="25"/>
      <c r="EL75" s="25">
        <f t="shared" ref="EL75:EQ75" si="91">SUM(EL71:EL73)-EL74</f>
        <v>18777</v>
      </c>
      <c r="EM75" s="25">
        <f t="shared" si="91"/>
        <v>17565</v>
      </c>
      <c r="EN75" s="25">
        <f t="shared" si="91"/>
        <v>20347</v>
      </c>
      <c r="EO75" s="25">
        <f t="shared" si="91"/>
        <v>21524</v>
      </c>
      <c r="EP75" s="25">
        <f t="shared" si="91"/>
        <v>22388</v>
      </c>
      <c r="EQ75" s="25">
        <f t="shared" si="91"/>
        <v>18717</v>
      </c>
      <c r="ER75" s="25">
        <f t="shared" ref="ER75:EY75" si="92">SUM(ER71:ER73)-ER74</f>
        <v>10287.09</v>
      </c>
      <c r="ES75" s="25">
        <f t="shared" si="92"/>
        <v>10184.2191</v>
      </c>
      <c r="ET75" s="25">
        <f t="shared" si="92"/>
        <v>10082.376909000001</v>
      </c>
      <c r="EU75" s="25">
        <f t="shared" si="92"/>
        <v>9981.55313991</v>
      </c>
      <c r="EV75" s="25">
        <f t="shared" si="92"/>
        <v>9881.737608510899</v>
      </c>
      <c r="EW75" s="25">
        <f t="shared" si="92"/>
        <v>9782.9202324257913</v>
      </c>
      <c r="EX75" s="25">
        <f t="shared" si="92"/>
        <v>9685.0910301015338</v>
      </c>
      <c r="EY75" s="25">
        <f t="shared" si="92"/>
        <v>9588.2401198005173</v>
      </c>
      <c r="EZ75" s="23">
        <f>SUM(EZ71:EZ73)</f>
        <v>24240</v>
      </c>
      <c r="FA75" s="23">
        <f>SUM(FA71:FA73)</f>
        <v>25815</v>
      </c>
      <c r="FC75" s="23">
        <f>SUM(FC71:FC73)</f>
        <v>28769</v>
      </c>
    </row>
    <row r="76" spans="2:162" s="17" customFormat="1" x14ac:dyDescent="0.2">
      <c r="B76" s="17" t="s">
        <v>149</v>
      </c>
      <c r="C76" s="27">
        <v>2833</v>
      </c>
      <c r="D76" s="27">
        <v>2960</v>
      </c>
      <c r="E76" s="27">
        <v>3701</v>
      </c>
      <c r="F76" s="27">
        <v>3249</v>
      </c>
      <c r="G76" s="27">
        <v>3527</v>
      </c>
      <c r="H76" s="27">
        <v>3239</v>
      </c>
      <c r="I76" s="27">
        <f>I70-I71-I72-I73</f>
        <v>4871</v>
      </c>
      <c r="J76" s="27">
        <f>J70-J71-J72-J73</f>
        <v>5165</v>
      </c>
      <c r="K76" s="27">
        <f>K70-K71-K72-K73</f>
        <v>6299</v>
      </c>
      <c r="L76" s="27">
        <f>L70-L71-L72-L73</f>
        <v>6605</v>
      </c>
      <c r="M76" s="27">
        <f t="shared" ref="M76:Q76" si="93">M70-M75</f>
        <v>8585</v>
      </c>
      <c r="N76" s="27">
        <f t="shared" si="93"/>
        <v>7442</v>
      </c>
      <c r="O76" s="27">
        <f t="shared" si="93"/>
        <v>7041</v>
      </c>
      <c r="P76" s="27">
        <f t="shared" si="93"/>
        <v>6855</v>
      </c>
      <c r="Q76" s="27">
        <f t="shared" si="93"/>
        <v>7970</v>
      </c>
      <c r="R76" s="27">
        <f>R70-R75</f>
        <v>7213</v>
      </c>
      <c r="S76" s="27">
        <f>S70-S75</f>
        <v>8756</v>
      </c>
      <c r="T76" s="27">
        <f>T70-T75</f>
        <v>4660</v>
      </c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  <c r="CU76" s="93"/>
      <c r="CV76" s="93"/>
      <c r="CW76" s="93"/>
      <c r="CX76" s="93"/>
      <c r="CY76" s="93"/>
      <c r="CZ76" s="93"/>
      <c r="DA76" s="93"/>
      <c r="DB76" s="93"/>
      <c r="DC76" s="93"/>
      <c r="DD76" s="93"/>
      <c r="DE76" s="93"/>
      <c r="DF76" s="93"/>
      <c r="DG76" s="93"/>
      <c r="DH76" s="93"/>
      <c r="DI76" s="93"/>
      <c r="DJ76" s="93"/>
      <c r="DK76" s="93"/>
      <c r="DL76" s="93"/>
      <c r="DM76" s="93"/>
      <c r="DN76" s="93"/>
      <c r="DO76" s="93"/>
      <c r="DP76" s="93"/>
      <c r="DQ76" s="93"/>
      <c r="DR76" s="93"/>
      <c r="DS76" s="93"/>
      <c r="DT76" s="93"/>
      <c r="DU76" s="93"/>
      <c r="DV76" s="93"/>
      <c r="DW76" s="93"/>
      <c r="DX76" s="93"/>
      <c r="DY76" s="93"/>
      <c r="DZ76" s="93"/>
      <c r="EA76" s="93"/>
      <c r="EB76" s="93"/>
      <c r="EC76" s="93"/>
      <c r="ED76" s="93"/>
      <c r="EE76" s="93"/>
      <c r="EF76" s="5"/>
      <c r="EG76" s="27"/>
      <c r="EH76" s="27">
        <v>5223</v>
      </c>
      <c r="EI76" s="27">
        <v>5793</v>
      </c>
      <c r="EJ76" s="27">
        <v>6766</v>
      </c>
      <c r="EK76" s="27">
        <f>EK70-EK71-EK72-EK73</f>
        <v>10133</v>
      </c>
      <c r="EL76" s="27">
        <f t="shared" ref="EL76:EQ76" si="94">EL70-EL75</f>
        <v>14114</v>
      </c>
      <c r="EM76" s="27">
        <f t="shared" si="94"/>
        <v>16027</v>
      </c>
      <c r="EN76" s="27">
        <f t="shared" si="94"/>
        <v>14742</v>
      </c>
      <c r="EO76" s="27">
        <f t="shared" si="94"/>
        <v>15183</v>
      </c>
      <c r="EP76" s="27">
        <f t="shared" si="94"/>
        <v>13339</v>
      </c>
      <c r="EQ76" s="27">
        <f t="shared" si="94"/>
        <v>13454</v>
      </c>
      <c r="ER76" s="27">
        <f t="shared" ref="ER76:EZ76" si="95">ER70-ER75</f>
        <v>-10287.09</v>
      </c>
      <c r="ES76" s="27">
        <f t="shared" si="95"/>
        <v>-10184.2191</v>
      </c>
      <c r="ET76" s="27">
        <f t="shared" si="95"/>
        <v>-10082.376909000001</v>
      </c>
      <c r="EU76" s="27">
        <f t="shared" si="95"/>
        <v>-9981.55313991</v>
      </c>
      <c r="EV76" s="27">
        <f t="shared" si="95"/>
        <v>-9881.737608510899</v>
      </c>
      <c r="EW76" s="27">
        <f t="shared" si="95"/>
        <v>-9782.9202324257913</v>
      </c>
      <c r="EX76" s="27">
        <f t="shared" si="95"/>
        <v>-9685.0910301015338</v>
      </c>
      <c r="EY76" s="27">
        <f t="shared" si="95"/>
        <v>-9588.2401198005173</v>
      </c>
      <c r="EZ76" s="27">
        <f t="shared" si="95"/>
        <v>21536</v>
      </c>
      <c r="FA76" s="24">
        <f>FA70-FA75</f>
        <v>21897</v>
      </c>
      <c r="FC76" s="24">
        <f>FC70-FC75</f>
        <v>16874</v>
      </c>
      <c r="FD76" s="48"/>
    </row>
    <row r="77" spans="2:162" x14ac:dyDescent="0.2">
      <c r="B77" s="15" t="s">
        <v>2</v>
      </c>
      <c r="C77" s="23">
        <v>-75</v>
      </c>
      <c r="D77" s="23">
        <v>122</v>
      </c>
      <c r="E77" s="23">
        <v>131</v>
      </c>
      <c r="F77" s="23">
        <v>106</v>
      </c>
      <c r="G77" s="67">
        <v>213</v>
      </c>
      <c r="H77" s="67">
        <v>156</v>
      </c>
      <c r="I77" s="67">
        <v>241</v>
      </c>
      <c r="J77" s="67">
        <f>678-I77</f>
        <v>437</v>
      </c>
      <c r="K77" s="67">
        <v>902</v>
      </c>
      <c r="L77" s="67">
        <f>1829-K77</f>
        <v>927</v>
      </c>
      <c r="M77" s="67">
        <v>979</v>
      </c>
      <c r="N77" s="67">
        <f>1805-M77</f>
        <v>826</v>
      </c>
      <c r="O77" s="67">
        <v>684</v>
      </c>
      <c r="P77" s="67">
        <f>O77</f>
        <v>684</v>
      </c>
      <c r="Q77" s="67">
        <v>484</v>
      </c>
      <c r="R77" s="67">
        <f>792-Q77</f>
        <v>308</v>
      </c>
      <c r="S77" s="67">
        <v>302</v>
      </c>
      <c r="T77" s="67">
        <f>-3+557-S77</f>
        <v>252</v>
      </c>
      <c r="EG77" s="25"/>
      <c r="EH77" s="25">
        <v>2000</v>
      </c>
      <c r="EI77" s="25">
        <v>47</v>
      </c>
      <c r="EJ77" s="25">
        <v>369</v>
      </c>
      <c r="EK77" s="25">
        <v>1313</v>
      </c>
      <c r="EL77" s="25">
        <f>SUM(K77:L77)</f>
        <v>1829</v>
      </c>
      <c r="EM77" s="25">
        <f>N77+M77</f>
        <v>1805</v>
      </c>
      <c r="EN77" s="25">
        <v>1123</v>
      </c>
      <c r="EO77" s="25">
        <f t="shared" ref="EO77:EO78" si="96">SUM(Q77:R77)</f>
        <v>792</v>
      </c>
      <c r="EP77" s="25">
        <f>T77+S77</f>
        <v>554</v>
      </c>
      <c r="EQ77" s="25">
        <f>-2228+647+12</f>
        <v>-1569</v>
      </c>
      <c r="ER77" s="25">
        <f t="shared" ref="ER77:EY77" si="97">ER87*$FJ$89</f>
        <v>-66.900000000000006</v>
      </c>
      <c r="ES77" s="25">
        <f t="shared" si="97"/>
        <v>-460.35162000000003</v>
      </c>
      <c r="ET77" s="25">
        <f t="shared" si="97"/>
        <v>-864.84530735999999</v>
      </c>
      <c r="EU77" s="25">
        <f t="shared" si="97"/>
        <v>-1280.83975158168</v>
      </c>
      <c r="EV77" s="25">
        <f t="shared" si="97"/>
        <v>-1708.8106814583641</v>
      </c>
      <c r="EW77" s="25">
        <f t="shared" si="97"/>
        <v>-2149.2515164771962</v>
      </c>
      <c r="EX77" s="25">
        <f t="shared" si="97"/>
        <v>-2602.67404293551</v>
      </c>
      <c r="EY77" s="25">
        <f t="shared" si="97"/>
        <v>-3069.6091157109176</v>
      </c>
      <c r="EZ77" s="25">
        <f>-539-25</f>
        <v>-564</v>
      </c>
      <c r="FA77" s="44">
        <f>-412-339</f>
        <v>-751</v>
      </c>
      <c r="FC77" s="44">
        <f>805-980-320</f>
        <v>-495</v>
      </c>
    </row>
    <row r="78" spans="2:162" s="17" customFormat="1" x14ac:dyDescent="0.2">
      <c r="B78" s="15" t="s">
        <v>3</v>
      </c>
      <c r="C78" s="25">
        <v>-276</v>
      </c>
      <c r="D78" s="25">
        <v>-401</v>
      </c>
      <c r="E78" s="25">
        <v>-370</v>
      </c>
      <c r="F78" s="25">
        <v>-206</v>
      </c>
      <c r="G78" s="25">
        <v>-383</v>
      </c>
      <c r="H78" s="25">
        <v>-244</v>
      </c>
      <c r="I78" s="25">
        <v>-187</v>
      </c>
      <c r="J78" s="25">
        <f>-382-I78</f>
        <v>-195</v>
      </c>
      <c r="K78" s="25">
        <v>478</v>
      </c>
      <c r="L78" s="25">
        <f>974-K78</f>
        <v>496</v>
      </c>
      <c r="M78" s="25">
        <v>479</v>
      </c>
      <c r="N78" s="25">
        <f>971-M78</f>
        <v>492</v>
      </c>
      <c r="O78" s="67">
        <v>447</v>
      </c>
      <c r="P78" s="67">
        <f>O78</f>
        <v>447</v>
      </c>
      <c r="Q78" s="67">
        <v>1035</v>
      </c>
      <c r="R78" s="67">
        <f>2460-Q78</f>
        <v>1425</v>
      </c>
      <c r="S78" s="67">
        <v>1508</v>
      </c>
      <c r="T78" s="67">
        <f>2829-S78</f>
        <v>1321</v>
      </c>
      <c r="U78" s="67"/>
      <c r="V78" s="67"/>
      <c r="W78" s="67"/>
      <c r="X78" s="67"/>
      <c r="Y78" s="25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15"/>
      <c r="EG78" s="25"/>
      <c r="EH78" s="25">
        <v>-1165.1611044776121</v>
      </c>
      <c r="EI78" s="25">
        <v>-677</v>
      </c>
      <c r="EJ78" s="25">
        <v>-627</v>
      </c>
      <c r="EK78" s="25">
        <v>985</v>
      </c>
      <c r="EL78" s="25">
        <f>SUM(K78:L78)</f>
        <v>974</v>
      </c>
      <c r="EM78" s="25">
        <f>N78+M78</f>
        <v>971</v>
      </c>
      <c r="EN78" s="25">
        <v>887</v>
      </c>
      <c r="EO78" s="25">
        <f t="shared" si="96"/>
        <v>2460</v>
      </c>
      <c r="EP78" s="25">
        <f>T78+S78</f>
        <v>2829</v>
      </c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48"/>
      <c r="FC78" s="48"/>
      <c r="FD78" s="48"/>
    </row>
    <row r="79" spans="2:162" s="17" customFormat="1" x14ac:dyDescent="0.2">
      <c r="B79" s="17" t="s">
        <v>15</v>
      </c>
      <c r="C79" s="27">
        <v>2464</v>
      </c>
      <c r="D79" s="27">
        <v>2655</v>
      </c>
      <c r="E79" s="27">
        <v>3435</v>
      </c>
      <c r="F79" s="27">
        <v>3133</v>
      </c>
      <c r="G79" s="27">
        <v>3330</v>
      </c>
      <c r="H79" s="27">
        <v>3135</v>
      </c>
      <c r="I79" s="27">
        <f t="shared" ref="I79:S79" si="98">I76+I77-I78</f>
        <v>5299</v>
      </c>
      <c r="J79" s="27">
        <f t="shared" si="98"/>
        <v>5797</v>
      </c>
      <c r="K79" s="27">
        <f t="shared" si="98"/>
        <v>6723</v>
      </c>
      <c r="L79" s="27">
        <f t="shared" si="98"/>
        <v>7036</v>
      </c>
      <c r="M79" s="27">
        <f t="shared" si="98"/>
        <v>9085</v>
      </c>
      <c r="N79" s="27">
        <f t="shared" si="98"/>
        <v>7776</v>
      </c>
      <c r="O79" s="27">
        <f t="shared" si="98"/>
        <v>7278</v>
      </c>
      <c r="P79" s="27">
        <f t="shared" si="98"/>
        <v>7092</v>
      </c>
      <c r="Q79" s="27">
        <f t="shared" si="98"/>
        <v>7419</v>
      </c>
      <c r="R79" s="27">
        <f t="shared" si="98"/>
        <v>6096</v>
      </c>
      <c r="S79" s="27">
        <f t="shared" si="98"/>
        <v>7550</v>
      </c>
      <c r="T79" s="27">
        <f>T76+T77-T78</f>
        <v>3591</v>
      </c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5"/>
      <c r="EG79" s="27"/>
      <c r="EH79" s="27">
        <v>6020.8388955223882</v>
      </c>
      <c r="EI79" s="27">
        <v>5119</v>
      </c>
      <c r="EJ79" s="27">
        <v>6465</v>
      </c>
      <c r="EK79" s="27">
        <f t="shared" ref="EK79:EZ79" si="99">EK76+EK77-EK78</f>
        <v>10461</v>
      </c>
      <c r="EL79" s="27">
        <f t="shared" si="99"/>
        <v>14969</v>
      </c>
      <c r="EM79" s="27">
        <f t="shared" si="99"/>
        <v>16861</v>
      </c>
      <c r="EN79" s="27">
        <f t="shared" si="99"/>
        <v>14978</v>
      </c>
      <c r="EO79" s="27">
        <f t="shared" si="99"/>
        <v>13515</v>
      </c>
      <c r="EP79" s="27">
        <f>EP76+EP77-EP78</f>
        <v>11064</v>
      </c>
      <c r="EQ79" s="27">
        <f t="shared" si="99"/>
        <v>11885</v>
      </c>
      <c r="ER79" s="27">
        <f t="shared" si="99"/>
        <v>-10353.99</v>
      </c>
      <c r="ES79" s="27">
        <f t="shared" si="99"/>
        <v>-10644.57072</v>
      </c>
      <c r="ET79" s="27">
        <f t="shared" si="99"/>
        <v>-10947.22221636</v>
      </c>
      <c r="EU79" s="27">
        <f t="shared" si="99"/>
        <v>-11262.39289149168</v>
      </c>
      <c r="EV79" s="27">
        <f t="shared" si="99"/>
        <v>-11590.548289969263</v>
      </c>
      <c r="EW79" s="27">
        <f t="shared" si="99"/>
        <v>-11932.171748902987</v>
      </c>
      <c r="EX79" s="27">
        <f t="shared" si="99"/>
        <v>-12287.765073037044</v>
      </c>
      <c r="EY79" s="27">
        <f t="shared" si="99"/>
        <v>-12657.849235511436</v>
      </c>
      <c r="EZ79" s="27">
        <f t="shared" si="99"/>
        <v>20972</v>
      </c>
      <c r="FA79" s="24">
        <f>FA76+FA77</f>
        <v>21146</v>
      </c>
      <c r="FB79" s="24">
        <f>FB76+FB77</f>
        <v>0</v>
      </c>
      <c r="FC79" s="24">
        <f>FC76+FC77</f>
        <v>16379</v>
      </c>
      <c r="FD79" s="48"/>
    </row>
    <row r="80" spans="2:162" x14ac:dyDescent="0.2">
      <c r="B80" s="15" t="s">
        <v>5</v>
      </c>
      <c r="C80" s="25">
        <v>-658</v>
      </c>
      <c r="D80" s="25">
        <v>-661</v>
      </c>
      <c r="E80" s="25">
        <v>-835</v>
      </c>
      <c r="F80" s="25">
        <v>-810</v>
      </c>
      <c r="G80" s="25">
        <v>-806</v>
      </c>
      <c r="H80" s="25">
        <v>-799</v>
      </c>
      <c r="I80" s="25">
        <v>1095</v>
      </c>
      <c r="J80" s="25">
        <f>2224-I80</f>
        <v>1129</v>
      </c>
      <c r="K80" s="25">
        <v>1701</v>
      </c>
      <c r="L80" s="25">
        <f>3436-K80</f>
        <v>1735</v>
      </c>
      <c r="M80" s="25">
        <v>2115</v>
      </c>
      <c r="N80" s="25">
        <f>3867-M80</f>
        <v>1752</v>
      </c>
      <c r="O80" s="25">
        <v>1861</v>
      </c>
      <c r="P80" s="25"/>
      <c r="Q80" s="25">
        <v>1678</v>
      </c>
      <c r="R80" s="25">
        <f>2870-Q80</f>
        <v>1192</v>
      </c>
      <c r="S80" s="25">
        <v>1800</v>
      </c>
      <c r="T80" s="25">
        <f>2320-S80</f>
        <v>520</v>
      </c>
      <c r="U80" s="25"/>
      <c r="V80" s="25"/>
      <c r="W80" s="25"/>
      <c r="X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EG80" s="25"/>
      <c r="EH80" s="25">
        <v>-1595</v>
      </c>
      <c r="EI80" s="25">
        <v>-1319</v>
      </c>
      <c r="EJ80" s="25">
        <v>-1605</v>
      </c>
      <c r="EK80" s="25">
        <v>2284</v>
      </c>
      <c r="EL80" s="25">
        <f>SUM(K80:L80)</f>
        <v>3436</v>
      </c>
      <c r="EM80" s="25">
        <f>N80+M80</f>
        <v>3867</v>
      </c>
      <c r="EN80" s="25">
        <v>3317</v>
      </c>
      <c r="EO80" s="25">
        <f>SUM(Q80:R80)</f>
        <v>2870</v>
      </c>
      <c r="EP80" s="25">
        <f>T80+S80</f>
        <v>2320</v>
      </c>
      <c r="EQ80" s="25">
        <v>2341</v>
      </c>
      <c r="ER80" s="25">
        <f t="shared" ref="ER80:EY80" si="100">ER79*0.24</f>
        <v>-2484.9575999999997</v>
      </c>
      <c r="ES80" s="25">
        <f t="shared" si="100"/>
        <v>-2554.6969727999999</v>
      </c>
      <c r="ET80" s="25">
        <f t="shared" si="100"/>
        <v>-2627.3333319263998</v>
      </c>
      <c r="EU80" s="25">
        <f t="shared" si="100"/>
        <v>-2702.9742939580028</v>
      </c>
      <c r="EV80" s="25">
        <f t="shared" si="100"/>
        <v>-2781.7315895926231</v>
      </c>
      <c r="EW80" s="25">
        <f t="shared" si="100"/>
        <v>-2863.7212197367166</v>
      </c>
      <c r="EX80" s="25">
        <f t="shared" si="100"/>
        <v>-2949.0636175288905</v>
      </c>
      <c r="EY80" s="25">
        <f t="shared" si="100"/>
        <v>-3037.8838165227444</v>
      </c>
      <c r="EZ80" s="25">
        <v>3594</v>
      </c>
      <c r="FA80" s="23">
        <v>3075</v>
      </c>
      <c r="FB80" s="23"/>
      <c r="FC80" s="23">
        <v>2136</v>
      </c>
    </row>
    <row r="81" spans="2:233" x14ac:dyDescent="0.2">
      <c r="B81" s="15" t="s">
        <v>6</v>
      </c>
      <c r="C81" s="25">
        <v>1806</v>
      </c>
      <c r="D81" s="25">
        <v>1994</v>
      </c>
      <c r="E81" s="25">
        <v>2600</v>
      </c>
      <c r="F81" s="25">
        <v>2323</v>
      </c>
      <c r="G81" s="25">
        <v>2524</v>
      </c>
      <c r="H81" s="25">
        <v>2336</v>
      </c>
      <c r="I81" s="25">
        <f t="shared" ref="I81:N81" si="101">I79-I80</f>
        <v>4204</v>
      </c>
      <c r="J81" s="25">
        <f t="shared" si="101"/>
        <v>4668</v>
      </c>
      <c r="K81" s="25">
        <f t="shared" si="101"/>
        <v>5022</v>
      </c>
      <c r="L81" s="25">
        <f t="shared" si="101"/>
        <v>5301</v>
      </c>
      <c r="M81" s="25">
        <f t="shared" si="101"/>
        <v>6970</v>
      </c>
      <c r="N81" s="25">
        <f t="shared" si="101"/>
        <v>6024</v>
      </c>
      <c r="O81" s="25">
        <f t="shared" ref="O81:T81" si="102">O79-O80</f>
        <v>5417</v>
      </c>
      <c r="P81" s="25">
        <f t="shared" si="102"/>
        <v>7092</v>
      </c>
      <c r="Q81" s="25">
        <f t="shared" si="102"/>
        <v>5741</v>
      </c>
      <c r="R81" s="25">
        <f t="shared" si="102"/>
        <v>4904</v>
      </c>
      <c r="S81" s="25">
        <f t="shared" si="102"/>
        <v>5750</v>
      </c>
      <c r="T81" s="25">
        <f t="shared" si="102"/>
        <v>3071</v>
      </c>
      <c r="U81" s="25"/>
      <c r="V81" s="25"/>
      <c r="W81" s="25"/>
      <c r="X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EG81" s="25"/>
      <c r="EH81" s="25">
        <v>4425.8388955223882</v>
      </c>
      <c r="EI81" s="25">
        <v>3800</v>
      </c>
      <c r="EJ81" s="25">
        <v>4860</v>
      </c>
      <c r="EK81" s="25">
        <f t="shared" ref="EK81:ET81" si="103">EK79-EK80</f>
        <v>8177</v>
      </c>
      <c r="EL81" s="25">
        <f t="shared" si="103"/>
        <v>11533</v>
      </c>
      <c r="EM81" s="25">
        <f t="shared" si="103"/>
        <v>12994</v>
      </c>
      <c r="EN81" s="25">
        <f t="shared" si="103"/>
        <v>11661</v>
      </c>
      <c r="EO81" s="25">
        <f>EO79-EO80</f>
        <v>10645</v>
      </c>
      <c r="EP81" s="25">
        <f>EP79-EP80</f>
        <v>8744</v>
      </c>
      <c r="EQ81" s="25">
        <f t="shared" si="103"/>
        <v>9544</v>
      </c>
      <c r="ER81" s="25">
        <f t="shared" si="103"/>
        <v>-7869.0324000000001</v>
      </c>
      <c r="ES81" s="25">
        <f t="shared" si="103"/>
        <v>-8089.8737471999993</v>
      </c>
      <c r="ET81" s="25">
        <f t="shared" si="103"/>
        <v>-8319.8888844335997</v>
      </c>
      <c r="EU81" s="25">
        <f t="shared" ref="EU81:EY81" si="104">EU79-EU80</f>
        <v>-8559.4185975336768</v>
      </c>
      <c r="EV81" s="25">
        <f t="shared" si="104"/>
        <v>-8808.8167003766393</v>
      </c>
      <c r="EW81" s="25">
        <f t="shared" si="104"/>
        <v>-9068.4505291662699</v>
      </c>
      <c r="EX81" s="25">
        <f t="shared" si="104"/>
        <v>-9338.7014555081532</v>
      </c>
      <c r="EY81" s="25">
        <f t="shared" si="104"/>
        <v>-9619.9654189886915</v>
      </c>
      <c r="EZ81" s="25">
        <f>EZ79-EZ80</f>
        <v>17378</v>
      </c>
      <c r="FA81" s="23">
        <f>FA79-FA80</f>
        <v>18071</v>
      </c>
      <c r="FB81" s="23"/>
      <c r="FC81" s="23">
        <f>FC79-FC80</f>
        <v>14243</v>
      </c>
    </row>
    <row r="82" spans="2:233" x14ac:dyDescent="0.2">
      <c r="B82" s="15" t="s">
        <v>4</v>
      </c>
      <c r="C82" s="25">
        <v>-185.5</v>
      </c>
      <c r="D82" s="25">
        <v>-243.5</v>
      </c>
      <c r="E82" s="25">
        <v>-274</v>
      </c>
      <c r="F82" s="25">
        <v>-306</v>
      </c>
      <c r="G82" s="25">
        <v>-262</v>
      </c>
      <c r="H82" s="25">
        <v>-276</v>
      </c>
      <c r="I82" s="25">
        <v>444</v>
      </c>
      <c r="J82" s="25">
        <f>943-I82</f>
        <v>499</v>
      </c>
      <c r="K82" s="25">
        <v>572</v>
      </c>
      <c r="L82" s="25">
        <f>1291-K82</f>
        <v>719</v>
      </c>
      <c r="M82" s="25">
        <v>943</v>
      </c>
      <c r="N82" s="25">
        <f>1676-M82</f>
        <v>733</v>
      </c>
      <c r="O82" s="25">
        <v>912</v>
      </c>
      <c r="P82" s="25">
        <f>O82</f>
        <v>912</v>
      </c>
      <c r="Q82" s="25">
        <v>578</v>
      </c>
      <c r="R82" s="25">
        <f>726-Q82</f>
        <v>148</v>
      </c>
      <c r="S82" s="25">
        <v>97</v>
      </c>
      <c r="T82" s="25">
        <f>225-S82</f>
        <v>128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15"/>
      <c r="EG82" s="25"/>
      <c r="EH82" s="25">
        <v>34</v>
      </c>
      <c r="EI82" s="25">
        <v>-429</v>
      </c>
      <c r="EJ82" s="25">
        <v>-538</v>
      </c>
      <c r="EK82" s="25">
        <v>943</v>
      </c>
      <c r="EL82" s="25">
        <f>SUM(K82:L82)</f>
        <v>1291</v>
      </c>
      <c r="EM82" s="25">
        <f>N82+M82</f>
        <v>1676</v>
      </c>
      <c r="EN82" s="25">
        <v>1875</v>
      </c>
      <c r="EO82" s="25">
        <f>SUM(Q82:R82)</f>
        <v>726</v>
      </c>
      <c r="EP82" s="25">
        <f>T82+S82</f>
        <v>225</v>
      </c>
      <c r="EQ82" s="25">
        <v>201</v>
      </c>
      <c r="ER82" s="25"/>
      <c r="ES82" s="25"/>
      <c r="ET82" s="25"/>
      <c r="EU82" s="25"/>
      <c r="EV82" s="25"/>
      <c r="EW82" s="25"/>
      <c r="EX82" s="25"/>
      <c r="EY82" s="25"/>
      <c r="EZ82" s="25">
        <v>801</v>
      </c>
      <c r="FA82" s="23">
        <v>1033</v>
      </c>
      <c r="FB82" s="23"/>
      <c r="FC82" s="23">
        <v>877</v>
      </c>
    </row>
    <row r="83" spans="2:233" x14ac:dyDescent="0.2">
      <c r="B83" s="15" t="s">
        <v>20</v>
      </c>
      <c r="C83" s="25">
        <v>1620.5</v>
      </c>
      <c r="D83" s="25">
        <v>1750.5</v>
      </c>
      <c r="E83" s="25">
        <v>2326</v>
      </c>
      <c r="F83" s="25">
        <v>2017</v>
      </c>
      <c r="G83" s="25">
        <v>2262</v>
      </c>
      <c r="H83" s="25">
        <v>2060</v>
      </c>
      <c r="I83" s="25">
        <f t="shared" ref="I83:N83" si="105">I81-I82</f>
        <v>3760</v>
      </c>
      <c r="J83" s="25">
        <f t="shared" si="105"/>
        <v>4169</v>
      </c>
      <c r="K83" s="25">
        <f t="shared" si="105"/>
        <v>4450</v>
      </c>
      <c r="L83" s="25">
        <f t="shared" si="105"/>
        <v>4582</v>
      </c>
      <c r="M83" s="25">
        <f t="shared" si="105"/>
        <v>6027</v>
      </c>
      <c r="N83" s="25">
        <f t="shared" si="105"/>
        <v>5291</v>
      </c>
      <c r="O83" s="25">
        <f t="shared" ref="O83:T83" si="106">O81-O82</f>
        <v>4505</v>
      </c>
      <c r="P83" s="25">
        <f t="shared" si="106"/>
        <v>6180</v>
      </c>
      <c r="Q83" s="25">
        <f t="shared" si="106"/>
        <v>5163</v>
      </c>
      <c r="R83" s="25">
        <f t="shared" si="106"/>
        <v>4756</v>
      </c>
      <c r="S83" s="25">
        <f t="shared" si="106"/>
        <v>5653</v>
      </c>
      <c r="T83" s="25">
        <f t="shared" si="106"/>
        <v>2943</v>
      </c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15"/>
      <c r="EG83" s="25"/>
      <c r="EH83" s="25">
        <v>4459.8388955223882</v>
      </c>
      <c r="EI83" s="25">
        <v>3371</v>
      </c>
      <c r="EJ83" s="25">
        <v>4322</v>
      </c>
      <c r="EK83" s="25">
        <f t="shared" ref="EK83:EZ83" si="107">EK81-EK82</f>
        <v>7234</v>
      </c>
      <c r="EL83" s="25">
        <f t="shared" si="107"/>
        <v>10242</v>
      </c>
      <c r="EM83" s="25">
        <f t="shared" si="107"/>
        <v>11318</v>
      </c>
      <c r="EN83" s="25">
        <f t="shared" si="107"/>
        <v>9786</v>
      </c>
      <c r="EO83" s="25">
        <f>EO81-EO82</f>
        <v>9919</v>
      </c>
      <c r="EP83" s="25">
        <f>EP81-EP82</f>
        <v>8519</v>
      </c>
      <c r="EQ83" s="25">
        <f t="shared" si="107"/>
        <v>9343</v>
      </c>
      <c r="ER83" s="25">
        <f t="shared" si="107"/>
        <v>-7869.0324000000001</v>
      </c>
      <c r="ES83" s="25">
        <f t="shared" si="107"/>
        <v>-8089.8737471999993</v>
      </c>
      <c r="ET83" s="25">
        <f t="shared" si="107"/>
        <v>-8319.8888844335997</v>
      </c>
      <c r="EU83" s="25">
        <f t="shared" si="107"/>
        <v>-8559.4185975336768</v>
      </c>
      <c r="EV83" s="25">
        <f t="shared" si="107"/>
        <v>-8808.8167003766393</v>
      </c>
      <c r="EW83" s="25">
        <f t="shared" si="107"/>
        <v>-9068.4505291662699</v>
      </c>
      <c r="EX83" s="25">
        <f t="shared" si="107"/>
        <v>-9338.7014555081532</v>
      </c>
      <c r="EY83" s="25">
        <f t="shared" si="107"/>
        <v>-9619.9654189886915</v>
      </c>
      <c r="EZ83" s="25">
        <f t="shared" si="107"/>
        <v>16577</v>
      </c>
      <c r="FA83" s="25">
        <f>FA81-FA82</f>
        <v>17038</v>
      </c>
      <c r="FB83" s="25">
        <f>FB81-FB82</f>
        <v>0</v>
      </c>
      <c r="FC83" s="25">
        <f>FC81-FC82</f>
        <v>13366</v>
      </c>
      <c r="FD83" s="25">
        <f t="shared" ref="FD83:GI83" si="108">FC83*(1+$FJ$90)</f>
        <v>13499.66</v>
      </c>
      <c r="FE83" s="32">
        <f t="shared" si="108"/>
        <v>13634.6566</v>
      </c>
      <c r="FF83" s="32">
        <f t="shared" si="108"/>
        <v>13771.003166</v>
      </c>
      <c r="FG83" s="32">
        <f t="shared" si="108"/>
        <v>13908.713197660001</v>
      </c>
      <c r="FH83" s="32">
        <f t="shared" si="108"/>
        <v>14047.800329636601</v>
      </c>
      <c r="FI83" s="32">
        <f t="shared" si="108"/>
        <v>14188.278332932967</v>
      </c>
      <c r="FJ83" s="32">
        <f t="shared" si="108"/>
        <v>14330.161116262296</v>
      </c>
      <c r="FK83" s="32">
        <f t="shared" si="108"/>
        <v>14473.46272742492</v>
      </c>
      <c r="FL83" s="32">
        <f t="shared" si="108"/>
        <v>14618.197354699168</v>
      </c>
      <c r="FM83" s="32">
        <f t="shared" si="108"/>
        <v>14764.379328246161</v>
      </c>
      <c r="FN83" s="32">
        <f t="shared" si="108"/>
        <v>14912.023121528622</v>
      </c>
      <c r="FO83" s="32">
        <f t="shared" si="108"/>
        <v>15061.143352743908</v>
      </c>
      <c r="FP83" s="32">
        <f t="shared" si="108"/>
        <v>15211.754786271347</v>
      </c>
      <c r="FQ83" s="32">
        <f t="shared" si="108"/>
        <v>15363.872334134061</v>
      </c>
      <c r="FR83" s="32">
        <f t="shared" si="108"/>
        <v>15517.511057475402</v>
      </c>
      <c r="FS83" s="32">
        <f t="shared" si="108"/>
        <v>15672.686168050155</v>
      </c>
      <c r="FT83" s="32">
        <f t="shared" si="108"/>
        <v>15829.413029730656</v>
      </c>
      <c r="FU83" s="32">
        <f t="shared" si="108"/>
        <v>15987.707160027963</v>
      </c>
      <c r="FV83" s="32">
        <f t="shared" si="108"/>
        <v>16147.584231628243</v>
      </c>
      <c r="FW83" s="32">
        <f t="shared" si="108"/>
        <v>16309.060073944525</v>
      </c>
      <c r="FX83" s="32">
        <f t="shared" si="108"/>
        <v>16472.15067468397</v>
      </c>
      <c r="FY83" s="32">
        <f t="shared" si="108"/>
        <v>16636.872181430808</v>
      </c>
      <c r="FZ83" s="32">
        <f t="shared" si="108"/>
        <v>16803.240903245118</v>
      </c>
      <c r="GA83" s="32">
        <f t="shared" si="108"/>
        <v>16971.273312277568</v>
      </c>
      <c r="GB83" s="32">
        <f t="shared" si="108"/>
        <v>17140.986045400343</v>
      </c>
      <c r="GC83" s="32">
        <f t="shared" si="108"/>
        <v>17312.395905854348</v>
      </c>
      <c r="GD83" s="32">
        <f t="shared" si="108"/>
        <v>17485.519864912891</v>
      </c>
      <c r="GE83" s="32">
        <f t="shared" si="108"/>
        <v>17660.37506356202</v>
      </c>
      <c r="GF83" s="32">
        <f t="shared" si="108"/>
        <v>17836.978814197639</v>
      </c>
      <c r="GG83" s="32">
        <f t="shared" si="108"/>
        <v>18015.348602339614</v>
      </c>
      <c r="GH83" s="32">
        <f t="shared" si="108"/>
        <v>18195.50208836301</v>
      </c>
      <c r="GI83" s="32">
        <f t="shared" si="108"/>
        <v>18377.457109246639</v>
      </c>
      <c r="GJ83" s="32">
        <f t="shared" ref="GJ83:HO83" si="109">GI83*(1+$FJ$90)</f>
        <v>18561.231680339108</v>
      </c>
      <c r="GK83" s="32">
        <f t="shared" si="109"/>
        <v>18746.8439971425</v>
      </c>
      <c r="GL83" s="32">
        <f t="shared" si="109"/>
        <v>18934.312437113924</v>
      </c>
      <c r="GM83" s="32">
        <f t="shared" si="109"/>
        <v>19123.655561485062</v>
      </c>
      <c r="GN83" s="32">
        <f t="shared" si="109"/>
        <v>19314.892117099913</v>
      </c>
      <c r="GO83" s="32">
        <f t="shared" si="109"/>
        <v>19508.041038270912</v>
      </c>
      <c r="GP83" s="32">
        <f t="shared" si="109"/>
        <v>19703.121448653623</v>
      </c>
      <c r="GQ83" s="32">
        <f t="shared" si="109"/>
        <v>19900.152663140158</v>
      </c>
      <c r="GR83" s="32">
        <f t="shared" si="109"/>
        <v>20099.154189771558</v>
      </c>
      <c r="GS83" s="32">
        <f t="shared" si="109"/>
        <v>20300.145731669272</v>
      </c>
      <c r="GT83" s="32">
        <f t="shared" si="109"/>
        <v>20503.147188985964</v>
      </c>
      <c r="GU83" s="32">
        <f t="shared" si="109"/>
        <v>20708.178660875823</v>
      </c>
      <c r="GV83" s="32">
        <f t="shared" si="109"/>
        <v>20915.260447484583</v>
      </c>
      <c r="GW83" s="32">
        <f t="shared" si="109"/>
        <v>21124.413051959429</v>
      </c>
      <c r="GX83" s="32">
        <f t="shared" si="109"/>
        <v>21335.657182479023</v>
      </c>
      <c r="GY83" s="32">
        <f t="shared" si="109"/>
        <v>21549.013754303814</v>
      </c>
      <c r="GZ83" s="32">
        <f t="shared" si="109"/>
        <v>21764.503891846853</v>
      </c>
      <c r="HA83" s="32">
        <f t="shared" si="109"/>
        <v>21982.148930765321</v>
      </c>
      <c r="HB83" s="32">
        <f t="shared" si="109"/>
        <v>22201.970420072976</v>
      </c>
      <c r="HC83" s="32">
        <f t="shared" si="109"/>
        <v>22423.990124273707</v>
      </c>
      <c r="HD83" s="32">
        <f t="shared" si="109"/>
        <v>22648.230025516445</v>
      </c>
      <c r="HE83" s="32">
        <f t="shared" si="109"/>
        <v>22874.712325771608</v>
      </c>
      <c r="HF83" s="32">
        <f t="shared" si="109"/>
        <v>23103.459449029324</v>
      </c>
      <c r="HG83" s="32">
        <f t="shared" si="109"/>
        <v>23334.494043519619</v>
      </c>
      <c r="HH83" s="32">
        <f t="shared" si="109"/>
        <v>23567.838983954814</v>
      </c>
      <c r="HI83" s="32">
        <f t="shared" si="109"/>
        <v>23803.517373794362</v>
      </c>
      <c r="HJ83" s="32">
        <f t="shared" si="109"/>
        <v>24041.552547532305</v>
      </c>
      <c r="HK83" s="32">
        <f t="shared" si="109"/>
        <v>24281.968073007629</v>
      </c>
      <c r="HL83" s="32">
        <f t="shared" si="109"/>
        <v>24524.787753737706</v>
      </c>
      <c r="HM83" s="32">
        <f t="shared" si="109"/>
        <v>24770.035631275085</v>
      </c>
      <c r="HN83" s="32">
        <f t="shared" si="109"/>
        <v>25017.735987587836</v>
      </c>
      <c r="HO83" s="32">
        <f t="shared" si="109"/>
        <v>25267.913347463713</v>
      </c>
      <c r="HP83" s="32">
        <f t="shared" ref="HP83:HY83" si="110">HO83*(1+$FJ$90)</f>
        <v>25520.59248093835</v>
      </c>
      <c r="HQ83" s="32">
        <f t="shared" si="110"/>
        <v>25775.798405747733</v>
      </c>
      <c r="HR83" s="32">
        <f t="shared" si="110"/>
        <v>26033.55638980521</v>
      </c>
      <c r="HS83" s="32">
        <f t="shared" si="110"/>
        <v>26293.891953703263</v>
      </c>
      <c r="HT83" s="32">
        <f t="shared" si="110"/>
        <v>26556.830873240295</v>
      </c>
      <c r="HU83" s="32">
        <f t="shared" si="110"/>
        <v>26822.399181972698</v>
      </c>
      <c r="HV83" s="32">
        <f t="shared" si="110"/>
        <v>27090.623173792424</v>
      </c>
      <c r="HW83" s="32">
        <f t="shared" si="110"/>
        <v>27361.529405530349</v>
      </c>
      <c r="HX83" s="32">
        <f t="shared" si="110"/>
        <v>27635.144699585653</v>
      </c>
      <c r="HY83" s="32">
        <f t="shared" si="110"/>
        <v>27911.49614658151</v>
      </c>
    </row>
    <row r="84" spans="2:233" s="17" customFormat="1" x14ac:dyDescent="0.2">
      <c r="B84" s="17" t="s">
        <v>21</v>
      </c>
      <c r="C84" s="49">
        <v>1.9072573266926225</v>
      </c>
      <c r="D84" s="49">
        <v>2.0566674424016758</v>
      </c>
      <c r="E84" s="49">
        <v>2.7278037383177569</v>
      </c>
      <c r="F84" s="49">
        <v>2.3449074074074074</v>
      </c>
      <c r="G84" s="49">
        <v>2.6395520047522396</v>
      </c>
      <c r="H84" s="49">
        <v>2.4104238397498516</v>
      </c>
      <c r="I84" s="49">
        <f t="shared" ref="I84:N84" si="111">I83/I85</f>
        <v>4.3591034019903718</v>
      </c>
      <c r="J84" s="49">
        <f t="shared" si="111"/>
        <v>4.8332718305579414</v>
      </c>
      <c r="K84" s="49">
        <f t="shared" si="111"/>
        <v>5.1590452496960513</v>
      </c>
      <c r="L84" s="49">
        <f t="shared" si="111"/>
        <v>5.3120776031701817</v>
      </c>
      <c r="M84" s="49">
        <f t="shared" si="111"/>
        <v>6.9873181393074386</v>
      </c>
      <c r="N84" s="49">
        <f t="shared" si="111"/>
        <v>6.1340468350880464</v>
      </c>
      <c r="O84" s="49">
        <f t="shared" ref="O84:T84" si="112">O83/O85</f>
        <v>5.2228087303102724</v>
      </c>
      <c r="P84" s="49">
        <f t="shared" si="112"/>
        <v>7.1646965490160897</v>
      </c>
      <c r="Q84" s="49">
        <f t="shared" si="112"/>
        <v>5.9856518256585876</v>
      </c>
      <c r="R84" s="49">
        <f t="shared" si="112"/>
        <v>5.5138020691133525</v>
      </c>
      <c r="S84" s="49">
        <f t="shared" si="112"/>
        <v>6.5537264711307364</v>
      </c>
      <c r="T84" s="49">
        <f t="shared" si="112"/>
        <v>3.4119258808663999</v>
      </c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  <c r="CU84" s="93"/>
      <c r="CV84" s="93"/>
      <c r="CW84" s="93"/>
      <c r="CX84" s="93"/>
      <c r="CY84" s="93"/>
      <c r="CZ84" s="93"/>
      <c r="DA84" s="93"/>
      <c r="DB84" s="93"/>
      <c r="DC84" s="93"/>
      <c r="DD84" s="93"/>
      <c r="DE84" s="93"/>
      <c r="DF84" s="93"/>
      <c r="DG84" s="93"/>
      <c r="DH84" s="93"/>
      <c r="DI84" s="93"/>
      <c r="DJ84" s="93"/>
      <c r="DK84" s="93"/>
      <c r="DL84" s="93"/>
      <c r="DM84" s="93"/>
      <c r="DN84" s="93"/>
      <c r="DO84" s="93"/>
      <c r="DP84" s="93"/>
      <c r="DQ84" s="93"/>
      <c r="DR84" s="93"/>
      <c r="DS84" s="93"/>
      <c r="DT84" s="93"/>
      <c r="DU84" s="93"/>
      <c r="DV84" s="93"/>
      <c r="DW84" s="93"/>
      <c r="DX84" s="93"/>
      <c r="DY84" s="93"/>
      <c r="DZ84" s="93"/>
      <c r="EA84" s="93"/>
      <c r="EB84" s="93"/>
      <c r="EC84" s="93"/>
      <c r="ED84" s="93"/>
      <c r="EE84" s="93"/>
      <c r="EF84" s="5"/>
      <c r="EG84" s="49"/>
      <c r="EH84" s="49">
        <v>5.3184322359227147</v>
      </c>
      <c r="EI84" s="49">
        <v>3.9639115250291037</v>
      </c>
      <c r="EJ84" s="49">
        <v>5.0502424081454445</v>
      </c>
      <c r="EK84" s="49">
        <v>6.1026426057431324</v>
      </c>
      <c r="EL84" s="49">
        <f t="shared" ref="EL84:ET84" si="113">EL83/EL85</f>
        <v>11.873919426379091</v>
      </c>
      <c r="EM84" s="49">
        <f t="shared" si="113"/>
        <v>13.121364974395485</v>
      </c>
      <c r="EN84" s="49">
        <f>EN83/EN85</f>
        <v>11.345262205286643</v>
      </c>
      <c r="EO84" s="49">
        <f>EO83/EO85</f>
        <v>11.499453894771941</v>
      </c>
      <c r="EP84" s="49">
        <f>EP83/EP85</f>
        <v>9.8763834791372265</v>
      </c>
      <c r="EQ84" s="49">
        <f t="shared" si="113"/>
        <v>10.831676352339372</v>
      </c>
      <c r="ER84" s="49">
        <f t="shared" si="113"/>
        <v>-9.1228526343650156</v>
      </c>
      <c r="ES84" s="49">
        <f t="shared" si="113"/>
        <v>-9.3788819609287533</v>
      </c>
      <c r="ET84" s="49">
        <f t="shared" si="113"/>
        <v>-9.6455467926373348</v>
      </c>
      <c r="EU84" s="49"/>
      <c r="EV84" s="49"/>
      <c r="EW84" s="49"/>
      <c r="EX84" s="49"/>
      <c r="EY84" s="49"/>
      <c r="EZ84" s="49"/>
      <c r="FA84" s="48"/>
      <c r="FC84" s="48"/>
      <c r="FD84" s="48"/>
    </row>
    <row r="85" spans="2:233" s="17" customFormat="1" x14ac:dyDescent="0.2">
      <c r="B85" s="15" t="s">
        <v>42</v>
      </c>
      <c r="C85" s="25">
        <v>858.56269999999995</v>
      </c>
      <c r="D85" s="25">
        <v>859.4</v>
      </c>
      <c r="E85" s="25">
        <v>856</v>
      </c>
      <c r="F85" s="25">
        <v>864</v>
      </c>
      <c r="G85" s="25">
        <v>860.56269999999995</v>
      </c>
      <c r="H85" s="25">
        <v>858.56269999999995</v>
      </c>
      <c r="I85" s="25">
        <v>862.56269999999995</v>
      </c>
      <c r="J85" s="25">
        <v>862.56269999999995</v>
      </c>
      <c r="K85" s="25">
        <v>862.56269999999995</v>
      </c>
      <c r="L85" s="25">
        <v>862.56269999999995</v>
      </c>
      <c r="M85" s="25">
        <v>862.56269999999995</v>
      </c>
      <c r="N85" s="25">
        <v>862.56269999999995</v>
      </c>
      <c r="O85" s="25">
        <v>862.56269999999995</v>
      </c>
      <c r="P85" s="25">
        <f>O85</f>
        <v>862.56269999999995</v>
      </c>
      <c r="Q85" s="25">
        <f>P85</f>
        <v>862.56269999999995</v>
      </c>
      <c r="R85" s="25">
        <f>+Q85</f>
        <v>862.56269999999995</v>
      </c>
      <c r="S85" s="25">
        <f>+R85</f>
        <v>862.56269999999995</v>
      </c>
      <c r="T85" s="25">
        <f>+S85</f>
        <v>862.56269999999995</v>
      </c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95"/>
      <c r="AX85" s="95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  <c r="CU85" s="93"/>
      <c r="CV85" s="93"/>
      <c r="CW85" s="93"/>
      <c r="CX85" s="93"/>
      <c r="CY85" s="93"/>
      <c r="CZ85" s="93"/>
      <c r="DA85" s="93"/>
      <c r="DB85" s="93"/>
      <c r="DC85" s="93"/>
      <c r="DD85" s="93"/>
      <c r="DE85" s="93"/>
      <c r="DF85" s="93"/>
      <c r="DG85" s="93"/>
      <c r="DH85" s="93"/>
      <c r="DI85" s="93"/>
      <c r="DJ85" s="93"/>
      <c r="DK85" s="93"/>
      <c r="DL85" s="93"/>
      <c r="DM85" s="93"/>
      <c r="DN85" s="93"/>
      <c r="DO85" s="93"/>
      <c r="DP85" s="93"/>
      <c r="DQ85" s="93"/>
      <c r="DR85" s="93"/>
      <c r="DS85" s="93"/>
      <c r="DT85" s="93"/>
      <c r="DU85" s="93"/>
      <c r="DV85" s="93"/>
      <c r="DW85" s="93"/>
      <c r="DX85" s="93"/>
      <c r="DY85" s="93"/>
      <c r="DZ85" s="93"/>
      <c r="EA85" s="93"/>
      <c r="EB85" s="93"/>
      <c r="EC85" s="93"/>
      <c r="ED85" s="93"/>
      <c r="EE85" s="93"/>
      <c r="EF85" s="5"/>
      <c r="EG85" s="25"/>
      <c r="EH85" s="25">
        <v>838.56269999999995</v>
      </c>
      <c r="EI85" s="25">
        <v>859</v>
      </c>
      <c r="EJ85" s="25">
        <v>859.56269999999995</v>
      </c>
      <c r="EK85" s="25">
        <v>858</v>
      </c>
      <c r="EL85" s="25">
        <f>AVERAGE(M85:N85)</f>
        <v>862.56269999999995</v>
      </c>
      <c r="EM85" s="25">
        <f t="shared" ref="EM85:ET85" si="114">EL85</f>
        <v>862.56269999999995</v>
      </c>
      <c r="EN85" s="25">
        <f t="shared" si="114"/>
        <v>862.56269999999995</v>
      </c>
      <c r="EO85" s="25">
        <f t="shared" si="114"/>
        <v>862.56269999999995</v>
      </c>
      <c r="EP85" s="25">
        <f>EO85</f>
        <v>862.56269999999995</v>
      </c>
      <c r="EQ85" s="25">
        <f t="shared" si="114"/>
        <v>862.56269999999995</v>
      </c>
      <c r="ER85" s="25">
        <f t="shared" si="114"/>
        <v>862.56269999999995</v>
      </c>
      <c r="ES85" s="25">
        <f t="shared" si="114"/>
        <v>862.56269999999995</v>
      </c>
      <c r="ET85" s="25">
        <f t="shared" si="114"/>
        <v>862.56269999999995</v>
      </c>
      <c r="EU85" s="25"/>
      <c r="EV85" s="25"/>
      <c r="EW85" s="25"/>
      <c r="EX85" s="25"/>
      <c r="EY85" s="25"/>
      <c r="EZ85" s="25"/>
      <c r="FA85" s="48"/>
      <c r="FC85" s="48"/>
      <c r="FD85" s="48"/>
    </row>
    <row r="86" spans="2:233" s="17" customFormat="1" x14ac:dyDescent="0.2">
      <c r="B86" s="1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95"/>
      <c r="AX86" s="95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48"/>
      <c r="FC86" s="48"/>
      <c r="FD86" s="48"/>
    </row>
    <row r="87" spans="2:233" x14ac:dyDescent="0.2">
      <c r="B87" s="15" t="s">
        <v>182</v>
      </c>
      <c r="C87" s="50"/>
      <c r="D87" s="50"/>
      <c r="E87" s="50"/>
      <c r="F87" s="50"/>
      <c r="G87" s="50"/>
      <c r="H87" s="50"/>
      <c r="I87" s="50"/>
      <c r="J87" s="50"/>
      <c r="K87" s="50"/>
      <c r="L87" s="25">
        <v>16088</v>
      </c>
      <c r="M87" s="25">
        <v>15626</v>
      </c>
      <c r="N87" s="25">
        <v>17336</v>
      </c>
      <c r="O87" s="25">
        <v>11171</v>
      </c>
      <c r="P87" s="25"/>
      <c r="Q87" s="25">
        <v>-31000</v>
      </c>
      <c r="R87" s="25">
        <f>Q87+R83</f>
        <v>-26244</v>
      </c>
      <c r="S87" s="25">
        <v>-27520</v>
      </c>
      <c r="T87" s="25">
        <v>-19200</v>
      </c>
      <c r="U87" s="25"/>
      <c r="V87" s="25"/>
      <c r="W87" s="25"/>
      <c r="X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32"/>
      <c r="EG87" s="25"/>
      <c r="EH87" s="25"/>
      <c r="EI87" s="25"/>
      <c r="EJ87" s="25"/>
      <c r="EK87" s="25"/>
      <c r="EL87" s="25"/>
      <c r="EM87" s="25"/>
      <c r="EN87" s="25">
        <f>N87</f>
        <v>17336</v>
      </c>
      <c r="EO87" s="25">
        <f>Q87+4000</f>
        <v>-27000</v>
      </c>
      <c r="EP87" s="25">
        <f>+T87</f>
        <v>-19200</v>
      </c>
      <c r="EQ87" s="25">
        <f>EP87+EP83</f>
        <v>-10681</v>
      </c>
      <c r="ER87" s="25">
        <f t="shared" ref="ER87:ES87" si="115">EQ87+EQ83</f>
        <v>-1338</v>
      </c>
      <c r="ES87" s="25">
        <f t="shared" si="115"/>
        <v>-9207.0324000000001</v>
      </c>
      <c r="ET87" s="25">
        <f t="shared" ref="ET87:EY87" si="116">ES87+ES83</f>
        <v>-17296.906147199999</v>
      </c>
      <c r="EU87" s="25">
        <f t="shared" si="116"/>
        <v>-25616.795031633599</v>
      </c>
      <c r="EV87" s="25">
        <f t="shared" si="116"/>
        <v>-34176.21362916728</v>
      </c>
      <c r="EW87" s="25">
        <f t="shared" si="116"/>
        <v>-42985.030329543923</v>
      </c>
      <c r="EX87" s="25">
        <f t="shared" si="116"/>
        <v>-52053.480858710194</v>
      </c>
      <c r="EY87" s="25">
        <f t="shared" si="116"/>
        <v>-61392.182314218349</v>
      </c>
      <c r="EZ87" s="25"/>
      <c r="FA87" s="25"/>
      <c r="FC87" s="15"/>
      <c r="FD87" s="15"/>
    </row>
    <row r="88" spans="2:233" x14ac:dyDescent="0.2">
      <c r="C88" s="50"/>
      <c r="D88" s="50"/>
      <c r="E88" s="50"/>
      <c r="F88" s="50"/>
      <c r="G88" s="50"/>
      <c r="H88" s="50"/>
      <c r="I88" s="50"/>
      <c r="J88" s="50"/>
      <c r="K88" s="50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32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C88" s="15"/>
      <c r="FD88" s="15"/>
    </row>
    <row r="89" spans="2:233" s="17" customFormat="1" x14ac:dyDescent="0.2">
      <c r="B89" s="17" t="s">
        <v>8</v>
      </c>
      <c r="C89" s="29">
        <v>0.77400468384074939</v>
      </c>
      <c r="D89" s="29">
        <v>0.77732962447844223</v>
      </c>
      <c r="E89" s="29">
        <v>0.7801872504474735</v>
      </c>
      <c r="F89" s="29">
        <v>0.77574019738596955</v>
      </c>
      <c r="G89" s="29">
        <v>0.74115379319840291</v>
      </c>
      <c r="H89" s="29">
        <v>0.73606295012003198</v>
      </c>
      <c r="I89" s="73">
        <v>0.73841896282035857</v>
      </c>
      <c r="J89" s="73">
        <v>0.74</v>
      </c>
      <c r="K89" s="29">
        <f t="shared" ref="K89:P89" si="117">K70/K67</f>
        <v>0.78804977580734548</v>
      </c>
      <c r="L89" s="29">
        <f t="shared" si="117"/>
        <v>0.77726207642393652</v>
      </c>
      <c r="M89" s="29">
        <f t="shared" si="117"/>
        <v>0.77973452490471806</v>
      </c>
      <c r="N89" s="29">
        <f t="shared" si="117"/>
        <v>0.6776366600875311</v>
      </c>
      <c r="O89" s="29">
        <f t="shared" si="117"/>
        <v>0.75477185966187965</v>
      </c>
      <c r="P89" s="29">
        <f t="shared" si="117"/>
        <v>0.74683437089738702</v>
      </c>
      <c r="Q89" s="29">
        <f>Q70/Q67</f>
        <v>0.75072898442056157</v>
      </c>
      <c r="R89" s="29">
        <f>R70/R67</f>
        <v>0.74099777918781728</v>
      </c>
      <c r="S89" s="29">
        <f>S70/S67</f>
        <v>0.75677869784055851</v>
      </c>
      <c r="T89" s="29">
        <f>T70/T67</f>
        <v>0.75372249308209249</v>
      </c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G89" s="29"/>
      <c r="EH89" s="29">
        <f t="shared" ref="EH89:EN89" si="118">EH70/EH67</f>
        <v>0.77042891122535107</v>
      </c>
      <c r="EI89" s="29">
        <f t="shared" si="118"/>
        <v>0.77576314821625603</v>
      </c>
      <c r="EJ89" s="29">
        <f t="shared" si="118"/>
        <v>0.73856784770679496</v>
      </c>
      <c r="EK89" s="29">
        <f t="shared" si="118"/>
        <v>0.77874461434485087</v>
      </c>
      <c r="EL89" s="29">
        <f t="shared" si="118"/>
        <v>0.78235531980685524</v>
      </c>
      <c r="EM89" s="29">
        <f t="shared" si="118"/>
        <v>0.72815555025686607</v>
      </c>
      <c r="EN89" s="29">
        <f t="shared" si="118"/>
        <v>0.75520306480425281</v>
      </c>
      <c r="EO89" s="113">
        <v>0.75800000000000001</v>
      </c>
      <c r="EP89" s="113">
        <f>+EO89+0.25%</f>
        <v>0.76049999999999995</v>
      </c>
      <c r="EQ89" s="29">
        <f t="shared" ref="EQ89" si="119">EQ70/EQ67</f>
        <v>0.75641296936352309</v>
      </c>
      <c r="ER89" s="29"/>
      <c r="ES89" s="29"/>
      <c r="ET89" s="29"/>
      <c r="EU89" s="29"/>
      <c r="EV89" s="29"/>
      <c r="EW89" s="29"/>
      <c r="EX89" s="29"/>
      <c r="EY89" s="29"/>
      <c r="EZ89" s="29">
        <f>EZ70/EZ67</f>
        <v>0.78487046276769024</v>
      </c>
      <c r="FA89" s="29">
        <f t="shared" ref="FA89" si="120">FA70/FA67</f>
        <v>0.75973312526870596</v>
      </c>
      <c r="FI89" s="88" t="s">
        <v>677</v>
      </c>
      <c r="FJ89" s="51">
        <v>0.05</v>
      </c>
    </row>
    <row r="90" spans="2:233" x14ac:dyDescent="0.2">
      <c r="B90" s="15" t="s">
        <v>186</v>
      </c>
      <c r="C90" s="28">
        <v>0.2855581576893052</v>
      </c>
      <c r="D90" s="28">
        <v>0.289221140472879</v>
      </c>
      <c r="E90" s="28">
        <v>0.27419798981137272</v>
      </c>
      <c r="F90" s="28">
        <v>0.28620965590824221</v>
      </c>
      <c r="G90" s="28">
        <v>0.27536830510808208</v>
      </c>
      <c r="H90" s="28">
        <v>0.28927714057081888</v>
      </c>
      <c r="I90" s="28">
        <f t="shared" ref="I90:Q90" si="121">I71/I67</f>
        <v>0.26525087233786548</v>
      </c>
      <c r="J90" s="28">
        <f t="shared" si="121"/>
        <v>0.27613955212028163</v>
      </c>
      <c r="K90" s="28">
        <f t="shared" si="121"/>
        <v>0.26238097637160562</v>
      </c>
      <c r="L90" s="28">
        <f t="shared" si="121"/>
        <v>0.25450612833453495</v>
      </c>
      <c r="M90" s="28">
        <f t="shared" si="121"/>
        <v>0.24322074736058177</v>
      </c>
      <c r="N90" s="28">
        <f t="shared" si="121"/>
        <v>0.16197545696387197</v>
      </c>
      <c r="O90" s="28">
        <f t="shared" si="121"/>
        <v>0.19864570078167607</v>
      </c>
      <c r="P90" s="28">
        <f t="shared" si="121"/>
        <v>0.20323550586541311</v>
      </c>
      <c r="Q90" s="28">
        <f t="shared" si="121"/>
        <v>0.19024410564025659</v>
      </c>
      <c r="R90" s="28">
        <f>R71/R67</f>
        <v>0.19463832487309646</v>
      </c>
      <c r="S90" s="28">
        <f>S71/S67</f>
        <v>0.1845267088813119</v>
      </c>
      <c r="T90" s="28">
        <f>T71/T67</f>
        <v>0.21706856414986603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G90" s="28"/>
      <c r="EH90" s="28">
        <v>0.3015038747794061</v>
      </c>
      <c r="EI90" s="28">
        <v>0.2874954027215888</v>
      </c>
      <c r="EJ90" s="28">
        <v>0.28243343946887067</v>
      </c>
      <c r="EK90" s="28">
        <v>0.27400024467646372</v>
      </c>
      <c r="EL90" s="28">
        <v>0.27083787651550573</v>
      </c>
      <c r="EM90" s="28">
        <v>0.25664542132384005</v>
      </c>
      <c r="EN90" s="28">
        <f>EN71/EN67</f>
        <v>0.19736134128231064</v>
      </c>
      <c r="EO90" s="28">
        <f>EO71/EO67</f>
        <v>0.19104748462546628</v>
      </c>
      <c r="EP90" s="28">
        <f t="shared" ref="EP90:EZ90" si="122">EP71/EP67</f>
        <v>0.20048176478045895</v>
      </c>
      <c r="EQ90" s="28">
        <f t="shared" si="122"/>
        <v>0.18925019397615855</v>
      </c>
      <c r="ER90" s="28">
        <f t="shared" si="122"/>
        <v>0.46515147977351001</v>
      </c>
      <c r="ES90" s="28">
        <f t="shared" si="122"/>
        <v>0.16863670158187261</v>
      </c>
      <c r="ET90" s="28">
        <f t="shared" si="122"/>
        <v>0.16455136005646626</v>
      </c>
      <c r="EU90" s="28">
        <f t="shared" si="122"/>
        <v>0.16249841921123978</v>
      </c>
      <c r="EV90" s="28">
        <f t="shared" si="122"/>
        <v>0.15897565705715799</v>
      </c>
      <c r="EW90" s="28">
        <f t="shared" si="122"/>
        <v>0.1680111236814617</v>
      </c>
      <c r="EX90" s="28">
        <f t="shared" si="122"/>
        <v>0.16212897338195845</v>
      </c>
      <c r="EY90" s="28">
        <f t="shared" si="122"/>
        <v>0.14327935732103186</v>
      </c>
      <c r="EZ90" s="28">
        <f t="shared" si="122"/>
        <v>0.16050271762426488</v>
      </c>
      <c r="FA90" s="28">
        <f t="shared" ref="FA90" si="123">FA71/FA67</f>
        <v>0.1503797710227544</v>
      </c>
      <c r="FI90" s="88" t="s">
        <v>287</v>
      </c>
      <c r="FJ90" s="51">
        <v>0.01</v>
      </c>
      <c r="FL90" s="103" t="s">
        <v>676</v>
      </c>
    </row>
    <row r="91" spans="2:233" s="17" customFormat="1" x14ac:dyDescent="0.2">
      <c r="B91" s="15" t="s">
        <v>185</v>
      </c>
      <c r="C91" s="28">
        <v>0.33497267759562843</v>
      </c>
      <c r="D91" s="28">
        <v>0.33977746870653686</v>
      </c>
      <c r="E91" s="28">
        <v>0.3208040754509156</v>
      </c>
      <c r="F91" s="28">
        <v>0.33428914377167246</v>
      </c>
      <c r="G91" s="28">
        <v>0.34827206388544679</v>
      </c>
      <c r="H91" s="28">
        <v>0.35769538543611629</v>
      </c>
      <c r="I91" s="28">
        <v>0.33413548309469376</v>
      </c>
      <c r="J91" s="28">
        <v>0.35242098296664276</v>
      </c>
      <c r="K91" s="28">
        <f t="shared" ref="K91:Q91" si="124">K72/K67</f>
        <v>5.40077585772583E-2</v>
      </c>
      <c r="L91" s="28">
        <f t="shared" si="124"/>
        <v>6.6240086517664026E-2</v>
      </c>
      <c r="M91" s="28">
        <f t="shared" si="124"/>
        <v>5.4190213343847202E-2</v>
      </c>
      <c r="N91" s="28">
        <f t="shared" si="124"/>
        <v>5.2175405474984983E-2</v>
      </c>
      <c r="O91" s="28">
        <f t="shared" si="124"/>
        <v>4.9491001636066172E-2</v>
      </c>
      <c r="P91" s="28">
        <f t="shared" si="124"/>
        <v>5.2640494642781518E-2</v>
      </c>
      <c r="Q91" s="28">
        <f t="shared" si="124"/>
        <v>4.0281596267599765E-2</v>
      </c>
      <c r="R91" s="28">
        <f>R72/R67</f>
        <v>4.7906091370558374E-2</v>
      </c>
      <c r="S91" s="28">
        <f>S72/S67</f>
        <v>3.5354765383990905E-2</v>
      </c>
      <c r="T91" s="28">
        <f>T72/T67</f>
        <v>8.7978214081785036E-2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5"/>
      <c r="EG91" s="28"/>
      <c r="EH91" s="28">
        <v>0.34727230875469961</v>
      </c>
      <c r="EI91" s="28">
        <v>0.33751379183523356</v>
      </c>
      <c r="EJ91" s="28">
        <v>0.35305873585800418</v>
      </c>
      <c r="EK91" s="28">
        <v>0.34502251241079884</v>
      </c>
      <c r="EL91" s="28">
        <v>0.33891166000207307</v>
      </c>
      <c r="EM91" s="28">
        <v>0.32326238327340828</v>
      </c>
      <c r="EN91" s="28">
        <f>EN72/EN67</f>
        <v>5.019047414071412E-2</v>
      </c>
      <c r="EO91" s="28">
        <f>EO72/EO67</f>
        <v>4.3855227341465873E-2</v>
      </c>
      <c r="EP91" s="28">
        <f t="shared" ref="EP91:EZ91" si="125">EP72/EP67</f>
        <v>6.0727718378903776E-2</v>
      </c>
      <c r="EQ91" s="28">
        <f t="shared" si="125"/>
        <v>5.5065716771296229E-2</v>
      </c>
      <c r="ER91" s="28">
        <f t="shared" si="125"/>
        <v>0.13534411301149962</v>
      </c>
      <c r="ES91" s="28">
        <f t="shared" si="125"/>
        <v>4.9067853783668229E-2</v>
      </c>
      <c r="ET91" s="28">
        <f t="shared" si="125"/>
        <v>4.787915085752812E-2</v>
      </c>
      <c r="EU91" s="28">
        <f t="shared" si="125"/>
        <v>4.7281811130913592E-2</v>
      </c>
      <c r="EV91" s="28">
        <f t="shared" si="125"/>
        <v>4.6256800699200393E-2</v>
      </c>
      <c r="EW91" s="28">
        <f t="shared" si="125"/>
        <v>4.8885830744438225E-2</v>
      </c>
      <c r="EX91" s="28">
        <f t="shared" si="125"/>
        <v>4.7174314282587483E-2</v>
      </c>
      <c r="EY91" s="28">
        <f t="shared" si="125"/>
        <v>4.1689682550112642E-2</v>
      </c>
      <c r="EZ91" s="28">
        <f t="shared" si="125"/>
        <v>4.6739708176877046E-2</v>
      </c>
      <c r="FA91" s="28">
        <f t="shared" ref="FA91" si="126">FA72/FA67</f>
        <v>4.2403783379245552E-2</v>
      </c>
      <c r="FI91" s="88" t="s">
        <v>288</v>
      </c>
      <c r="FJ91" s="51">
        <v>0.11</v>
      </c>
      <c r="FL91" s="3" t="s">
        <v>672</v>
      </c>
    </row>
    <row r="92" spans="2:233" x14ac:dyDescent="0.2">
      <c r="B92" s="30" t="s">
        <v>1</v>
      </c>
      <c r="C92" s="28">
        <v>0.16963309914129587</v>
      </c>
      <c r="D92" s="28">
        <v>0.17044506258692629</v>
      </c>
      <c r="E92" s="28">
        <v>0.16060856395428885</v>
      </c>
      <c r="F92" s="28">
        <v>0.18138170178714325</v>
      </c>
      <c r="G92" s="28">
        <v>0.16253614209004544</v>
      </c>
      <c r="H92" s="28">
        <v>0.18624966657775407</v>
      </c>
      <c r="I92" s="28">
        <v>0.1539525929491036</v>
      </c>
      <c r="J92" s="28">
        <v>0.18283130835135153</v>
      </c>
      <c r="K92" s="28">
        <f t="shared" ref="K92:Q92" si="127">K73/K67</f>
        <v>0.15431507884528187</v>
      </c>
      <c r="L92" s="28">
        <f t="shared" si="127"/>
        <v>0.15888608507570295</v>
      </c>
      <c r="M92" s="28">
        <f t="shared" si="127"/>
        <v>0.15924124939764314</v>
      </c>
      <c r="N92" s="28">
        <f t="shared" si="127"/>
        <v>0.20381017763666009</v>
      </c>
      <c r="O92" s="28">
        <f t="shared" si="127"/>
        <v>0.18664788220323578</v>
      </c>
      <c r="P92" s="28">
        <f t="shared" si="127"/>
        <v>0.20065218311946809</v>
      </c>
      <c r="Q92" s="28">
        <f t="shared" si="127"/>
        <v>0.18820294926268433</v>
      </c>
      <c r="R92" s="28">
        <f>R73/R67</f>
        <v>0.21240482233502539</v>
      </c>
      <c r="S92" s="28">
        <f>S73/S67</f>
        <v>0.18148238350381554</v>
      </c>
      <c r="T92" s="28">
        <f>T73/T67</f>
        <v>0.24399349936311326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G92" s="28"/>
      <c r="EH92" s="28">
        <v>0.15852067827821684</v>
      </c>
      <c r="EI92" s="28">
        <v>0.17006252298639205</v>
      </c>
      <c r="EJ92" s="28">
        <v>0.17458166790867827</v>
      </c>
      <c r="EK92" s="28">
        <v>0.16883613144566781</v>
      </c>
      <c r="EL92" s="28">
        <v>0.17008854048286479</v>
      </c>
      <c r="EM92" s="28">
        <v>0.16445100677776556</v>
      </c>
      <c r="EN92" s="28">
        <f>EN73/EN67</f>
        <v>0.19036652820523858</v>
      </c>
      <c r="EO92" s="28">
        <f>EO73/EO67</f>
        <v>0.19909265046879726</v>
      </c>
      <c r="EP92" s="28">
        <f t="shared" ref="EP92:EZ92" si="128">EP73/EP67</f>
        <v>0.21184972319655157</v>
      </c>
      <c r="EQ92" s="28">
        <f t="shared" si="128"/>
        <v>0.19576309045167054</v>
      </c>
      <c r="ER92" s="28">
        <f t="shared" si="128"/>
        <v>0</v>
      </c>
      <c r="ES92" s="28">
        <f t="shared" si="128"/>
        <v>0</v>
      </c>
      <c r="ET92" s="28">
        <f t="shared" si="128"/>
        <v>0</v>
      </c>
      <c r="EU92" s="28">
        <f t="shared" si="128"/>
        <v>0</v>
      </c>
      <c r="EV92" s="28">
        <f t="shared" si="128"/>
        <v>0</v>
      </c>
      <c r="EW92" s="28">
        <f t="shared" si="128"/>
        <v>0</v>
      </c>
      <c r="EX92" s="28">
        <f t="shared" si="128"/>
        <v>0</v>
      </c>
      <c r="EY92" s="28">
        <f t="shared" si="128"/>
        <v>0</v>
      </c>
      <c r="EZ92" s="28">
        <f t="shared" si="128"/>
        <v>0.20837405483257035</v>
      </c>
      <c r="FA92" s="28">
        <f t="shared" ref="FA92" si="129">FA73/FA67</f>
        <v>0.21827677903218101</v>
      </c>
      <c r="FI92" s="114" t="s">
        <v>701</v>
      </c>
      <c r="FJ92" s="25">
        <f>NPV(FJ91,ES83:IB83)+Main!J5-Main!J6+ER83</f>
        <v>-6790.9441220382505</v>
      </c>
      <c r="FL92" s="3" t="s">
        <v>673</v>
      </c>
    </row>
    <row r="93" spans="2:233" s="17" customFormat="1" x14ac:dyDescent="0.2">
      <c r="B93" s="17" t="s">
        <v>149</v>
      </c>
      <c r="C93" s="29">
        <v>0.22115534738485559</v>
      </c>
      <c r="D93" s="29">
        <v>0.20584144645340752</v>
      </c>
      <c r="E93" s="29">
        <v>0.25478452430125292</v>
      </c>
      <c r="F93" s="29">
        <v>0.21665777540677514</v>
      </c>
      <c r="G93" s="29">
        <v>0.24280600302905136</v>
      </c>
      <c r="H93" s="29">
        <v>0.21599093091491064</v>
      </c>
      <c r="I93" s="29">
        <v>0.26308506798219228</v>
      </c>
      <c r="J93" s="29">
        <v>0.22392567642135672</v>
      </c>
      <c r="K93" s="29">
        <f t="shared" ref="K93:R93" si="130">K76/K67</f>
        <v>0.31734596201319965</v>
      </c>
      <c r="L93" s="29">
        <f t="shared" si="130"/>
        <v>0.29762977649603461</v>
      </c>
      <c r="M93" s="29">
        <f t="shared" si="130"/>
        <v>0.37608971831602928</v>
      </c>
      <c r="N93" s="29">
        <f t="shared" si="130"/>
        <v>0.31931691409937357</v>
      </c>
      <c r="O93" s="29">
        <f t="shared" si="130"/>
        <v>0.31998727504090163</v>
      </c>
      <c r="P93" s="29">
        <f t="shared" si="130"/>
        <v>0.29030618726972429</v>
      </c>
      <c r="Q93" s="29">
        <f t="shared" si="130"/>
        <v>0.33200033325002082</v>
      </c>
      <c r="R93" s="29">
        <f t="shared" si="130"/>
        <v>0.28604854060913704</v>
      </c>
      <c r="S93" s="29">
        <f t="shared" ref="S93:T93" si="131">S76/S67</f>
        <v>0.35541484007144014</v>
      </c>
      <c r="T93" s="29">
        <f t="shared" si="131"/>
        <v>0.20468221548732815</v>
      </c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93"/>
      <c r="BW93" s="93"/>
      <c r="BX93" s="93"/>
      <c r="BY93" s="93"/>
      <c r="BZ93" s="93"/>
      <c r="CA93" s="93"/>
      <c r="CB93" s="93"/>
      <c r="CC93" s="93"/>
      <c r="CD93" s="93"/>
      <c r="CE93" s="93"/>
      <c r="CF93" s="93"/>
      <c r="CG93" s="93"/>
      <c r="CH93" s="93"/>
      <c r="CI93" s="93"/>
      <c r="CJ93" s="93"/>
      <c r="CK93" s="93"/>
      <c r="CL93" s="93"/>
      <c r="CM93" s="93"/>
      <c r="CN93" s="93"/>
      <c r="CO93" s="93"/>
      <c r="CP93" s="93"/>
      <c r="CQ93" s="93"/>
      <c r="CR93" s="93"/>
      <c r="CS93" s="93"/>
      <c r="CT93" s="93"/>
      <c r="CU93" s="93"/>
      <c r="CV93" s="93"/>
      <c r="CW93" s="93"/>
      <c r="CX93" s="93"/>
      <c r="CY93" s="93"/>
      <c r="CZ93" s="93"/>
      <c r="DA93" s="93"/>
      <c r="DB93" s="93"/>
      <c r="DC93" s="93"/>
      <c r="DD93" s="93"/>
      <c r="DE93" s="93"/>
      <c r="DF93" s="93"/>
      <c r="DG93" s="93"/>
      <c r="DH93" s="93"/>
      <c r="DI93" s="93"/>
      <c r="DJ93" s="93"/>
      <c r="DK93" s="93"/>
      <c r="DL93" s="93"/>
      <c r="DM93" s="93"/>
      <c r="DN93" s="93"/>
      <c r="DO93" s="93"/>
      <c r="DP93" s="93"/>
      <c r="DQ93" s="93"/>
      <c r="DR93" s="93"/>
      <c r="DS93" s="93"/>
      <c r="DT93" s="93"/>
      <c r="DU93" s="93"/>
      <c r="DV93" s="93"/>
      <c r="DW93" s="93"/>
      <c r="DX93" s="93"/>
      <c r="DY93" s="93"/>
      <c r="DZ93" s="93"/>
      <c r="EA93" s="93"/>
      <c r="EB93" s="93"/>
      <c r="EC93" s="93"/>
      <c r="ED93" s="93"/>
      <c r="EE93" s="93"/>
      <c r="EF93" s="5"/>
      <c r="EG93" s="29"/>
      <c r="EH93" s="29">
        <v>0.20037596869485153</v>
      </c>
      <c r="EI93" s="29">
        <v>0.21305627068775285</v>
      </c>
      <c r="EJ93" s="29">
        <v>0.22918501456540885</v>
      </c>
      <c r="EK93" s="29">
        <v>0.2429030652968388</v>
      </c>
      <c r="EL93" s="29">
        <f>EL76/EL67</f>
        <v>0.33571989248590661</v>
      </c>
      <c r="EM93" s="29">
        <f>EM76/EM67</f>
        <v>0.34740857954175969</v>
      </c>
      <c r="EN93" s="29">
        <f>EN76/EN67</f>
        <v>0.31728472117598949</v>
      </c>
      <c r="EO93" s="29">
        <f>EO76/EO67</f>
        <v>0.30613973182780524</v>
      </c>
      <c r="EP93" s="29">
        <f t="shared" ref="EP93:EZ93" si="132">EP76/EP67</f>
        <v>0.28185352660271312</v>
      </c>
      <c r="EQ93" s="29">
        <f t="shared" si="132"/>
        <v>0.31633396816439774</v>
      </c>
      <c r="ER93" s="29">
        <f t="shared" si="132"/>
        <v>-0.60049559278500964</v>
      </c>
      <c r="ES93" s="29">
        <f t="shared" si="132"/>
        <v>-0.21770455536554084</v>
      </c>
      <c r="ET93" s="29">
        <f t="shared" si="132"/>
        <v>-0.21243051091399437</v>
      </c>
      <c r="EU93" s="29">
        <f t="shared" si="132"/>
        <v>-0.20978023034215337</v>
      </c>
      <c r="EV93" s="29">
        <f t="shared" si="132"/>
        <v>-0.20523245775635837</v>
      </c>
      <c r="EW93" s="29">
        <f t="shared" si="132"/>
        <v>-0.21689695442589996</v>
      </c>
      <c r="EX93" s="29">
        <f t="shared" si="132"/>
        <v>-0.20930328766454592</v>
      </c>
      <c r="EY93" s="29">
        <f t="shared" si="132"/>
        <v>-0.18496903987114449</v>
      </c>
      <c r="EZ93" s="29">
        <f t="shared" si="132"/>
        <v>0.36925398213397803</v>
      </c>
      <c r="FA93" s="29">
        <f t="shared" ref="FA93" si="133">FA76/FA67</f>
        <v>0.34867279183452493</v>
      </c>
      <c r="FI93" s="114" t="s">
        <v>702</v>
      </c>
      <c r="FJ93" s="50">
        <f>FJ92/Main!J3</f>
        <v>-8.4844061329583358</v>
      </c>
      <c r="FL93" s="3" t="s">
        <v>674</v>
      </c>
    </row>
    <row r="94" spans="2:233" x14ac:dyDescent="0.2">
      <c r="B94" s="15" t="s">
        <v>10</v>
      </c>
      <c r="C94" s="28">
        <v>0.1923497267759563</v>
      </c>
      <c r="D94" s="28">
        <v>0.18463143254520167</v>
      </c>
      <c r="E94" s="28">
        <v>0.23647253201156546</v>
      </c>
      <c r="F94" s="28">
        <v>0.20892237930114696</v>
      </c>
      <c r="G94" s="28">
        <v>0.22924411400247832</v>
      </c>
      <c r="H94" s="28">
        <v>0.20905574819951986</v>
      </c>
      <c r="I94" s="28">
        <v>0.26633377451570206</v>
      </c>
      <c r="J94" s="28">
        <v>0.21662116376542248</v>
      </c>
      <c r="K94" s="28"/>
      <c r="L94" s="28"/>
      <c r="M94" s="28"/>
      <c r="N94" s="28"/>
      <c r="O94" s="28"/>
      <c r="P94" s="28"/>
      <c r="Q94" s="28"/>
      <c r="R94" s="28">
        <f>R79/R67</f>
        <v>0.24175126903553298</v>
      </c>
      <c r="S94" s="28">
        <f>S79/S67</f>
        <v>0.30646208800129893</v>
      </c>
      <c r="T94" s="28">
        <f>T79/T67</f>
        <v>0.15772829094742391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EG94" s="28"/>
      <c r="EH94" s="28">
        <v>0.23098438178172287</v>
      </c>
      <c r="EI94" s="28">
        <v>0.18826774549466715</v>
      </c>
      <c r="EJ94" s="28">
        <v>0.2189892283720615</v>
      </c>
      <c r="EK94" s="28">
        <v>0.24071284416750166</v>
      </c>
      <c r="EL94" s="28">
        <v>0.27114359566035856</v>
      </c>
      <c r="EM94" s="28">
        <v>0.30398791565649136</v>
      </c>
      <c r="EN94" s="28">
        <f t="shared" ref="EN94:EZ94" si="134">EN79/EN67</f>
        <v>0.32236403159503263</v>
      </c>
      <c r="EO94" s="28">
        <f t="shared" si="134"/>
        <v>0.2725073092045569</v>
      </c>
      <c r="EP94" s="28">
        <f t="shared" si="134"/>
        <v>0.23378269872797194</v>
      </c>
      <c r="EQ94" s="28">
        <f t="shared" si="134"/>
        <v>0.27944322964425949</v>
      </c>
      <c r="ER94" s="28">
        <f t="shared" si="134"/>
        <v>-0.60440079388243528</v>
      </c>
      <c r="ES94" s="28">
        <f t="shared" si="134"/>
        <v>-0.2275453339033775</v>
      </c>
      <c r="ET94" s="28">
        <f t="shared" si="134"/>
        <v>-0.23065235802031098</v>
      </c>
      <c r="EU94" s="28">
        <f t="shared" si="134"/>
        <v>-0.23669937352076836</v>
      </c>
      <c r="EV94" s="28">
        <f t="shared" si="134"/>
        <v>-0.24072251323951199</v>
      </c>
      <c r="EW94" s="28">
        <f t="shared" si="134"/>
        <v>-0.26454797243931771</v>
      </c>
      <c r="EX94" s="28">
        <f t="shared" si="134"/>
        <v>-0.26554935001052543</v>
      </c>
      <c r="EY94" s="28">
        <f t="shared" si="134"/>
        <v>-0.24418560556188507</v>
      </c>
      <c r="EZ94" s="28">
        <f t="shared" si="134"/>
        <v>0.35958369768358966</v>
      </c>
      <c r="FA94" s="28">
        <f t="shared" ref="FA94" si="135">FA79/FA67</f>
        <v>0.33671438352892469</v>
      </c>
      <c r="FI94" s="114" t="s">
        <v>703</v>
      </c>
      <c r="FJ94" s="104">
        <f>FJ93/Main!J2-1</f>
        <v>-1.0305194465214329</v>
      </c>
      <c r="FL94" s="3" t="s">
        <v>675</v>
      </c>
    </row>
    <row r="95" spans="2:233" x14ac:dyDescent="0.2">
      <c r="B95" s="15" t="s">
        <v>11</v>
      </c>
      <c r="C95" s="28">
        <v>0.26704545454545453</v>
      </c>
      <c r="D95" s="28">
        <v>0.24896421845574387</v>
      </c>
      <c r="E95" s="28">
        <v>0.2430858806404658</v>
      </c>
      <c r="F95" s="28">
        <v>0.25853814235556977</v>
      </c>
      <c r="G95" s="28">
        <v>0.24204204204204205</v>
      </c>
      <c r="H95" s="28">
        <v>0.25486443381180224</v>
      </c>
      <c r="I95" s="28">
        <v>0.24734583239213914</v>
      </c>
      <c r="J95" s="28">
        <v>0.25700000000000001</v>
      </c>
      <c r="K95" s="28">
        <f t="shared" ref="K95:R95" si="136">K80/K79</f>
        <v>0.25301204819277107</v>
      </c>
      <c r="L95" s="28">
        <f t="shared" si="136"/>
        <v>0.24658897100625354</v>
      </c>
      <c r="M95" s="28">
        <f t="shared" si="136"/>
        <v>0.23280132085855806</v>
      </c>
      <c r="N95" s="28">
        <f t="shared" si="136"/>
        <v>0.22530864197530864</v>
      </c>
      <c r="O95" s="28">
        <f t="shared" si="136"/>
        <v>0.25570211596592468</v>
      </c>
      <c r="P95" s="28">
        <f t="shared" si="136"/>
        <v>0</v>
      </c>
      <c r="Q95" s="28">
        <f t="shared" si="136"/>
        <v>0.2261760345059981</v>
      </c>
      <c r="R95" s="28">
        <f t="shared" si="136"/>
        <v>0.19553805774278216</v>
      </c>
      <c r="S95" s="28">
        <f t="shared" ref="S95:T95" si="137">S80/S79</f>
        <v>0.23841059602649006</v>
      </c>
      <c r="T95" s="28">
        <f t="shared" si="137"/>
        <v>0.14480646059593427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EG95" s="28"/>
      <c r="EH95" s="28">
        <v>0.2649132500765265</v>
      </c>
      <c r="EI95" s="28">
        <v>0.25766751318616915</v>
      </c>
      <c r="EJ95" s="28">
        <v>0.24825986078886311</v>
      </c>
      <c r="EK95" s="28">
        <v>0.25182342708389949</v>
      </c>
      <c r="EL95" s="28">
        <v>0.27200000000000002</v>
      </c>
      <c r="EM95" s="28">
        <v>0.28000000000000003</v>
      </c>
      <c r="EN95" s="28">
        <f>EN80/EN79</f>
        <v>0.22145813860328481</v>
      </c>
      <c r="EO95" s="28">
        <f>EO80/EO79</f>
        <v>0.21235664076951535</v>
      </c>
      <c r="EP95" s="28">
        <f>EP80/EP79</f>
        <v>0.2096890817064353</v>
      </c>
      <c r="EQ95" s="28">
        <f t="shared" ref="EQ95:EY95" si="138">EQ80/EQ79</f>
        <v>0.19697097181320994</v>
      </c>
      <c r="ER95" s="28">
        <f t="shared" si="138"/>
        <v>0.24</v>
      </c>
      <c r="ES95" s="28">
        <f t="shared" si="138"/>
        <v>0.24</v>
      </c>
      <c r="ET95" s="28">
        <f t="shared" si="138"/>
        <v>0.24</v>
      </c>
      <c r="EU95" s="28">
        <f t="shared" si="138"/>
        <v>0.23999999999999996</v>
      </c>
      <c r="EV95" s="28">
        <f t="shared" si="138"/>
        <v>0.24</v>
      </c>
      <c r="EW95" s="28">
        <f t="shared" si="138"/>
        <v>0.24</v>
      </c>
      <c r="EX95" s="28">
        <f t="shared" si="138"/>
        <v>0.24</v>
      </c>
      <c r="EY95" s="28">
        <f t="shared" si="138"/>
        <v>0.24</v>
      </c>
      <c r="EZ95" s="28">
        <f>EZ80/EZ79</f>
        <v>0.17137135227922945</v>
      </c>
      <c r="FA95" s="28">
        <f t="shared" ref="FA95" si="139">FA80/FA79</f>
        <v>0.14541757306346353</v>
      </c>
      <c r="FI95" s="44"/>
      <c r="FJ95" s="44"/>
    </row>
    <row r="96" spans="2:233" s="17" customFormat="1" x14ac:dyDescent="0.2">
      <c r="B96" s="17" t="s">
        <v>20</v>
      </c>
      <c r="C96" s="29">
        <v>0.12782982045277128</v>
      </c>
      <c r="D96" s="29">
        <v>0.12291376912378303</v>
      </c>
      <c r="E96" s="29">
        <v>0.1607462481068429</v>
      </c>
      <c r="F96" s="29">
        <v>0.13510269405174713</v>
      </c>
      <c r="G96" s="29">
        <v>0.15637477626325211</v>
      </c>
      <c r="H96" s="29">
        <v>0.1380034675913577</v>
      </c>
      <c r="I96" s="29">
        <v>0.17350499338226447</v>
      </c>
      <c r="J96" s="29">
        <v>0.1330572899949157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93"/>
      <c r="BW96" s="93"/>
      <c r="BX96" s="93"/>
      <c r="BY96" s="93"/>
      <c r="BZ96" s="93"/>
      <c r="CA96" s="93"/>
      <c r="CB96" s="93"/>
      <c r="CC96" s="93"/>
      <c r="CD96" s="93"/>
      <c r="CE96" s="93"/>
      <c r="CF96" s="93"/>
      <c r="CG96" s="93"/>
      <c r="CH96" s="93"/>
      <c r="CI96" s="93"/>
      <c r="CJ96" s="93"/>
      <c r="CK96" s="93"/>
      <c r="CL96" s="93"/>
      <c r="CM96" s="93"/>
      <c r="CN96" s="93"/>
      <c r="CO96" s="93"/>
      <c r="CP96" s="93"/>
      <c r="CQ96" s="93"/>
      <c r="CR96" s="93"/>
      <c r="CS96" s="93"/>
      <c r="CT96" s="93"/>
      <c r="CU96" s="93"/>
      <c r="CV96" s="93"/>
      <c r="CW96" s="93"/>
      <c r="CX96" s="93"/>
      <c r="CY96" s="93"/>
      <c r="CZ96" s="93"/>
      <c r="DA96" s="93"/>
      <c r="DB96" s="93"/>
      <c r="DC96" s="93"/>
      <c r="DD96" s="93"/>
      <c r="DE96" s="93"/>
      <c r="DF96" s="93"/>
      <c r="DG96" s="93"/>
      <c r="DH96" s="93"/>
      <c r="DI96" s="93"/>
      <c r="DJ96" s="93"/>
      <c r="DK96" s="93"/>
      <c r="DL96" s="93"/>
      <c r="DM96" s="93"/>
      <c r="DN96" s="93"/>
      <c r="DO96" s="93"/>
      <c r="DP96" s="93"/>
      <c r="DQ96" s="93"/>
      <c r="DR96" s="93"/>
      <c r="DS96" s="93"/>
      <c r="DT96" s="93"/>
      <c r="DU96" s="93"/>
      <c r="DV96" s="93"/>
      <c r="DW96" s="93"/>
      <c r="DX96" s="93"/>
      <c r="DY96" s="93"/>
      <c r="DZ96" s="93"/>
      <c r="EA96" s="93"/>
      <c r="EB96" s="93"/>
      <c r="EC96" s="93"/>
      <c r="ED96" s="93"/>
      <c r="EE96" s="93"/>
      <c r="EF96" s="5"/>
      <c r="EG96" s="29"/>
      <c r="EH96" s="29">
        <v>0.17109793967322903</v>
      </c>
      <c r="EI96" s="29">
        <v>0.12522986392055904</v>
      </c>
      <c r="EJ96" s="29">
        <v>0.14704288327349097</v>
      </c>
      <c r="EK96" s="29">
        <v>0.15265901938106788</v>
      </c>
      <c r="EL96" s="29">
        <v>0.16483039249577047</v>
      </c>
      <c r="EM96" s="29">
        <v>0.17561949193815188</v>
      </c>
      <c r="EN96" s="29">
        <f t="shared" ref="EN96:EY96" si="140">EN83/EN67</f>
        <v>0.2106192023760842</v>
      </c>
      <c r="EO96" s="29">
        <f t="shared" si="140"/>
        <v>0.2</v>
      </c>
      <c r="EP96" s="29">
        <f t="shared" si="140"/>
        <v>0.1800067616109538</v>
      </c>
      <c r="EQ96" s="29">
        <f t="shared" si="140"/>
        <v>0.21967506054407374</v>
      </c>
      <c r="ER96" s="29">
        <f t="shared" si="140"/>
        <v>-0.45934460335065086</v>
      </c>
      <c r="ES96" s="29">
        <f t="shared" si="140"/>
        <v>-0.17293445376656688</v>
      </c>
      <c r="ET96" s="29">
        <f t="shared" si="140"/>
        <v>-0.17529579209543633</v>
      </c>
      <c r="EU96" s="29">
        <f t="shared" si="140"/>
        <v>-0.17989152387578397</v>
      </c>
      <c r="EV96" s="29">
        <f t="shared" si="140"/>
        <v>-0.1829491100620291</v>
      </c>
      <c r="EW96" s="29">
        <f t="shared" si="140"/>
        <v>-0.20105645905388148</v>
      </c>
      <c r="EX96" s="29">
        <f t="shared" si="140"/>
        <v>-0.20181750600799933</v>
      </c>
      <c r="EY96" s="29">
        <f t="shared" si="140"/>
        <v>-0.18558106022703266</v>
      </c>
      <c r="EZ96" s="29">
        <f>EZ83/EZ67</f>
        <v>0.28422749172710593</v>
      </c>
      <c r="FA96" s="29">
        <f>FA83/FA67</f>
        <v>0.27130141239789174</v>
      </c>
      <c r="FC96" s="48"/>
      <c r="FD96" s="48"/>
    </row>
    <row r="97" spans="2:160" x14ac:dyDescent="0.2">
      <c r="B97" s="15" t="s">
        <v>7</v>
      </c>
      <c r="C97" s="28">
        <v>0.11280249804839969</v>
      </c>
      <c r="D97" s="28">
        <v>0.11328233657858136</v>
      </c>
      <c r="E97" s="28">
        <v>0.19454770755885997</v>
      </c>
      <c r="F97" s="28">
        <v>0.10089357161909843</v>
      </c>
      <c r="G97" s="28">
        <v>0.18718160539721879</v>
      </c>
      <c r="H97" s="28">
        <v>9.8826353694318483E-2</v>
      </c>
      <c r="I97" s="28">
        <v>0.16827096618938756</v>
      </c>
      <c r="J97" s="28">
        <v>0.13251987160344253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EG97" s="28"/>
      <c r="EH97" s="28">
        <v>-4.0346087028221136E-2</v>
      </c>
      <c r="EI97" s="28">
        <v>0.11305627068775286</v>
      </c>
      <c r="EJ97" s="28">
        <v>0.14230065713705034</v>
      </c>
      <c r="EK97" s="28">
        <v>0.15410220583112316</v>
      </c>
      <c r="EL97" s="28">
        <v>0.16469033218166365</v>
      </c>
      <c r="EM97" s="28">
        <v>0.17550225150897455</v>
      </c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</row>
    <row r="98" spans="2:160" x14ac:dyDescent="0.2">
      <c r="G98" s="23"/>
      <c r="H98" s="23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2:160" s="17" customFormat="1" x14ac:dyDescent="0.2">
      <c r="B99" s="17" t="s">
        <v>184</v>
      </c>
      <c r="C99" s="75" t="s">
        <v>12</v>
      </c>
      <c r="D99" s="75" t="s">
        <v>12</v>
      </c>
      <c r="E99" s="29">
        <v>0.13395784543325528</v>
      </c>
      <c r="F99" s="29">
        <v>4.2837273991655156E-2</v>
      </c>
      <c r="G99" s="75" t="s">
        <v>12</v>
      </c>
      <c r="H99" s="75" t="s">
        <v>12</v>
      </c>
      <c r="I99" s="29">
        <v>0.14429299187663491</v>
      </c>
      <c r="J99" s="29">
        <v>7.3267007224671055E-2</v>
      </c>
      <c r="K99" s="29">
        <f t="shared" ref="K99:T99" si="141">K67/I67-1</f>
        <v>0.19414029599326188</v>
      </c>
      <c r="L99" s="29">
        <f t="shared" si="141"/>
        <v>0.17486367727248653</v>
      </c>
      <c r="M99" s="29">
        <f t="shared" si="141"/>
        <v>0.1500327472416747</v>
      </c>
      <c r="N99" s="29">
        <f t="shared" si="141"/>
        <v>5.0198269646719584E-2</v>
      </c>
      <c r="O99" s="29">
        <f t="shared" si="141"/>
        <v>-3.6053795943400413E-2</v>
      </c>
      <c r="P99" s="29">
        <f t="shared" si="141"/>
        <v>1.3172573586200942E-2</v>
      </c>
      <c r="Q99" s="29">
        <f t="shared" si="141"/>
        <v>9.0983457553172054E-2</v>
      </c>
      <c r="R99" s="29">
        <f t="shared" si="141"/>
        <v>6.7886333799178411E-2</v>
      </c>
      <c r="S99" s="29">
        <f t="shared" si="141"/>
        <v>2.6243439140214875E-2</v>
      </c>
      <c r="T99" s="29">
        <f t="shared" si="141"/>
        <v>-9.7120875634517767E-2</v>
      </c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79"/>
      <c r="BH99" s="79"/>
      <c r="BI99" s="79"/>
      <c r="BJ99" s="79"/>
      <c r="BK99" s="79"/>
      <c r="BL99" s="79"/>
      <c r="BM99" s="79"/>
      <c r="BN99" s="79"/>
      <c r="BO99" s="79"/>
      <c r="BP99" s="79">
        <f t="shared" ref="BP99:BQ99" si="142">BP67/BL67-1</f>
        <v>2.3527361449982021E-3</v>
      </c>
      <c r="BQ99" s="79">
        <f t="shared" si="142"/>
        <v>-1.7546658159196538E-3</v>
      </c>
      <c r="BR99" s="79">
        <f t="shared" ref="BR99:BW99" si="143">BR67/BN67-1</f>
        <v>6.0909583107742193E-2</v>
      </c>
      <c r="BS99" s="79">
        <f t="shared" si="143"/>
        <v>0.1108959690195388</v>
      </c>
      <c r="BT99" s="79">
        <f t="shared" si="143"/>
        <v>9.2236807789272346E-2</v>
      </c>
      <c r="BU99" s="79">
        <f t="shared" si="143"/>
        <v>1.0866091403004097E-2</v>
      </c>
      <c r="BV99" s="79">
        <f t="shared" si="143"/>
        <v>-0.33154716339202173</v>
      </c>
      <c r="BW99" s="79">
        <f t="shared" si="143"/>
        <v>-1.8301378545396929E-2</v>
      </c>
      <c r="BX99" s="79">
        <f t="shared" ref="BX99" si="144">BX67/BT67-1</f>
        <v>-8.5402737981534527E-2</v>
      </c>
      <c r="BY99" s="79">
        <f t="shared" ref="BY99" si="145">BY67/BU67-1</f>
        <v>-0.10322478659500478</v>
      </c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G99" s="29"/>
      <c r="EH99" s="29"/>
      <c r="EI99" s="29">
        <v>4.3121307450318502E-2</v>
      </c>
      <c r="EJ99" s="29"/>
      <c r="EK99" s="29">
        <f t="shared" ref="EK99:EL99" si="146">EK67/EJ67-1</f>
        <v>0.20286565950816349</v>
      </c>
      <c r="EL99" s="29">
        <f t="shared" si="146"/>
        <v>0.18388668299963395</v>
      </c>
      <c r="EM99" s="29">
        <f>EM67/EL67-1</f>
        <v>9.733355533883592E-2</v>
      </c>
      <c r="EN99" s="29">
        <f>EN67/EM67-1</f>
        <v>7.1532308759456598E-3</v>
      </c>
      <c r="EO99" s="29">
        <f>EO67/EN67-1</f>
        <v>6.7408475561199221E-2</v>
      </c>
      <c r="EP99" s="29">
        <f>EP67/EO67-1</f>
        <v>-4.5750579695533866E-2</v>
      </c>
      <c r="EQ99" s="29">
        <f t="shared" ref="EQ99:ES99" si="147">EQ67/EP67-1</f>
        <v>-0.10131851413599291</v>
      </c>
      <c r="ER99" s="29">
        <f t="shared" si="147"/>
        <v>-0.59721144576896856</v>
      </c>
      <c r="ES99" s="29">
        <f t="shared" si="147"/>
        <v>1.7307220827739185</v>
      </c>
      <c r="ET99" s="29">
        <f t="shared" ref="ET99" si="148">ET67/ES67-1</f>
        <v>1.4578879863189398E-2</v>
      </c>
      <c r="EU99" s="29">
        <f t="shared" ref="EU99" si="149">EU67/ET67-1</f>
        <v>2.5072689730731845E-3</v>
      </c>
      <c r="EV99" s="29">
        <f t="shared" ref="EV99" si="150">EV67/EU67-1</f>
        <v>1.1937538092936295E-2</v>
      </c>
      <c r="EW99" s="29">
        <f t="shared" ref="EW99" si="151">EW67/EV67-1</f>
        <v>-6.3241188809736393E-2</v>
      </c>
      <c r="EX99" s="29">
        <f t="shared" ref="EX99" si="152">EX67/EW67-1</f>
        <v>2.5917878680383089E-2</v>
      </c>
      <c r="EY99" s="29">
        <f t="shared" ref="EY99" si="153">EY67/EX67-1</f>
        <v>0.12024290623041511</v>
      </c>
      <c r="EZ99" s="29">
        <f t="shared" ref="EZ99" si="154">EZ67/EY67-1</f>
        <v>0.12512298165403091</v>
      </c>
      <c r="FA99" s="29">
        <f t="shared" ref="FA99:FC99" si="155">FA67/EZ67-1</f>
        <v>7.6779315192976982E-2</v>
      </c>
      <c r="FB99" s="29">
        <f t="shared" si="155"/>
        <v>-4.0158596200697394E-2</v>
      </c>
      <c r="FC99" s="29">
        <f t="shared" si="155"/>
        <v>-1.8414373164783782E-2</v>
      </c>
      <c r="FD99" s="48"/>
    </row>
    <row r="100" spans="2:160" s="17" customFormat="1" x14ac:dyDescent="0.2">
      <c r="B100" s="17" t="s">
        <v>336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>
        <v>0.1</v>
      </c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>
        <v>0.14000000000000001</v>
      </c>
      <c r="BU100" s="48"/>
      <c r="BV100" s="79">
        <v>0.09</v>
      </c>
      <c r="BW100" s="79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/>
      <c r="EJ100" s="29"/>
      <c r="EK100" s="29"/>
      <c r="EL100" s="29">
        <v>0.17399999999999999</v>
      </c>
      <c r="EM100" s="29">
        <v>0.10199999999999999</v>
      </c>
      <c r="EN100" s="29">
        <v>5.8999999999999997E-2</v>
      </c>
      <c r="EO100" s="29">
        <v>0.1</v>
      </c>
      <c r="EP100" s="29">
        <v>0</v>
      </c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48"/>
      <c r="FC100" s="29">
        <v>0.01</v>
      </c>
      <c r="FD100" s="48"/>
    </row>
    <row r="101" spans="2:160" s="17" customFormat="1" x14ac:dyDescent="0.2">
      <c r="B101" s="17" t="s">
        <v>337</v>
      </c>
      <c r="C101" s="75"/>
      <c r="D101" s="75"/>
      <c r="E101" s="29"/>
      <c r="F101" s="29"/>
      <c r="G101" s="75"/>
      <c r="H101" s="75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79"/>
      <c r="BS101" s="48"/>
      <c r="BT101" s="79">
        <v>0.15</v>
      </c>
      <c r="BU101" s="48"/>
      <c r="BV101" s="79">
        <v>0.1</v>
      </c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79">
        <v>0.02</v>
      </c>
      <c r="EA101" s="48"/>
      <c r="EB101" s="48"/>
      <c r="EC101" s="48"/>
      <c r="ED101" s="48"/>
      <c r="EE101" s="48"/>
      <c r="EG101" s="29"/>
      <c r="EH101" s="29"/>
      <c r="EI101" s="29"/>
      <c r="EJ101" s="29"/>
      <c r="EK101" s="29"/>
      <c r="EL101" s="29"/>
      <c r="EM101" s="29">
        <v>0.114</v>
      </c>
      <c r="EN101" s="29">
        <v>4.7E-2</v>
      </c>
      <c r="EO101" s="29">
        <v>0.11</v>
      </c>
      <c r="EP101" s="29">
        <v>-0.02</v>
      </c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48"/>
      <c r="FC101" s="48"/>
      <c r="FD101" s="48"/>
    </row>
    <row r="102" spans="2:160" s="17" customFormat="1" x14ac:dyDescent="0.2">
      <c r="B102" s="17" t="s">
        <v>721</v>
      </c>
      <c r="C102" s="75"/>
      <c r="D102" s="75"/>
      <c r="E102" s="29"/>
      <c r="F102" s="29"/>
      <c r="G102" s="75"/>
      <c r="H102" s="7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79"/>
      <c r="BS102" s="48"/>
      <c r="BT102" s="79"/>
      <c r="BU102" s="48"/>
      <c r="BV102" s="79"/>
      <c r="BW102" s="48"/>
      <c r="BX102" s="48"/>
      <c r="BY102" s="79">
        <v>0.1</v>
      </c>
      <c r="BZ102" s="79">
        <v>7.0000000000000007E-2</v>
      </c>
      <c r="CA102" s="79">
        <v>0.06</v>
      </c>
      <c r="CB102" s="79">
        <v>7.0000000000000007E-2</v>
      </c>
      <c r="CC102" s="79">
        <v>0.1</v>
      </c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48"/>
      <c r="FC102" s="48"/>
      <c r="FD102" s="48"/>
    </row>
    <row r="103" spans="2:160" s="17" customFormat="1" x14ac:dyDescent="0.2">
      <c r="B103" s="17" t="s">
        <v>722</v>
      </c>
      <c r="C103" s="75"/>
      <c r="D103" s="75"/>
      <c r="E103" s="29"/>
      <c r="F103" s="29"/>
      <c r="G103" s="75"/>
      <c r="H103" s="7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79"/>
      <c r="BS103" s="48"/>
      <c r="BT103" s="79"/>
      <c r="BU103" s="48"/>
      <c r="BV103" s="79"/>
      <c r="BW103" s="48"/>
      <c r="BX103" s="48"/>
      <c r="BY103" s="79">
        <v>0.02</v>
      </c>
      <c r="BZ103" s="79">
        <v>-0.06</v>
      </c>
      <c r="CA103" s="79">
        <v>-0.09</v>
      </c>
      <c r="CB103" s="79">
        <v>-0.1</v>
      </c>
      <c r="CC103" s="79">
        <v>-0.02</v>
      </c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x14ac:dyDescent="0.2">
      <c r="B104" s="17" t="s">
        <v>723</v>
      </c>
      <c r="C104" s="75"/>
      <c r="D104" s="75"/>
      <c r="E104" s="29"/>
      <c r="F104" s="29"/>
      <c r="G104" s="75"/>
      <c r="H104" s="7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79"/>
      <c r="BS104" s="48"/>
      <c r="BT104" s="79"/>
      <c r="BU104" s="48"/>
      <c r="BV104" s="79"/>
      <c r="BW104" s="48"/>
      <c r="BX104" s="48"/>
      <c r="BY104" s="79">
        <v>0.05</v>
      </c>
      <c r="BZ104" s="79">
        <v>0.08</v>
      </c>
      <c r="CA104" s="79">
        <v>0.12</v>
      </c>
      <c r="CB104" s="79">
        <v>0.04</v>
      </c>
      <c r="CC104" s="79">
        <v>0.14000000000000001</v>
      </c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x14ac:dyDescent="0.2">
      <c r="B105" s="3" t="s">
        <v>698</v>
      </c>
      <c r="C105" s="75"/>
      <c r="D105" s="75"/>
      <c r="E105" s="29"/>
      <c r="F105" s="29"/>
      <c r="G105" s="75"/>
      <c r="H105" s="7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79"/>
      <c r="BS105" s="48"/>
      <c r="BT105" s="79"/>
      <c r="BU105" s="48"/>
      <c r="BV105" s="79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G105" s="29"/>
      <c r="EH105" s="29"/>
      <c r="EI105" s="29"/>
      <c r="EJ105" s="29"/>
      <c r="EK105" s="29"/>
      <c r="EL105" s="29"/>
      <c r="EM105" s="81">
        <f t="shared" ref="EM105:FA105" si="156">EM6/EL6-1</f>
        <v>6.8937921573110739E-2</v>
      </c>
      <c r="EN105" s="81">
        <f t="shared" si="156"/>
        <v>3.2727272727272716E-2</v>
      </c>
      <c r="EO105" s="81">
        <f t="shared" si="156"/>
        <v>4.1321458160729074E-2</v>
      </c>
      <c r="EP105" s="81">
        <f t="shared" si="156"/>
        <v>3.5803083043262074E-2</v>
      </c>
      <c r="EQ105" s="81">
        <f t="shared" si="156"/>
        <v>-6.5098415746519422E-2</v>
      </c>
      <c r="ER105" s="81">
        <f t="shared" si="156"/>
        <v>-1</v>
      </c>
      <c r="ES105" s="81" t="e">
        <f t="shared" si="156"/>
        <v>#DIV/0!</v>
      </c>
      <c r="ET105" s="81" t="e">
        <f t="shared" si="156"/>
        <v>#DIV/0!</v>
      </c>
      <c r="EU105" s="81" t="e">
        <f t="shared" si="156"/>
        <v>#DIV/0!</v>
      </c>
      <c r="EV105" s="81" t="e">
        <f t="shared" si="156"/>
        <v>#DIV/0!</v>
      </c>
      <c r="EW105" s="81" t="e">
        <f t="shared" si="156"/>
        <v>#DIV/0!</v>
      </c>
      <c r="EX105" s="81">
        <f t="shared" si="156"/>
        <v>6.6230648232469491E-2</v>
      </c>
      <c r="EY105" s="81">
        <f t="shared" si="156"/>
        <v>5.5128503765820014E-3</v>
      </c>
      <c r="EZ105" s="81">
        <f t="shared" si="156"/>
        <v>6.4942084942084977E-2</v>
      </c>
      <c r="FA105" s="81">
        <f t="shared" si="156"/>
        <v>0.2877963889493147</v>
      </c>
      <c r="FC105" s="48"/>
      <c r="FD105" s="48"/>
    </row>
    <row r="106" spans="2:160" s="3" customFormat="1" x14ac:dyDescent="0.2">
      <c r="B106" s="3" t="s">
        <v>338</v>
      </c>
      <c r="C106" s="80"/>
      <c r="D106" s="80"/>
      <c r="E106" s="81"/>
      <c r="F106" s="81"/>
      <c r="G106" s="80"/>
      <c r="H106" s="80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82"/>
      <c r="BS106" s="52"/>
      <c r="BT106" s="82">
        <v>0.1</v>
      </c>
      <c r="BU106" s="52"/>
      <c r="BV106" s="82">
        <v>0.09</v>
      </c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G106" s="81"/>
      <c r="EH106" s="81"/>
      <c r="EI106" s="81"/>
      <c r="EJ106" s="81"/>
      <c r="EK106" s="81"/>
      <c r="EL106" s="81"/>
      <c r="EM106" s="81">
        <v>5.6000000000000001E-2</v>
      </c>
      <c r="EN106" s="81">
        <v>0.105</v>
      </c>
      <c r="EO106" s="81">
        <v>0.09</v>
      </c>
      <c r="EP106" s="81">
        <v>0.08</v>
      </c>
      <c r="EQ106" s="81"/>
      <c r="ER106" s="81"/>
      <c r="ES106" s="81"/>
      <c r="ET106" s="81"/>
      <c r="EU106" s="81"/>
      <c r="EV106" s="81"/>
      <c r="EW106" s="81"/>
      <c r="EX106" s="81"/>
      <c r="EY106" s="81"/>
      <c r="EZ106" s="81"/>
      <c r="FA106" s="52"/>
      <c r="FC106" s="52"/>
      <c r="FD106" s="52"/>
    </row>
    <row r="107" spans="2:160" x14ac:dyDescent="0.2">
      <c r="B107" s="15" t="s">
        <v>187</v>
      </c>
      <c r="C107" s="74" t="s">
        <v>12</v>
      </c>
      <c r="D107" s="74" t="s">
        <v>12</v>
      </c>
      <c r="E107" s="28">
        <v>8.8846364133406297E-2</v>
      </c>
      <c r="F107" s="28">
        <v>3.1978841067564323E-2</v>
      </c>
      <c r="G107" s="74" t="s">
        <v>12</v>
      </c>
      <c r="H107" s="74" t="s">
        <v>12</v>
      </c>
      <c r="I107" s="28">
        <v>0.10224999999999995</v>
      </c>
      <c r="J107" s="28">
        <v>6.1689216876127606E-2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G107" s="28"/>
      <c r="EH107" s="28"/>
      <c r="EI107" s="28">
        <v>-5.3441913729481705E-3</v>
      </c>
      <c r="EJ107" s="28"/>
      <c r="EK107" s="28">
        <f t="shared" ref="EK107:EM109" si="157">EK71/EJ71-1</f>
        <v>0.14020148716718639</v>
      </c>
      <c r="EL107" s="28">
        <f t="shared" si="157"/>
        <v>0.14189544546123911</v>
      </c>
      <c r="EM107" s="28">
        <f t="shared" si="157"/>
        <v>-0.14084377302873985</v>
      </c>
      <c r="EN107" s="28">
        <v>0.10866670124251376</v>
      </c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</row>
    <row r="108" spans="2:160" s="17" customFormat="1" x14ac:dyDescent="0.2">
      <c r="B108" s="15" t="s">
        <v>188</v>
      </c>
      <c r="C108" s="75" t="s">
        <v>12</v>
      </c>
      <c r="D108" s="75" t="s">
        <v>12</v>
      </c>
      <c r="E108" s="29">
        <v>8.599394080633882E-2</v>
      </c>
      <c r="F108" s="29">
        <v>2.5992632009824046E-2</v>
      </c>
      <c r="G108" s="75" t="s">
        <v>12</v>
      </c>
      <c r="H108" s="75" t="s">
        <v>12</v>
      </c>
      <c r="I108" s="29">
        <v>9.7845423996837377E-2</v>
      </c>
      <c r="J108" s="29">
        <v>5.8237668615354954E-2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93"/>
      <c r="AX108" s="93"/>
      <c r="AY108" s="93"/>
      <c r="AZ108" s="93"/>
      <c r="BA108" s="93"/>
      <c r="BB108" s="93"/>
      <c r="BC108" s="93"/>
      <c r="BD108" s="93"/>
      <c r="BE108" s="93"/>
      <c r="BF108" s="93"/>
      <c r="BG108" s="93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93"/>
      <c r="BS108" s="93"/>
      <c r="BT108" s="93"/>
      <c r="BU108" s="93"/>
      <c r="BV108" s="93"/>
      <c r="BW108" s="93"/>
      <c r="BX108" s="93"/>
      <c r="BY108" s="93"/>
      <c r="BZ108" s="93"/>
      <c r="CA108" s="93"/>
      <c r="CB108" s="93"/>
      <c r="CC108" s="93"/>
      <c r="CD108" s="93"/>
      <c r="CE108" s="93"/>
      <c r="CF108" s="93"/>
      <c r="CG108" s="93"/>
      <c r="CH108" s="93"/>
      <c r="CI108" s="93"/>
      <c r="CJ108" s="93"/>
      <c r="CK108" s="93"/>
      <c r="CL108" s="93"/>
      <c r="CM108" s="93"/>
      <c r="CN108" s="93"/>
      <c r="CO108" s="93"/>
      <c r="CP108" s="93"/>
      <c r="CQ108" s="93"/>
      <c r="CR108" s="93"/>
      <c r="CS108" s="93"/>
      <c r="CT108" s="93"/>
      <c r="CU108" s="93"/>
      <c r="CV108" s="93"/>
      <c r="CW108" s="93"/>
      <c r="CX108" s="93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  <c r="DJ108" s="93"/>
      <c r="DK108" s="93"/>
      <c r="DL108" s="93"/>
      <c r="DM108" s="93"/>
      <c r="DN108" s="93"/>
      <c r="DO108" s="93"/>
      <c r="DP108" s="93"/>
      <c r="DQ108" s="93"/>
      <c r="DR108" s="93"/>
      <c r="DS108" s="93"/>
      <c r="DT108" s="93"/>
      <c r="DU108" s="93"/>
      <c r="DV108" s="93"/>
      <c r="DW108" s="93"/>
      <c r="DX108" s="93"/>
      <c r="DY108" s="93"/>
      <c r="DZ108" s="93"/>
      <c r="EA108" s="93"/>
      <c r="EB108" s="93"/>
      <c r="EC108" s="93"/>
      <c r="ED108" s="93"/>
      <c r="EE108" s="93"/>
      <c r="EF108" s="5"/>
      <c r="EG108" s="28"/>
      <c r="EH108" s="28"/>
      <c r="EI108" s="28">
        <v>1.3809102960671726E-2</v>
      </c>
      <c r="EJ108" s="28"/>
      <c r="EK108" s="28">
        <f t="shared" si="157"/>
        <v>0.10743405275779372</v>
      </c>
      <c r="EL108" s="28">
        <f t="shared" si="157"/>
        <v>0.10090948462537885</v>
      </c>
      <c r="EM108" s="28">
        <f t="shared" si="157"/>
        <v>-3.5011801730920555E-2</v>
      </c>
      <c r="EN108" s="29">
        <v>0.11175549765689508</v>
      </c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48"/>
      <c r="FC108" s="48"/>
      <c r="FD108" s="48"/>
    </row>
    <row r="109" spans="2:160" s="17" customFormat="1" x14ac:dyDescent="0.2">
      <c r="B109" s="30" t="s">
        <v>189</v>
      </c>
      <c r="C109" s="75" t="s">
        <v>12</v>
      </c>
      <c r="D109" s="75" t="s">
        <v>12</v>
      </c>
      <c r="E109" s="29">
        <v>7.3630924988495217E-2</v>
      </c>
      <c r="F109" s="29">
        <v>0.1097511219910241</v>
      </c>
      <c r="G109" s="75" t="s">
        <v>12</v>
      </c>
      <c r="H109" s="75" t="s">
        <v>12</v>
      </c>
      <c r="I109" s="29">
        <v>8.3862770012706589E-2</v>
      </c>
      <c r="J109" s="29">
        <v>5.0101322750746524E-2</v>
      </c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93"/>
      <c r="AX109" s="93"/>
      <c r="AY109" s="93"/>
      <c r="AZ109" s="93"/>
      <c r="BA109" s="93"/>
      <c r="BB109" s="93"/>
      <c r="BC109" s="93"/>
      <c r="BD109" s="93"/>
      <c r="BE109" s="93"/>
      <c r="BF109" s="93"/>
      <c r="BG109" s="93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93"/>
      <c r="BS109" s="93"/>
      <c r="BT109" s="93"/>
      <c r="BU109" s="93"/>
      <c r="BV109" s="93"/>
      <c r="BW109" s="93"/>
      <c r="BX109" s="93"/>
      <c r="BY109" s="93"/>
      <c r="BZ109" s="93"/>
      <c r="CA109" s="93"/>
      <c r="CB109" s="93"/>
      <c r="CC109" s="93"/>
      <c r="CD109" s="93"/>
      <c r="CE109" s="93"/>
      <c r="CF109" s="93"/>
      <c r="CG109" s="93"/>
      <c r="CH109" s="93"/>
      <c r="CI109" s="93"/>
      <c r="CJ109" s="93"/>
      <c r="CK109" s="93"/>
      <c r="CL109" s="93"/>
      <c r="CM109" s="93"/>
      <c r="CN109" s="93"/>
      <c r="CO109" s="93"/>
      <c r="CP109" s="93"/>
      <c r="CQ109" s="93"/>
      <c r="CR109" s="93"/>
      <c r="CS109" s="93"/>
      <c r="CT109" s="93"/>
      <c r="CU109" s="93"/>
      <c r="CV109" s="93"/>
      <c r="CW109" s="93"/>
      <c r="CX109" s="93"/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  <c r="DJ109" s="93"/>
      <c r="DK109" s="93"/>
      <c r="DL109" s="93"/>
      <c r="DM109" s="93"/>
      <c r="DN109" s="93"/>
      <c r="DO109" s="93"/>
      <c r="DP109" s="93"/>
      <c r="DQ109" s="93"/>
      <c r="DR109" s="93"/>
      <c r="DS109" s="93"/>
      <c r="DT109" s="93"/>
      <c r="DU109" s="93"/>
      <c r="DV109" s="93"/>
      <c r="DW109" s="93"/>
      <c r="DX109" s="93"/>
      <c r="DY109" s="93"/>
      <c r="DZ109" s="93"/>
      <c r="EA109" s="93"/>
      <c r="EB109" s="93"/>
      <c r="EC109" s="93"/>
      <c r="ED109" s="93"/>
      <c r="EE109" s="93"/>
      <c r="EF109" s="5"/>
      <c r="EG109" s="28"/>
      <c r="EH109" s="28"/>
      <c r="EI109" s="28">
        <v>0.11907066795740562</v>
      </c>
      <c r="EJ109" s="28"/>
      <c r="EK109" s="28">
        <f t="shared" si="157"/>
        <v>0.10690725649980592</v>
      </c>
      <c r="EL109" s="28">
        <f t="shared" si="157"/>
        <v>0.15495179666958814</v>
      </c>
      <c r="EM109" s="28">
        <f t="shared" si="157"/>
        <v>0.2725755046289271</v>
      </c>
      <c r="EN109" s="29">
        <v>0.11157806678724591</v>
      </c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48"/>
      <c r="FC109" s="48"/>
      <c r="FD109" s="48"/>
    </row>
    <row r="110" spans="2:160" s="17" customFormat="1" x14ac:dyDescent="0.2">
      <c r="B110" s="17" t="s">
        <v>149</v>
      </c>
      <c r="C110" s="74" t="s">
        <v>12</v>
      </c>
      <c r="D110" s="74" t="s">
        <v>12</v>
      </c>
      <c r="E110" s="29">
        <v>0.3063889869396399</v>
      </c>
      <c r="F110" s="29">
        <v>9.763513513513522E-2</v>
      </c>
      <c r="G110" s="74" t="s">
        <v>12</v>
      </c>
      <c r="H110" s="74" t="s">
        <v>12</v>
      </c>
      <c r="I110" s="29">
        <v>0.23986390700311877</v>
      </c>
      <c r="J110" s="29">
        <v>0.10487106107533983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9"/>
      <c r="EH110" s="29"/>
      <c r="EI110" s="29">
        <v>0.10913268236645601</v>
      </c>
      <c r="EJ110" s="29"/>
      <c r="EK110" s="29">
        <f>EK76/EK67</f>
        <v>0.28534820196558813</v>
      </c>
      <c r="EL110" s="29"/>
      <c r="EM110" s="29"/>
      <c r="EN110" s="29">
        <f>EN76/EM76-1</f>
        <v>-8.0177200973357454E-2</v>
      </c>
      <c r="EO110" s="29">
        <f>EO76/EN76-1</f>
        <v>2.9914529914529808E-2</v>
      </c>
      <c r="EP110" s="29">
        <f>EP76/EO76-1</f>
        <v>-0.12145162352631234</v>
      </c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x14ac:dyDescent="0.2">
      <c r="B111" s="15" t="s">
        <v>194</v>
      </c>
      <c r="C111" s="74" t="s">
        <v>12</v>
      </c>
      <c r="D111" s="74" t="s">
        <v>12</v>
      </c>
      <c r="E111" s="28">
        <v>0.5</v>
      </c>
      <c r="F111" s="28">
        <v>-0.38461538461538458</v>
      </c>
      <c r="G111" s="74" t="s">
        <v>12</v>
      </c>
      <c r="H111" s="74" t="s">
        <v>12</v>
      </c>
      <c r="I111" s="28" t="s">
        <v>22</v>
      </c>
      <c r="J111" s="28">
        <v>0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G111" s="28"/>
      <c r="EH111" s="28"/>
      <c r="EI111" s="28">
        <v>0.18918918918918926</v>
      </c>
      <c r="EJ111" s="28"/>
      <c r="EK111" s="28">
        <v>-0.62790697674418605</v>
      </c>
      <c r="EL111" s="28">
        <v>0</v>
      </c>
      <c r="EM111" s="28">
        <v>0</v>
      </c>
      <c r="EN111" s="28">
        <v>0</v>
      </c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</row>
    <row r="112" spans="2:160" x14ac:dyDescent="0.2">
      <c r="B112" s="15" t="s">
        <v>14</v>
      </c>
      <c r="C112" s="74" t="s">
        <v>12</v>
      </c>
      <c r="D112" s="74" t="s">
        <v>12</v>
      </c>
      <c r="E112" s="28">
        <v>-0.31908831908831914</v>
      </c>
      <c r="F112" s="28">
        <v>-0.64157706093189959</v>
      </c>
      <c r="G112" s="74" t="s">
        <v>12</v>
      </c>
      <c r="H112" s="74" t="s">
        <v>12</v>
      </c>
      <c r="I112" s="28" t="s">
        <v>12</v>
      </c>
      <c r="J112" s="28">
        <v>-0.58432078257659692</v>
      </c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EG112" s="28"/>
      <c r="EH112" s="28"/>
      <c r="EI112" s="28">
        <v>-1.7546366171712531</v>
      </c>
      <c r="EJ112" s="28"/>
      <c r="EK112" s="28">
        <v>-0.77084256183093414</v>
      </c>
      <c r="EL112" s="28">
        <v>-0.74361496486317979</v>
      </c>
      <c r="EM112" s="28">
        <v>-2.1573365350255624</v>
      </c>
      <c r="EN112" s="28">
        <v>1.8537461678109746</v>
      </c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</row>
    <row r="113" spans="2:160" x14ac:dyDescent="0.2">
      <c r="B113" s="15" t="s">
        <v>15</v>
      </c>
      <c r="C113" s="74" t="s">
        <v>12</v>
      </c>
      <c r="D113" s="74" t="s">
        <v>12</v>
      </c>
      <c r="E113" s="28">
        <v>0.39407467532467533</v>
      </c>
      <c r="F113" s="28">
        <v>0.18003766478342742</v>
      </c>
      <c r="G113" s="74" t="s">
        <v>12</v>
      </c>
      <c r="H113" s="74" t="s">
        <v>12</v>
      </c>
      <c r="I113" s="28">
        <v>0.32942942942942932</v>
      </c>
      <c r="J113" s="28">
        <v>0.13307229097301021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>
        <v>-0.1497862525757121</v>
      </c>
      <c r="EJ113" s="28"/>
      <c r="EK113" s="28">
        <v>0.27706643758613492</v>
      </c>
      <c r="EL113" s="28">
        <v>0.2896293957283107</v>
      </c>
      <c r="EM113" s="28">
        <v>0.33935179791748182</v>
      </c>
      <c r="EN113" s="28">
        <v>0.22525526811705765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">
      <c r="B114" s="15" t="s">
        <v>4</v>
      </c>
      <c r="C114" s="74" t="s">
        <v>12</v>
      </c>
      <c r="D114" s="74" t="s">
        <v>12</v>
      </c>
      <c r="E114" s="28">
        <v>0.47708894878706198</v>
      </c>
      <c r="F114" s="28">
        <v>0.25667351129363447</v>
      </c>
      <c r="G114" s="74" t="s">
        <v>12</v>
      </c>
      <c r="H114" s="74" t="s">
        <v>12</v>
      </c>
      <c r="I114" s="28">
        <v>0.69465648854961826</v>
      </c>
      <c r="J114" s="28">
        <v>-0.10639136046998865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-13.617647058823529</v>
      </c>
      <c r="EJ114" s="28"/>
      <c r="EK114" s="28">
        <v>0.75939385108773849</v>
      </c>
      <c r="EL114" s="28">
        <v>0.35668583556657008</v>
      </c>
      <c r="EM114" s="28">
        <v>0.5843113747061166</v>
      </c>
      <c r="EN114" s="28">
        <v>0.29449709369533661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s="17" customFormat="1" x14ac:dyDescent="0.2">
      <c r="B115" s="17" t="s">
        <v>20</v>
      </c>
      <c r="C115" s="74" t="s">
        <v>12</v>
      </c>
      <c r="D115" s="74" t="s">
        <v>12</v>
      </c>
      <c r="E115" s="29">
        <v>0.42595419847328242</v>
      </c>
      <c r="F115" s="29">
        <v>0.14625176803394635</v>
      </c>
      <c r="G115" s="74" t="s">
        <v>12</v>
      </c>
      <c r="H115" s="74" t="s">
        <v>12</v>
      </c>
      <c r="I115" s="29">
        <v>0.26964560862865938</v>
      </c>
      <c r="J115" s="29">
        <v>0.14267721422019086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93"/>
      <c r="AX115" s="93"/>
      <c r="AY115" s="93"/>
      <c r="AZ115" s="93"/>
      <c r="BA115" s="93"/>
      <c r="BB115" s="93"/>
      <c r="BC115" s="93"/>
      <c r="BD115" s="93"/>
      <c r="BE115" s="93"/>
      <c r="BF115" s="93"/>
      <c r="BG115" s="93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93"/>
      <c r="BS115" s="93"/>
      <c r="BT115" s="93"/>
      <c r="BU115" s="93"/>
      <c r="BV115" s="93"/>
      <c r="BW115" s="93"/>
      <c r="BX115" s="93"/>
      <c r="BY115" s="93"/>
      <c r="BZ115" s="93"/>
      <c r="CA115" s="93"/>
      <c r="CB115" s="93"/>
      <c r="CC115" s="93"/>
      <c r="CD115" s="93"/>
      <c r="CE115" s="93"/>
      <c r="CF115" s="93"/>
      <c r="CG115" s="93"/>
      <c r="CH115" s="93"/>
      <c r="CI115" s="93"/>
      <c r="CJ115" s="93"/>
      <c r="CK115" s="93"/>
      <c r="CL115" s="93"/>
      <c r="CM115" s="93"/>
      <c r="CN115" s="93"/>
      <c r="CO115" s="93"/>
      <c r="CP115" s="93"/>
      <c r="CQ115" s="93"/>
      <c r="CR115" s="93"/>
      <c r="CS115" s="93"/>
      <c r="CT115" s="93"/>
      <c r="CU115" s="93"/>
      <c r="CV115" s="93"/>
      <c r="CW115" s="93"/>
      <c r="CX115" s="93"/>
      <c r="CY115" s="93"/>
      <c r="CZ115" s="93"/>
      <c r="DA115" s="93"/>
      <c r="DB115" s="93"/>
      <c r="DC115" s="93"/>
      <c r="DD115" s="93"/>
      <c r="DE115" s="93"/>
      <c r="DF115" s="93"/>
      <c r="DG115" s="93"/>
      <c r="DH115" s="93"/>
      <c r="DI115" s="93"/>
      <c r="DJ115" s="93"/>
      <c r="DK115" s="93"/>
      <c r="DL115" s="93"/>
      <c r="DM115" s="93"/>
      <c r="DN115" s="93"/>
      <c r="DO115" s="93"/>
      <c r="DP115" s="93"/>
      <c r="DQ115" s="93"/>
      <c r="DR115" s="93"/>
      <c r="DS115" s="93"/>
      <c r="DT115" s="93"/>
      <c r="DU115" s="93"/>
      <c r="DV115" s="93"/>
      <c r="DW115" s="93"/>
      <c r="DX115" s="93"/>
      <c r="DY115" s="93"/>
      <c r="DZ115" s="93"/>
      <c r="EA115" s="93"/>
      <c r="EB115" s="93"/>
      <c r="EC115" s="93"/>
      <c r="ED115" s="93"/>
      <c r="EE115" s="93"/>
      <c r="EF115" s="5"/>
      <c r="EG115" s="29"/>
      <c r="EH115" s="29"/>
      <c r="EI115" s="29">
        <v>-0.23651950669819721</v>
      </c>
      <c r="EJ115" s="29"/>
      <c r="EK115" s="29">
        <v>0.20618920887528391</v>
      </c>
      <c r="EL115" s="29">
        <v>0.23617416138624936</v>
      </c>
      <c r="EM115" s="29">
        <v>0.27283796353628231</v>
      </c>
      <c r="EN115" s="29">
        <v>0.19103888723838436</v>
      </c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48"/>
      <c r="FC115" s="48"/>
      <c r="FD115" s="48"/>
    </row>
    <row r="116" spans="2:160" x14ac:dyDescent="0.2">
      <c r="B116" s="15" t="s">
        <v>16</v>
      </c>
      <c r="C116" s="74" t="s">
        <v>12</v>
      </c>
      <c r="D116" s="74" t="s">
        <v>12</v>
      </c>
      <c r="E116" s="28">
        <v>0.95570934256055362</v>
      </c>
      <c r="F116" s="28">
        <v>-7.1209330877839205E-2</v>
      </c>
      <c r="G116" s="74" t="s">
        <v>12</v>
      </c>
      <c r="H116" s="74" t="s">
        <v>12</v>
      </c>
      <c r="I116" s="28">
        <v>2.8687017285766725E-2</v>
      </c>
      <c r="J116" s="28">
        <v>0.15407772178764811</v>
      </c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EG116" s="28"/>
      <c r="EH116" s="28"/>
      <c r="EI116" s="28">
        <v>-3.9229948572900177</v>
      </c>
      <c r="EJ116" s="28"/>
      <c r="EK116" s="28">
        <v>0.25816885401752154</v>
      </c>
      <c r="EL116" s="28">
        <v>0.22355666613924408</v>
      </c>
      <c r="EM116" s="28">
        <v>0.27306999762332884</v>
      </c>
      <c r="EN116" s="28">
        <v>0.19116650657623802</v>
      </c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</row>
    <row r="117" spans="2:160" s="17" customFormat="1" x14ac:dyDescent="0.2">
      <c r="B117" s="17" t="s">
        <v>21</v>
      </c>
      <c r="C117" s="74" t="s">
        <v>12</v>
      </c>
      <c r="D117" s="74" t="s">
        <v>12</v>
      </c>
      <c r="E117" s="29">
        <v>0.43022323214667901</v>
      </c>
      <c r="F117" s="29">
        <v>0.14014903871339501</v>
      </c>
      <c r="G117" s="74" t="s">
        <v>12</v>
      </c>
      <c r="H117" s="74" t="s">
        <v>12</v>
      </c>
      <c r="I117" s="29">
        <v>0.27343782401471151</v>
      </c>
      <c r="J117" s="29">
        <v>0.14267721422019086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93"/>
      <c r="BS117" s="93"/>
      <c r="BT117" s="93"/>
      <c r="BU117" s="93"/>
      <c r="BV117" s="93"/>
      <c r="BW117" s="93"/>
      <c r="BX117" s="93"/>
      <c r="BY117" s="93"/>
      <c r="BZ117" s="93"/>
      <c r="CA117" s="93"/>
      <c r="CB117" s="93"/>
      <c r="CC117" s="93"/>
      <c r="CD117" s="93"/>
      <c r="CE117" s="93"/>
      <c r="CF117" s="93"/>
      <c r="CG117" s="93"/>
      <c r="CH117" s="93"/>
      <c r="CI117" s="93"/>
      <c r="CJ117" s="93"/>
      <c r="CK117" s="93"/>
      <c r="CL117" s="93"/>
      <c r="CM117" s="93"/>
      <c r="CN117" s="93"/>
      <c r="CO117" s="93"/>
      <c r="CP117" s="93"/>
      <c r="CQ117" s="93"/>
      <c r="CR117" s="93"/>
      <c r="CS117" s="93"/>
      <c r="CT117" s="93"/>
      <c r="CU117" s="93"/>
      <c r="CV117" s="93"/>
      <c r="CW117" s="93"/>
      <c r="CX117" s="93"/>
      <c r="CY117" s="93"/>
      <c r="CZ117" s="93"/>
      <c r="DA117" s="93"/>
      <c r="DB117" s="93"/>
      <c r="DC117" s="93"/>
      <c r="DD117" s="93"/>
      <c r="DE117" s="93"/>
      <c r="DF117" s="93"/>
      <c r="DG117" s="93"/>
      <c r="DH117" s="93"/>
      <c r="DI117" s="93"/>
      <c r="DJ117" s="93"/>
      <c r="DK117" s="93"/>
      <c r="DL117" s="93"/>
      <c r="DM117" s="93"/>
      <c r="DN117" s="93"/>
      <c r="DO117" s="93"/>
      <c r="DP117" s="93"/>
      <c r="DQ117" s="93"/>
      <c r="DR117" s="93"/>
      <c r="DS117" s="93"/>
      <c r="DT117" s="93"/>
      <c r="DU117" s="93"/>
      <c r="DV117" s="93"/>
      <c r="DW117" s="93"/>
      <c r="DX117" s="93"/>
      <c r="DY117" s="93"/>
      <c r="DZ117" s="93"/>
      <c r="EA117" s="93"/>
      <c r="EB117" s="93"/>
      <c r="EC117" s="93"/>
      <c r="ED117" s="93"/>
      <c r="EE117" s="93"/>
      <c r="EF117" s="5"/>
      <c r="EG117" s="29"/>
      <c r="EH117" s="29"/>
      <c r="EI117" s="29">
        <v>-0.25468420970839167</v>
      </c>
      <c r="EJ117" s="29"/>
      <c r="EK117" s="29">
        <v>0.20838607586445579</v>
      </c>
      <c r="EL117" s="29">
        <v>0.23617416138624936</v>
      </c>
      <c r="EM117" s="29">
        <v>0.27283796353628231</v>
      </c>
      <c r="EN117" s="29">
        <f>EN84/EM84-1</f>
        <v>-0.13535960417034809</v>
      </c>
      <c r="EO117" s="29">
        <f>EO84/EN84-1</f>
        <v>1.3590844062947083E-2</v>
      </c>
      <c r="EP117" s="29">
        <f>EP84/EO84-1</f>
        <v>-0.14114326040931557</v>
      </c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48"/>
      <c r="FC117" s="48"/>
      <c r="FD117" s="48"/>
    </row>
    <row r="118" spans="2:160" x14ac:dyDescent="0.2">
      <c r="B118" s="15" t="s">
        <v>42</v>
      </c>
      <c r="C118" s="74" t="s">
        <v>12</v>
      </c>
      <c r="D118" s="74" t="s">
        <v>12</v>
      </c>
      <c r="E118" s="28"/>
      <c r="F118" s="28"/>
      <c r="G118" s="74" t="s">
        <v>12</v>
      </c>
      <c r="H118" s="74" t="s">
        <v>12</v>
      </c>
      <c r="I118" s="28">
        <v>0.30643115658155562</v>
      </c>
      <c r="J118" s="28">
        <v>0.17124789823043063</v>
      </c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EG118" s="28"/>
      <c r="EH118" s="28"/>
      <c r="EI118" s="28"/>
      <c r="EJ118" s="28"/>
      <c r="EK118" s="28">
        <v>0.24010160092268173</v>
      </c>
      <c r="EL118" s="28">
        <v>0.22959823690009884</v>
      </c>
      <c r="EM118" s="28">
        <v>0.26006430673578218</v>
      </c>
      <c r="EN118" s="28">
        <v>0.18389813893782847</v>
      </c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</row>
    <row r="119" spans="2:160" x14ac:dyDescent="0.2">
      <c r="B119" s="15" t="s">
        <v>17</v>
      </c>
      <c r="C119" s="74" t="s">
        <v>12</v>
      </c>
      <c r="D119" s="74" t="s">
        <v>12</v>
      </c>
      <c r="E119" s="28">
        <v>0.94492985420368969</v>
      </c>
      <c r="F119" s="28">
        <v>-8.0257132892308958E-2</v>
      </c>
      <c r="G119" s="74" t="s">
        <v>12</v>
      </c>
      <c r="H119" s="74" t="s">
        <v>12</v>
      </c>
      <c r="I119" s="28">
        <v>2.6696798876403083E-2</v>
      </c>
      <c r="J119" s="28">
        <v>0.15339148720865947</v>
      </c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EG119" s="28"/>
      <c r="EH119" s="28"/>
      <c r="EI119" s="28">
        <v>-3.885011675710488</v>
      </c>
      <c r="EJ119" s="28"/>
      <c r="EK119" s="28">
        <v>0.25609102568827624</v>
      </c>
      <c r="EL119" s="28">
        <v>0.22332428171071594</v>
      </c>
      <c r="EM119" s="28">
        <v>0.27283796353628231</v>
      </c>
      <c r="EN119" s="28">
        <v>0.19103888723838436</v>
      </c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</row>
    <row r="120" spans="2:160" x14ac:dyDescent="0.2">
      <c r="C120" s="44"/>
      <c r="D120" s="44"/>
      <c r="E120" s="44"/>
      <c r="F120" s="44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</row>
    <row r="121" spans="2:160" x14ac:dyDescent="0.2">
      <c r="B121" s="3" t="s">
        <v>483</v>
      </c>
      <c r="E121" s="44"/>
      <c r="F121" s="4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</row>
    <row r="122" spans="2:160" s="26" customFormat="1" x14ac:dyDescent="0.2">
      <c r="B122" s="17" t="s">
        <v>138</v>
      </c>
      <c r="C122" s="24"/>
      <c r="D122" s="24"/>
      <c r="E122" s="24"/>
      <c r="F122" s="24"/>
      <c r="G122" s="24"/>
      <c r="H122" s="2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48"/>
      <c r="AX122" s="48"/>
      <c r="AY122" s="48"/>
      <c r="AZ122" s="48"/>
      <c r="BA122" s="48"/>
      <c r="BB122" s="79">
        <f t="shared" ref="BB122:CC122" si="158">BB20/AX20-1</f>
        <v>0.18797953964194369</v>
      </c>
      <c r="BC122" s="79">
        <f t="shared" si="158"/>
        <v>0.20546318289786214</v>
      </c>
      <c r="BD122" s="79">
        <f t="shared" si="158"/>
        <v>0.20113636363636367</v>
      </c>
      <c r="BE122" s="79">
        <f t="shared" si="158"/>
        <v>0.31922196796338675</v>
      </c>
      <c r="BF122" s="79">
        <f t="shared" si="158"/>
        <v>0.23358449946178683</v>
      </c>
      <c r="BG122" s="79">
        <f t="shared" si="158"/>
        <v>0.18423645320197046</v>
      </c>
      <c r="BH122" s="79">
        <f t="shared" si="158"/>
        <v>0.11352885525070966</v>
      </c>
      <c r="BI122" s="79">
        <f t="shared" si="158"/>
        <v>0.1396357328707718</v>
      </c>
      <c r="BJ122" s="79">
        <f t="shared" si="158"/>
        <v>0.14223385689354284</v>
      </c>
      <c r="BK122" s="79">
        <f t="shared" si="158"/>
        <v>0.16056572379367728</v>
      </c>
      <c r="BL122" s="79">
        <f t="shared" si="158"/>
        <v>0.1724723874256584</v>
      </c>
      <c r="BM122" s="79">
        <f t="shared" si="158"/>
        <v>8.9802130898021248E-2</v>
      </c>
      <c r="BN122" s="79">
        <f t="shared" si="158"/>
        <v>7.4866310160427885E-2</v>
      </c>
      <c r="BO122" s="79">
        <f t="shared" si="158"/>
        <v>4.6594982078853153E-2</v>
      </c>
      <c r="BP122" s="79">
        <f t="shared" si="158"/>
        <v>6.6666666666666652E-2</v>
      </c>
      <c r="BQ122" s="79">
        <f t="shared" si="158"/>
        <v>0.1061452513966481</v>
      </c>
      <c r="BR122" s="79">
        <f t="shared" si="158"/>
        <v>5.2594171997156991E-2</v>
      </c>
      <c r="BS122" s="79">
        <f t="shared" si="158"/>
        <v>0.10753424657534238</v>
      </c>
      <c r="BT122" s="79">
        <f t="shared" si="158"/>
        <v>2.4456521739130377E-2</v>
      </c>
      <c r="BU122" s="79">
        <f t="shared" si="158"/>
        <v>-6.5025252525252486E-2</v>
      </c>
      <c r="BV122" s="79">
        <f t="shared" si="158"/>
        <v>8.4402430790006644E-2</v>
      </c>
      <c r="BW122" s="79">
        <f t="shared" si="158"/>
        <v>4.8237476808905333E-2</v>
      </c>
      <c r="BX122" s="79">
        <f t="shared" si="158"/>
        <v>7.9575596816976457E-3</v>
      </c>
      <c r="BY122" s="79">
        <f t="shared" si="158"/>
        <v>3.6461850101283E-2</v>
      </c>
      <c r="BZ122" s="79">
        <f t="shared" si="158"/>
        <v>-3.1133250311332517E-2</v>
      </c>
      <c r="CA122" s="79">
        <f t="shared" si="158"/>
        <v>-0.11504424778761058</v>
      </c>
      <c r="CB122" s="79">
        <f t="shared" si="158"/>
        <v>-0.10460526315789476</v>
      </c>
      <c r="CC122" s="79">
        <f t="shared" si="158"/>
        <v>3.4527687296416865E-2</v>
      </c>
      <c r="CD122" s="79"/>
      <c r="CE122" s="79"/>
      <c r="CF122" s="79"/>
      <c r="CG122" s="79"/>
      <c r="CH122" s="79"/>
      <c r="CI122" s="79"/>
      <c r="CJ122" s="79"/>
      <c r="CK122" s="79"/>
      <c r="CL122" s="79"/>
      <c r="CM122" s="79"/>
      <c r="CN122" s="79"/>
      <c r="CO122" s="79"/>
      <c r="CP122" s="79"/>
      <c r="CQ122" s="79"/>
      <c r="CR122" s="79"/>
      <c r="CS122" s="79"/>
      <c r="CT122" s="79"/>
      <c r="CU122" s="79"/>
      <c r="CV122" s="79"/>
      <c r="CW122" s="79"/>
      <c r="CX122" s="79"/>
      <c r="CY122" s="79"/>
      <c r="CZ122" s="79"/>
      <c r="DA122" s="79"/>
      <c r="DB122" s="79"/>
      <c r="DC122" s="79"/>
      <c r="DD122" s="79"/>
      <c r="DE122" s="79"/>
      <c r="DF122" s="79"/>
      <c r="DG122" s="79"/>
      <c r="DH122" s="79"/>
      <c r="DI122" s="79"/>
      <c r="DJ122" s="79"/>
      <c r="DK122" s="79"/>
      <c r="DL122" s="79"/>
      <c r="DM122" s="79"/>
      <c r="DN122" s="79"/>
      <c r="DO122" s="79"/>
      <c r="DP122" s="79"/>
      <c r="DQ122" s="79"/>
      <c r="DR122" s="79"/>
      <c r="DS122" s="79"/>
      <c r="DT122" s="79"/>
      <c r="DU122" s="79"/>
      <c r="DV122" s="79"/>
      <c r="DW122" s="79"/>
      <c r="DX122" s="79"/>
      <c r="DY122" s="79"/>
      <c r="DZ122" s="79"/>
      <c r="EA122" s="79"/>
      <c r="EB122" s="79"/>
      <c r="EC122" s="79"/>
      <c r="ED122" s="79"/>
      <c r="EE122" s="79"/>
      <c r="EF122" s="1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6"/>
      <c r="FB122" s="16"/>
      <c r="FC122" s="46"/>
      <c r="FD122" s="46"/>
    </row>
    <row r="123" spans="2:160" s="26" customFormat="1" x14ac:dyDescent="0.2">
      <c r="B123" s="17" t="s">
        <v>24</v>
      </c>
      <c r="C123" s="24"/>
      <c r="D123" s="24"/>
      <c r="E123" s="24"/>
      <c r="F123" s="24"/>
      <c r="G123" s="24"/>
      <c r="H123" s="2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48"/>
      <c r="AX123" s="48"/>
      <c r="AY123" s="48"/>
      <c r="AZ123" s="48"/>
      <c r="BA123" s="48"/>
      <c r="BB123" s="79">
        <f t="shared" ref="BB123:CC123" si="159">BB18/AX18-1</f>
        <v>0.19207317073170738</v>
      </c>
      <c r="BC123" s="79">
        <f t="shared" si="159"/>
        <v>0.2921348314606742</v>
      </c>
      <c r="BD123" s="79">
        <f t="shared" si="159"/>
        <v>0.58445040214477206</v>
      </c>
      <c r="BE123" s="79">
        <f t="shared" si="159"/>
        <v>0.86387535984716535</v>
      </c>
      <c r="BF123" s="79">
        <f t="shared" si="159"/>
        <v>1.2020460358056266</v>
      </c>
      <c r="BG123" s="79">
        <f t="shared" si="159"/>
        <v>1.0695652173913044</v>
      </c>
      <c r="BH123" s="79">
        <f t="shared" si="159"/>
        <v>0.7072758037225042</v>
      </c>
      <c r="BI123" s="79">
        <f t="shared" si="159"/>
        <v>0.56960227272727271</v>
      </c>
      <c r="BJ123" s="79">
        <f t="shared" si="159"/>
        <v>0.35656213704994189</v>
      </c>
      <c r="BK123" s="79">
        <f t="shared" si="159"/>
        <v>0.27521008403361336</v>
      </c>
      <c r="BL123" s="79">
        <f t="shared" si="159"/>
        <v>0.19821605550049548</v>
      </c>
      <c r="BM123" s="79">
        <f t="shared" si="159"/>
        <v>0.14117647058823524</v>
      </c>
      <c r="BN123" s="79">
        <f t="shared" si="159"/>
        <v>4.8801369863013644E-2</v>
      </c>
      <c r="BO123" s="79">
        <f t="shared" si="159"/>
        <v>2.883031301482708E-2</v>
      </c>
      <c r="BP123" s="79">
        <f t="shared" si="159"/>
        <v>7.1133167907361461E-2</v>
      </c>
      <c r="BQ123" s="79">
        <f t="shared" si="159"/>
        <v>4.9167327517843029E-2</v>
      </c>
      <c r="BR123" s="79">
        <f t="shared" si="159"/>
        <v>6.6938775510203996E-2</v>
      </c>
      <c r="BS123" s="79">
        <f t="shared" si="159"/>
        <v>7.125700560448367E-2</v>
      </c>
      <c r="BT123" s="79">
        <f t="shared" si="159"/>
        <v>2.4710424710424617E-2</v>
      </c>
      <c r="BU123" s="79">
        <f t="shared" si="159"/>
        <v>-2.1919879062736181E-2</v>
      </c>
      <c r="BV123" s="79">
        <f t="shared" si="159"/>
        <v>8.4162203519510426E-2</v>
      </c>
      <c r="BW123" s="79">
        <f t="shared" si="159"/>
        <v>3.811659192825112E-2</v>
      </c>
      <c r="BX123" s="79">
        <f t="shared" si="159"/>
        <v>2.2607385079125741E-2</v>
      </c>
      <c r="BY123" s="79">
        <f t="shared" si="159"/>
        <v>-2.1638330757341562E-2</v>
      </c>
      <c r="BZ123" s="79">
        <f t="shared" si="159"/>
        <v>-2.1877205363443841E-2</v>
      </c>
      <c r="CA123" s="79">
        <f t="shared" si="159"/>
        <v>-4.2476601871850206E-2</v>
      </c>
      <c r="CB123" s="79">
        <f t="shared" si="159"/>
        <v>-0.12380250552689753</v>
      </c>
      <c r="CC123" s="79">
        <f t="shared" si="159"/>
        <v>6.4770932069510234E-2</v>
      </c>
      <c r="CD123" s="79"/>
      <c r="CE123" s="79"/>
      <c r="CF123" s="79"/>
      <c r="CG123" s="79"/>
      <c r="CH123" s="79"/>
      <c r="CI123" s="79"/>
      <c r="CJ123" s="79"/>
      <c r="CK123" s="79"/>
      <c r="CL123" s="79"/>
      <c r="CM123" s="79"/>
      <c r="CN123" s="79"/>
      <c r="CO123" s="79"/>
      <c r="CP123" s="79"/>
      <c r="CQ123" s="79"/>
      <c r="CR123" s="79"/>
      <c r="CS123" s="79"/>
      <c r="CT123" s="79"/>
      <c r="CU123" s="79"/>
      <c r="CV123" s="79"/>
      <c r="CW123" s="79"/>
      <c r="CX123" s="79"/>
      <c r="CY123" s="79"/>
      <c r="CZ123" s="79"/>
      <c r="DA123" s="79"/>
      <c r="DB123" s="79"/>
      <c r="DC123" s="79"/>
      <c r="DD123" s="79"/>
      <c r="DE123" s="79"/>
      <c r="DF123" s="79"/>
      <c r="DG123" s="79"/>
      <c r="DH123" s="79"/>
      <c r="DI123" s="79"/>
      <c r="DJ123" s="79"/>
      <c r="DK123" s="79"/>
      <c r="DL123" s="79"/>
      <c r="DM123" s="79"/>
      <c r="DN123" s="79"/>
      <c r="DO123" s="79"/>
      <c r="DP123" s="79"/>
      <c r="DQ123" s="79"/>
      <c r="DR123" s="79"/>
      <c r="DS123" s="79"/>
      <c r="DT123" s="79"/>
      <c r="DU123" s="79"/>
      <c r="DV123" s="79"/>
      <c r="DW123" s="79"/>
      <c r="DX123" s="79"/>
      <c r="DY123" s="79"/>
      <c r="DZ123" s="79"/>
      <c r="EA123" s="79"/>
      <c r="EB123" s="79"/>
      <c r="EC123" s="79"/>
      <c r="ED123" s="79"/>
      <c r="EE123" s="79"/>
      <c r="EF123" s="1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x14ac:dyDescent="0.2">
      <c r="B124" s="17" t="s">
        <v>23</v>
      </c>
      <c r="C124" s="24"/>
      <c r="D124" s="24"/>
      <c r="E124" s="24"/>
      <c r="F124" s="24"/>
      <c r="G124" s="24"/>
      <c r="H124" s="2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48"/>
      <c r="AX124" s="48"/>
      <c r="AY124" s="48"/>
      <c r="AZ124" s="48"/>
      <c r="BA124" s="48"/>
      <c r="BB124" s="79">
        <f t="shared" ref="BB124:CC124" si="160">BB22/AX22-1</f>
        <v>4.416666666666667</v>
      </c>
      <c r="BC124" s="79">
        <f t="shared" si="160"/>
        <v>1.0532544378698225</v>
      </c>
      <c r="BD124" s="79">
        <f t="shared" si="160"/>
        <v>1.0680851063829788</v>
      </c>
      <c r="BE124" s="79">
        <f t="shared" si="160"/>
        <v>1.403361344537815</v>
      </c>
      <c r="BF124" s="79">
        <f t="shared" si="160"/>
        <v>1.6</v>
      </c>
      <c r="BG124" s="79">
        <f t="shared" si="160"/>
        <v>1.0547550432276656</v>
      </c>
      <c r="BH124" s="79">
        <f t="shared" si="160"/>
        <v>0.52469135802469147</v>
      </c>
      <c r="BI124" s="79">
        <f t="shared" si="160"/>
        <v>0.45454545454545459</v>
      </c>
      <c r="BJ124" s="79">
        <f t="shared" si="160"/>
        <v>0.36538461538461542</v>
      </c>
      <c r="BK124" s="79">
        <f t="shared" si="160"/>
        <v>0.38288920056100983</v>
      </c>
      <c r="BL124" s="79">
        <f t="shared" si="160"/>
        <v>0.4331983805668016</v>
      </c>
      <c r="BM124" s="79">
        <f t="shared" si="160"/>
        <v>0.36418269230769229</v>
      </c>
      <c r="BN124" s="79">
        <f t="shared" si="160"/>
        <v>0.22535211267605626</v>
      </c>
      <c r="BO124" s="79">
        <f t="shared" si="160"/>
        <v>0.23732251521298164</v>
      </c>
      <c r="BP124" s="79">
        <f t="shared" si="160"/>
        <v>0.27212806026365355</v>
      </c>
      <c r="BQ124" s="79">
        <f t="shared" si="160"/>
        <v>0.32599118942731287</v>
      </c>
      <c r="BR124" s="79">
        <f t="shared" si="160"/>
        <v>0.31299734748010599</v>
      </c>
      <c r="BS124" s="79">
        <f t="shared" si="160"/>
        <v>0.31557377049180335</v>
      </c>
      <c r="BT124" s="79">
        <f t="shared" si="160"/>
        <v>0.17986676535899337</v>
      </c>
      <c r="BU124" s="79">
        <f t="shared" si="160"/>
        <v>2.1926910299003399E-2</v>
      </c>
      <c r="BV124" s="79">
        <f t="shared" si="160"/>
        <v>0.12188552188552193</v>
      </c>
      <c r="BW124" s="79">
        <f t="shared" si="160"/>
        <v>7.6012461059190128E-2</v>
      </c>
      <c r="BX124" s="79">
        <f t="shared" si="160"/>
        <v>8.7829360100375453E-3</v>
      </c>
      <c r="BY124" s="79">
        <f t="shared" si="160"/>
        <v>-5.0715214564369338E-2</v>
      </c>
      <c r="BZ124" s="79">
        <f t="shared" si="160"/>
        <v>-0.1494597839135654</v>
      </c>
      <c r="CA124" s="79">
        <f t="shared" si="160"/>
        <v>-0.2420382165605095</v>
      </c>
      <c r="CB124" s="79">
        <f t="shared" si="160"/>
        <v>-0.24378109452736318</v>
      </c>
      <c r="CC124" s="79">
        <f t="shared" si="160"/>
        <v>-7.5342465753424626E-2</v>
      </c>
      <c r="CD124" s="79"/>
      <c r="CE124" s="79"/>
      <c r="CF124" s="79"/>
      <c r="CG124" s="79"/>
      <c r="CH124" s="79"/>
      <c r="CI124" s="79"/>
      <c r="CJ124" s="79"/>
      <c r="CK124" s="79"/>
      <c r="CL124" s="79"/>
      <c r="CM124" s="79"/>
      <c r="CN124" s="79"/>
      <c r="CO124" s="79"/>
      <c r="CP124" s="79"/>
      <c r="CQ124" s="79"/>
      <c r="CR124" s="79"/>
      <c r="CS124" s="79"/>
      <c r="CT124" s="79"/>
      <c r="CU124" s="79"/>
      <c r="CV124" s="79"/>
      <c r="CW124" s="79"/>
      <c r="CX124" s="79"/>
      <c r="CY124" s="79"/>
      <c r="CZ124" s="79"/>
      <c r="DA124" s="79"/>
      <c r="DB124" s="79"/>
      <c r="DC124" s="79"/>
      <c r="DD124" s="79"/>
      <c r="DE124" s="79"/>
      <c r="DF124" s="79"/>
      <c r="DG124" s="79"/>
      <c r="DH124" s="79"/>
      <c r="DI124" s="79"/>
      <c r="DJ124" s="79"/>
      <c r="DK124" s="79"/>
      <c r="DL124" s="79"/>
      <c r="DM124" s="79"/>
      <c r="DN124" s="79"/>
      <c r="DO124" s="79"/>
      <c r="DP124" s="79"/>
      <c r="DQ124" s="79"/>
      <c r="DR124" s="79"/>
      <c r="DS124" s="79"/>
      <c r="DT124" s="79"/>
      <c r="DU124" s="79"/>
      <c r="DV124" s="79"/>
      <c r="DW124" s="79"/>
      <c r="DX124" s="79"/>
      <c r="DY124" s="79"/>
      <c r="DZ124" s="79"/>
      <c r="EA124" s="79"/>
      <c r="EB124" s="79"/>
      <c r="EC124" s="79"/>
      <c r="ED124" s="79"/>
      <c r="EE124" s="79"/>
      <c r="EF124" s="1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x14ac:dyDescent="0.2">
      <c r="B125" s="15" t="s">
        <v>139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>
        <f t="shared" ref="BB125:BV125" si="161">BB42/AX42-1</f>
        <v>5.5214723926380271E-2</v>
      </c>
      <c r="BC125" s="94">
        <f t="shared" si="161"/>
        <v>7.344632768361592E-2</v>
      </c>
      <c r="BD125" s="94">
        <f t="shared" si="161"/>
        <v>6.8181818181818121E-2</v>
      </c>
      <c r="BE125" s="94">
        <f t="shared" si="161"/>
        <v>0.12734082397003754</v>
      </c>
      <c r="BF125" s="94">
        <f t="shared" si="161"/>
        <v>3.6821705426356655E-2</v>
      </c>
      <c r="BG125" s="94">
        <f t="shared" si="161"/>
        <v>-8.7719298245614308E-3</v>
      </c>
      <c r="BH125" s="94">
        <f t="shared" si="161"/>
        <v>-5.1418439716312103E-2</v>
      </c>
      <c r="BI125" s="94">
        <f t="shared" si="161"/>
        <v>-1.6611295681063121E-2</v>
      </c>
      <c r="BJ125" s="94">
        <f t="shared" si="161"/>
        <v>-2.4299065420560706E-2</v>
      </c>
      <c r="BK125" s="94">
        <f t="shared" si="161"/>
        <v>-3.7168141592920367E-2</v>
      </c>
      <c r="BL125" s="94">
        <f t="shared" si="161"/>
        <v>-3.1775700934579487E-2</v>
      </c>
      <c r="BM125" s="94">
        <f t="shared" si="161"/>
        <v>-0.13851351351351349</v>
      </c>
      <c r="BN125" s="94">
        <f t="shared" si="161"/>
        <v>-0.15325670498084287</v>
      </c>
      <c r="BO125" s="94">
        <f t="shared" si="161"/>
        <v>-0.17279411764705888</v>
      </c>
      <c r="BP125" s="94">
        <f t="shared" si="161"/>
        <v>-0.17567567567567566</v>
      </c>
      <c r="BQ125" s="94">
        <f t="shared" si="161"/>
        <v>-0.10784313725490191</v>
      </c>
      <c r="BR125" s="94">
        <f t="shared" si="161"/>
        <v>-0.14479638009049778</v>
      </c>
      <c r="BS125" s="94">
        <f t="shared" si="161"/>
        <v>-8.666666666666667E-2</v>
      </c>
      <c r="BT125" s="94">
        <f t="shared" si="161"/>
        <v>-8.4309133489461341E-2</v>
      </c>
      <c r="BU125" s="94">
        <f t="shared" si="161"/>
        <v>-0.1648351648351648</v>
      </c>
      <c r="BV125" s="94">
        <f t="shared" si="161"/>
        <v>-0.10317460317460314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5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x14ac:dyDescent="0.2">
      <c r="B126" s="15" t="s">
        <v>33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4">
        <f t="shared" ref="BB126:BV126" si="162">BB48/AX48-1</f>
        <v>2.925925925925926</v>
      </c>
      <c r="BC126" s="94">
        <f t="shared" si="162"/>
        <v>7.2105263157894743</v>
      </c>
      <c r="BD126" s="94">
        <f t="shared" si="162"/>
        <v>1.5363636363636362</v>
      </c>
      <c r="BE126" s="94">
        <f t="shared" si="162"/>
        <v>6.5161290322580649</v>
      </c>
      <c r="BF126" s="94">
        <f t="shared" si="162"/>
        <v>0.41745283018867929</v>
      </c>
      <c r="BG126" s="94">
        <f t="shared" si="162"/>
        <v>1.3076923076923075</v>
      </c>
      <c r="BH126" s="94">
        <f t="shared" si="162"/>
        <v>1.3978494623655915</v>
      </c>
      <c r="BI126" s="94">
        <f t="shared" si="162"/>
        <v>0.42632331902718179</v>
      </c>
      <c r="BJ126" s="94">
        <f t="shared" si="162"/>
        <v>0.43926788685524132</v>
      </c>
      <c r="BK126" s="94">
        <f t="shared" si="162"/>
        <v>0.25277777777777777</v>
      </c>
      <c r="BL126" s="94">
        <f t="shared" si="162"/>
        <v>-0.61584454409566525</v>
      </c>
      <c r="BM126" s="94">
        <f t="shared" si="162"/>
        <v>-0.48645937813440321</v>
      </c>
      <c r="BN126" s="94">
        <f t="shared" si="162"/>
        <v>-0.67861271676300583</v>
      </c>
      <c r="BO126" s="94">
        <f t="shared" si="162"/>
        <v>-0.89135254988913526</v>
      </c>
      <c r="BP126" s="94">
        <f t="shared" si="162"/>
        <v>-0.60700389105058372</v>
      </c>
      <c r="BQ126" s="94">
        <f t="shared" si="162"/>
        <v>-0.646484375</v>
      </c>
      <c r="BR126" s="94">
        <f t="shared" si="162"/>
        <v>0.44244604316546754</v>
      </c>
      <c r="BS126" s="94">
        <f t="shared" si="162"/>
        <v>11.428571428571429</v>
      </c>
      <c r="BT126" s="94">
        <f t="shared" si="162"/>
        <v>8.8415841584158414</v>
      </c>
      <c r="BU126" s="94">
        <f t="shared" si="162"/>
        <v>5.6077348066298338</v>
      </c>
      <c r="BV126" s="94">
        <f t="shared" si="162"/>
        <v>0.28927680798004984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x14ac:dyDescent="0.2">
      <c r="B127" s="15" t="s">
        <v>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>
        <f t="shared" ref="BB127:BV127" si="163">BB28/AX28-1</f>
        <v>2.7100271002709064E-3</v>
      </c>
      <c r="BC127" s="94">
        <f t="shared" si="163"/>
        <v>0.22857142857142865</v>
      </c>
      <c r="BD127" s="94">
        <f t="shared" si="163"/>
        <v>0.3086053412462908</v>
      </c>
      <c r="BE127" s="94">
        <f t="shared" si="163"/>
        <v>0.33717579250720453</v>
      </c>
      <c r="BF127" s="94">
        <f t="shared" si="163"/>
        <v>0.22702702702702693</v>
      </c>
      <c r="BG127" s="94">
        <f t="shared" si="163"/>
        <v>1.6279069767441756E-2</v>
      </c>
      <c r="BH127" s="94">
        <f t="shared" si="163"/>
        <v>5.6689342403628107E-2</v>
      </c>
      <c r="BI127" s="94">
        <f t="shared" si="163"/>
        <v>4.5258620689655249E-2</v>
      </c>
      <c r="BJ127" s="94">
        <f t="shared" si="163"/>
        <v>4.8458149779735615E-2</v>
      </c>
      <c r="BK127" s="94">
        <f t="shared" si="163"/>
        <v>0.15102974828375282</v>
      </c>
      <c r="BL127" s="94">
        <f t="shared" si="163"/>
        <v>4.0772532188841248E-2</v>
      </c>
      <c r="BM127" s="94">
        <f t="shared" si="163"/>
        <v>0.12989690721649483</v>
      </c>
      <c r="BN127" s="94">
        <f t="shared" si="163"/>
        <v>2.3109243697478909E-2</v>
      </c>
      <c r="BO127" s="94">
        <f t="shared" si="163"/>
        <v>3.9761431411530879E-2</v>
      </c>
      <c r="BP127" s="94">
        <f t="shared" si="163"/>
        <v>5.7731958762886615E-2</v>
      </c>
      <c r="BQ127" s="94">
        <f t="shared" si="163"/>
        <v>5.1094890510948954E-2</v>
      </c>
      <c r="BR127" s="94">
        <f t="shared" si="163"/>
        <v>6.1601642710472193E-2</v>
      </c>
      <c r="BS127" s="94">
        <f t="shared" si="163"/>
        <v>-0.21606118546845121</v>
      </c>
      <c r="BT127" s="94">
        <f t="shared" si="163"/>
        <v>-0.29434697855750491</v>
      </c>
      <c r="BU127" s="94">
        <f t="shared" si="163"/>
        <v>-0.50173611111111116</v>
      </c>
      <c r="BV127" s="94">
        <f t="shared" si="163"/>
        <v>-0.30947775628626695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x14ac:dyDescent="0.2">
      <c r="B128" s="15" t="s">
        <v>34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>BB43/AX43-1</f>
        <v>0.12456747404844282</v>
      </c>
      <c r="BC128" s="94">
        <f>BC43/AY43-1</f>
        <v>0.20338983050847448</v>
      </c>
      <c r="BD128" s="94">
        <f>BD43/AZ43-1</f>
        <v>0.18243243243243246</v>
      </c>
      <c r="BE128" s="94">
        <f>BE43/BA43-1</f>
        <v>0.24749163879598668</v>
      </c>
      <c r="BF128" s="94">
        <f>BF43/BB43-1</f>
        <v>7.6923076923076872E-2</v>
      </c>
      <c r="BG128" s="94">
        <f>BG43/BC43-1</f>
        <v>5.3521126760563309E-2</v>
      </c>
      <c r="BH128" s="94">
        <f>BH43/BD43-1</f>
        <v>0</v>
      </c>
      <c r="BI128" s="94">
        <f>BI43/BE43-1</f>
        <v>5.3619302949061698E-2</v>
      </c>
      <c r="BJ128" s="94">
        <f>BJ43/BF43-1</f>
        <v>0.14285714285714279</v>
      </c>
      <c r="BK128" s="94">
        <f>BK43/BG43-1</f>
        <v>8.8235294117646967E-2</v>
      </c>
      <c r="BL128" s="94">
        <f>BL43/BH43-1</f>
        <v>9.4285714285714306E-2</v>
      </c>
      <c r="BM128" s="94">
        <f>BM43/BI43-1</f>
        <v>0.13740458015267176</v>
      </c>
      <c r="BN128" s="94">
        <f>BN43/BJ43-1</f>
        <v>-7.7500000000000013E-2</v>
      </c>
      <c r="BO128" s="94">
        <f>BO43/BK43-1</f>
        <v>2.2113022113022129E-2</v>
      </c>
      <c r="BP128" s="94">
        <f>BP43/BL43-1</f>
        <v>5.7441253263707637E-2</v>
      </c>
      <c r="BQ128" s="94">
        <f>BQ43/BM43-1</f>
        <v>-4.4742729306487261E-3</v>
      </c>
      <c r="BR128" s="94">
        <f>BR43/BN43-1</f>
        <v>6.5040650406503975E-2</v>
      </c>
      <c r="BS128" s="94">
        <f>BS43/BO43-1</f>
        <v>7.9326923076923128E-2</v>
      </c>
      <c r="BT128" s="94">
        <f>BT43/BP43-1</f>
        <v>8.1481481481481488E-2</v>
      </c>
      <c r="BU128" s="94">
        <f>BU43/BQ43-1</f>
        <v>-0.15730337078651691</v>
      </c>
      <c r="BV128" s="94">
        <f>BV43/BR43-1</f>
        <v>0.12213740458015265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x14ac:dyDescent="0.2">
      <c r="B129" s="15" t="s">
        <v>31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K129" si="164">BB45/AX45-1</f>
        <v>0.43478260869565211</v>
      </c>
      <c r="BC129" s="94">
        <f t="shared" si="164"/>
        <v>0.484375</v>
      </c>
      <c r="BD129" s="94">
        <f t="shared" si="164"/>
        <v>0.46896551724137936</v>
      </c>
      <c r="BE129" s="94">
        <f t="shared" si="164"/>
        <v>0.56164383561643838</v>
      </c>
      <c r="BF129" s="94">
        <f t="shared" si="164"/>
        <v>0.44242424242424239</v>
      </c>
      <c r="BG129" s="94">
        <f t="shared" si="164"/>
        <v>0.23157894736842111</v>
      </c>
      <c r="BH129" s="94">
        <f t="shared" si="164"/>
        <v>0.1220657276995305</v>
      </c>
      <c r="BI129" s="94">
        <f t="shared" si="164"/>
        <v>0.14035087719298245</v>
      </c>
      <c r="BJ129" s="94">
        <f t="shared" si="164"/>
        <v>0.12184873949579833</v>
      </c>
      <c r="BK129" s="94">
        <f t="shared" si="164"/>
        <v>0.20512820512820507</v>
      </c>
      <c r="BL129" s="94">
        <f t="shared" ref="BL129:BU129" si="165">BL45/BH45-1</f>
        <v>0.21338912133891208</v>
      </c>
      <c r="BM129" s="94">
        <f t="shared" si="165"/>
        <v>0.19999999999999996</v>
      </c>
      <c r="BN129" s="94">
        <f t="shared" si="165"/>
        <v>5.2434456928838857E-2</v>
      </c>
      <c r="BO129" s="94">
        <f t="shared" si="165"/>
        <v>3.5460992907801359E-2</v>
      </c>
      <c r="BP129" s="94">
        <f t="shared" si="165"/>
        <v>5.862068965517242E-2</v>
      </c>
      <c r="BQ129" s="94">
        <f t="shared" si="165"/>
        <v>6.0897435897435903E-2</v>
      </c>
      <c r="BR129" s="94">
        <f t="shared" si="165"/>
        <v>5.3380782918149405E-2</v>
      </c>
      <c r="BS129" s="94">
        <f t="shared" si="165"/>
        <v>0.13013698630136994</v>
      </c>
      <c r="BT129" s="94">
        <f t="shared" si="165"/>
        <v>6.1889250814332275E-2</v>
      </c>
      <c r="BU129" s="94">
        <f t="shared" si="165"/>
        <v>-6.9486404833836835E-2</v>
      </c>
      <c r="BV129" s="94">
        <f t="shared" ref="BV129" si="166">BV45/BR45-1</f>
        <v>0.18918918918918926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x14ac:dyDescent="0.2">
      <c r="B130" s="15" t="s">
        <v>25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/>
      <c r="BC130" s="94"/>
      <c r="BD130" s="94"/>
      <c r="BE130" s="94">
        <f t="shared" ref="BE130:BV130" si="167">BE46/BA46-1</f>
        <v>7.2941176470588243</v>
      </c>
      <c r="BF130" s="94">
        <f t="shared" si="167"/>
        <v>2.0175438596491229</v>
      </c>
      <c r="BG130" s="94">
        <f t="shared" si="167"/>
        <v>1.2159090909090908</v>
      </c>
      <c r="BH130" s="94">
        <f t="shared" si="167"/>
        <v>1.0891089108910892</v>
      </c>
      <c r="BI130" s="94">
        <f t="shared" si="167"/>
        <v>0.66666666666666674</v>
      </c>
      <c r="BJ130" s="94">
        <f t="shared" si="167"/>
        <v>0.41279069767441867</v>
      </c>
      <c r="BK130" s="94">
        <f t="shared" si="167"/>
        <v>0.33333333333333326</v>
      </c>
      <c r="BL130" s="94">
        <f t="shared" si="167"/>
        <v>0.28436018957345977</v>
      </c>
      <c r="BM130" s="94">
        <f t="shared" si="167"/>
        <v>0.22553191489361701</v>
      </c>
      <c r="BN130" s="94">
        <f t="shared" si="167"/>
        <v>0.17695473251028804</v>
      </c>
      <c r="BO130" s="94">
        <f t="shared" si="167"/>
        <v>0.1576923076923078</v>
      </c>
      <c r="BP130" s="94">
        <f t="shared" si="167"/>
        <v>9.9630996309963082E-2</v>
      </c>
      <c r="BQ130" s="94">
        <f t="shared" si="167"/>
        <v>0.14583333333333326</v>
      </c>
      <c r="BR130" s="94">
        <f t="shared" si="167"/>
        <v>0.11888111888111896</v>
      </c>
      <c r="BS130" s="94">
        <f t="shared" si="167"/>
        <v>7.3089700996677776E-2</v>
      </c>
      <c r="BT130" s="94">
        <f t="shared" si="167"/>
        <v>7.0469798657718075E-2</v>
      </c>
      <c r="BU130" s="94">
        <f t="shared" si="167"/>
        <v>3.6363636363636376E-2</v>
      </c>
      <c r="BV130" s="94">
        <f t="shared" si="167"/>
        <v>1.8750000000000044E-2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x14ac:dyDescent="0.2">
      <c r="B131" s="15" t="s">
        <v>29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3"/>
      <c r="BC131" s="93"/>
      <c r="BD131" s="93"/>
      <c r="BE131" s="93"/>
      <c r="BF131" s="93"/>
      <c r="BG131" s="93"/>
      <c r="BH131" s="66"/>
      <c r="BI131" s="66"/>
      <c r="BJ131" s="66"/>
      <c r="BK131" s="66"/>
      <c r="BL131" s="94">
        <f t="shared" ref="BL131:BV131" si="168">BL24/BH24-1</f>
        <v>0.24479166666666674</v>
      </c>
      <c r="BM131" s="94">
        <f t="shared" si="168"/>
        <v>-0.1648351648351648</v>
      </c>
      <c r="BN131" s="94">
        <f t="shared" si="168"/>
        <v>-0.18250950570342206</v>
      </c>
      <c r="BO131" s="94">
        <f t="shared" si="168"/>
        <v>-0.13793103448275867</v>
      </c>
      <c r="BP131" s="94">
        <f t="shared" si="168"/>
        <v>2.9288702928870203E-2</v>
      </c>
      <c r="BQ131" s="94">
        <f t="shared" si="168"/>
        <v>0.20175438596491224</v>
      </c>
      <c r="BR131" s="94">
        <f t="shared" si="168"/>
        <v>0.29767441860465116</v>
      </c>
      <c r="BS131" s="94">
        <f t="shared" si="168"/>
        <v>0.30666666666666664</v>
      </c>
      <c r="BT131" s="94">
        <f t="shared" si="168"/>
        <v>0.20325203252032531</v>
      </c>
      <c r="BU131" s="94">
        <f t="shared" si="168"/>
        <v>0.2007299270072993</v>
      </c>
      <c r="BV131" s="94">
        <f t="shared" si="168"/>
        <v>0.17204301075268824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x14ac:dyDescent="0.2">
      <c r="B132" s="15" t="s">
        <v>140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/>
      <c r="BC132" s="94"/>
      <c r="BD132" s="94"/>
      <c r="BE132" s="94"/>
      <c r="BF132" s="94"/>
      <c r="BG132" s="94">
        <f t="shared" ref="BG132:BV132" si="169">BG47/BC47-1</f>
        <v>3.3809523809523814</v>
      </c>
      <c r="BH132" s="94">
        <f t="shared" si="169"/>
        <v>9.1428571428571423</v>
      </c>
      <c r="BI132" s="94">
        <f t="shared" si="169"/>
        <v>2.5098039215686274</v>
      </c>
      <c r="BJ132" s="94">
        <f t="shared" si="169"/>
        <v>1.2666666666666666</v>
      </c>
      <c r="BK132" s="94">
        <f t="shared" si="169"/>
        <v>1.2173913043478262</v>
      </c>
      <c r="BL132" s="94">
        <f t="shared" si="169"/>
        <v>0.61971830985915499</v>
      </c>
      <c r="BM132" s="94">
        <f t="shared" si="169"/>
        <v>0.58100558659217882</v>
      </c>
      <c r="BN132" s="94">
        <f t="shared" si="169"/>
        <v>0.41764705882352948</v>
      </c>
      <c r="BO132" s="94">
        <f t="shared" si="169"/>
        <v>0.30392156862745101</v>
      </c>
      <c r="BP132" s="94">
        <f t="shared" si="169"/>
        <v>0.16521739130434776</v>
      </c>
      <c r="BQ132" s="94">
        <f t="shared" si="169"/>
        <v>0.1766784452296819</v>
      </c>
      <c r="BR132" s="94">
        <f t="shared" si="169"/>
        <v>3.3195020746888071E-2</v>
      </c>
      <c r="BS132" s="94">
        <f t="shared" si="169"/>
        <v>3.7593984962406068E-2</v>
      </c>
      <c r="BT132" s="94">
        <f t="shared" si="169"/>
        <v>-4.8507462686567138E-2</v>
      </c>
      <c r="BU132" s="94">
        <f t="shared" si="169"/>
        <v>-0.16516516516516522</v>
      </c>
      <c r="BV132" s="94">
        <f t="shared" si="169"/>
        <v>0.11244979919678721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x14ac:dyDescent="0.2">
      <c r="B133" s="15" t="s">
        <v>39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4">
        <f t="shared" ref="BB133:BV133" si="170">BB54/AX54-1</f>
        <v>6.8493150684931781E-3</v>
      </c>
      <c r="BC133" s="94">
        <f t="shared" si="170"/>
        <v>0</v>
      </c>
      <c r="BD133" s="94">
        <f t="shared" si="170"/>
        <v>0.11724137931034484</v>
      </c>
      <c r="BE133" s="94">
        <f t="shared" si="170"/>
        <v>0.17518248175182483</v>
      </c>
      <c r="BF133" s="94">
        <f t="shared" si="170"/>
        <v>0.23129251700680276</v>
      </c>
      <c r="BG133" s="94">
        <f t="shared" si="170"/>
        <v>0.10303030303030303</v>
      </c>
      <c r="BH133" s="94">
        <f t="shared" si="170"/>
        <v>-1.2345679012345734E-2</v>
      </c>
      <c r="BI133" s="94">
        <f t="shared" si="170"/>
        <v>5.5900621118012417E-2</v>
      </c>
      <c r="BJ133" s="94">
        <f t="shared" si="170"/>
        <v>-9.9447513812154664E-2</v>
      </c>
      <c r="BK133" s="94">
        <f t="shared" si="170"/>
        <v>-3.2967032967032961E-2</v>
      </c>
      <c r="BL133" s="94">
        <f t="shared" si="170"/>
        <v>-5.6250000000000022E-2</v>
      </c>
      <c r="BM133" s="94">
        <f t="shared" si="170"/>
        <v>-0.16470588235294115</v>
      </c>
      <c r="BN133" s="94">
        <f t="shared" si="170"/>
        <v>-0.16564417177914115</v>
      </c>
      <c r="BO133" s="94">
        <f t="shared" si="170"/>
        <v>-0.27272727272727271</v>
      </c>
      <c r="BP133" s="94">
        <f t="shared" si="170"/>
        <v>-0.16556291390728473</v>
      </c>
      <c r="BQ133" s="94">
        <f t="shared" si="170"/>
        <v>-0.21126760563380287</v>
      </c>
      <c r="BR133" s="94">
        <f t="shared" si="170"/>
        <v>-0.24264705882352944</v>
      </c>
      <c r="BS133" s="94">
        <f t="shared" si="170"/>
        <v>-0.171875</v>
      </c>
      <c r="BT133" s="94">
        <f t="shared" si="170"/>
        <v>-0.22222222222222221</v>
      </c>
      <c r="BU133" s="94">
        <f t="shared" si="170"/>
        <v>-0.1964285714285714</v>
      </c>
      <c r="BV133" s="94">
        <f t="shared" si="170"/>
        <v>-0.11650485436893199</v>
      </c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94"/>
      <c r="DH133" s="94"/>
      <c r="DI133" s="94"/>
      <c r="DJ133" s="94"/>
      <c r="DK133" s="94"/>
      <c r="DL133" s="94"/>
      <c r="DM133" s="94"/>
      <c r="DN133" s="94"/>
      <c r="DO133" s="94"/>
      <c r="DP133" s="94"/>
      <c r="DQ133" s="94"/>
      <c r="DR133" s="94"/>
      <c r="DS133" s="94"/>
      <c r="DT133" s="94"/>
      <c r="DU133" s="94"/>
      <c r="DV133" s="94"/>
      <c r="DW133" s="94"/>
      <c r="DX133" s="94"/>
      <c r="DY133" s="94"/>
      <c r="DZ133" s="94"/>
      <c r="EA133" s="94"/>
      <c r="EB133" s="94"/>
      <c r="EC133" s="94"/>
      <c r="ED133" s="94"/>
      <c r="EE133" s="94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x14ac:dyDescent="0.2">
      <c r="B134" s="15" t="s">
        <v>28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4">
        <f t="shared" ref="BB134:BV134" si="171">BB15/AX15-1</f>
        <v>1.1315789473684212</v>
      </c>
      <c r="BC134" s="94">
        <f t="shared" si="171"/>
        <v>0.81818181818181812</v>
      </c>
      <c r="BD134" s="94">
        <f t="shared" si="171"/>
        <v>0.52941176470588225</v>
      </c>
      <c r="BE134" s="94">
        <f t="shared" si="171"/>
        <v>0.68493150684931514</v>
      </c>
      <c r="BF134" s="94">
        <f t="shared" si="171"/>
        <v>0.53086419753086411</v>
      </c>
      <c r="BG134" s="94">
        <f t="shared" si="171"/>
        <v>0.33000000000000007</v>
      </c>
      <c r="BH134" s="94">
        <f t="shared" si="171"/>
        <v>0.29807692307692313</v>
      </c>
      <c r="BI134" s="94">
        <f t="shared" si="171"/>
        <v>0.17886178861788626</v>
      </c>
      <c r="BJ134" s="94">
        <f t="shared" si="171"/>
        <v>9.6774193548387011E-2</v>
      </c>
      <c r="BK134" s="94">
        <f t="shared" si="171"/>
        <v>0.11278195488721798</v>
      </c>
      <c r="BL134" s="94">
        <f t="shared" si="171"/>
        <v>7.4074074074074181E-2</v>
      </c>
      <c r="BM134" s="94">
        <f t="shared" si="171"/>
        <v>-4.8275862068965503E-2</v>
      </c>
      <c r="BN134" s="94">
        <f t="shared" si="171"/>
        <v>-8.0882352941176516E-2</v>
      </c>
      <c r="BO134" s="94">
        <f t="shared" si="171"/>
        <v>-9.4594594594594628E-2</v>
      </c>
      <c r="BP134" s="94">
        <f t="shared" si="171"/>
        <v>0</v>
      </c>
      <c r="BQ134" s="94">
        <f t="shared" si="171"/>
        <v>0.13043478260869557</v>
      </c>
      <c r="BR134" s="94">
        <f t="shared" si="171"/>
        <v>0.21599999999999997</v>
      </c>
      <c r="BS134" s="94">
        <f t="shared" si="171"/>
        <v>0.20149253731343286</v>
      </c>
      <c r="BT134" s="94">
        <f t="shared" si="171"/>
        <v>8.2758620689655116E-2</v>
      </c>
      <c r="BU134" s="94">
        <f t="shared" si="171"/>
        <v>-3.8461538461538436E-2</v>
      </c>
      <c r="BV134" s="94">
        <f t="shared" si="171"/>
        <v>-2.6315789473684181E-2</v>
      </c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94"/>
      <c r="DH134" s="94"/>
      <c r="DI134" s="94"/>
      <c r="DJ134" s="94"/>
      <c r="DK134" s="94"/>
      <c r="DL134" s="94"/>
      <c r="DM134" s="94"/>
      <c r="DN134" s="94"/>
      <c r="DO134" s="94"/>
      <c r="DP134" s="94"/>
      <c r="DQ134" s="94"/>
      <c r="DR134" s="94"/>
      <c r="DS134" s="94"/>
      <c r="DT134" s="94"/>
      <c r="DU134" s="94"/>
      <c r="DV134" s="94"/>
      <c r="DW134" s="94"/>
      <c r="DX134" s="94"/>
      <c r="DY134" s="94"/>
      <c r="DZ134" s="94"/>
      <c r="EA134" s="94"/>
      <c r="EB134" s="94"/>
      <c r="EC134" s="94"/>
      <c r="ED134" s="94"/>
      <c r="EE134" s="94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x14ac:dyDescent="0.2">
      <c r="B135" s="15" t="s">
        <v>141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4">
        <f t="shared" ref="BB135:BK136" si="172">BB49/AX49-1</f>
        <v>0</v>
      </c>
      <c r="BC135" s="94">
        <f t="shared" si="172"/>
        <v>0.25316455696202533</v>
      </c>
      <c r="BD135" s="94">
        <f t="shared" si="172"/>
        <v>0.23456790123456783</v>
      </c>
      <c r="BE135" s="94">
        <f t="shared" si="172"/>
        <v>0.31325301204819267</v>
      </c>
      <c r="BF135" s="94">
        <f t="shared" si="172"/>
        <v>0.27906976744186052</v>
      </c>
      <c r="BG135" s="94">
        <f t="shared" si="172"/>
        <v>0.14141414141414144</v>
      </c>
      <c r="BH135" s="94">
        <f t="shared" si="172"/>
        <v>0.26</v>
      </c>
      <c r="BI135" s="94">
        <f t="shared" si="172"/>
        <v>0.27522935779816504</v>
      </c>
      <c r="BJ135" s="94">
        <f t="shared" si="172"/>
        <v>0.1272727272727272</v>
      </c>
      <c r="BK135" s="94">
        <f t="shared" si="172"/>
        <v>0.21238938053097356</v>
      </c>
      <c r="BL135" s="94">
        <f t="shared" ref="BL135:BU136" si="173">BL49/BH49-1</f>
        <v>8.7301587301587213E-2</v>
      </c>
      <c r="BM135" s="94">
        <f t="shared" si="173"/>
        <v>3.5971223021582732E-2</v>
      </c>
      <c r="BN135" s="94">
        <f t="shared" si="173"/>
        <v>3.2258064516129004E-2</v>
      </c>
      <c r="BO135" s="94">
        <f t="shared" si="173"/>
        <v>-7.2992700729926918E-3</v>
      </c>
      <c r="BP135" s="94">
        <f t="shared" si="173"/>
        <v>4.3795620437956151E-2</v>
      </c>
      <c r="BQ135" s="94">
        <f t="shared" si="173"/>
        <v>3.4722222222222321E-2</v>
      </c>
      <c r="BR135" s="94">
        <f t="shared" si="173"/>
        <v>2.34375E-2</v>
      </c>
      <c r="BS135" s="94">
        <f t="shared" si="173"/>
        <v>5.1470588235294157E-2</v>
      </c>
      <c r="BT135" s="94">
        <f t="shared" si="173"/>
        <v>3.4965034965035002E-2</v>
      </c>
      <c r="BU135" s="94">
        <f t="shared" si="173"/>
        <v>-4.6979865771812124E-2</v>
      </c>
      <c r="BV135" s="94">
        <f t="shared" ref="BV135:BV136" si="174">BV49/BR49-1</f>
        <v>0.13740458015267176</v>
      </c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94"/>
      <c r="DH135" s="94"/>
      <c r="DI135" s="94"/>
      <c r="DJ135" s="94"/>
      <c r="DK135" s="94"/>
      <c r="DL135" s="94"/>
      <c r="DM135" s="94"/>
      <c r="DN135" s="94"/>
      <c r="DO135" s="94"/>
      <c r="DP135" s="94"/>
      <c r="DQ135" s="94"/>
      <c r="DR135" s="94"/>
      <c r="DS135" s="94"/>
      <c r="DT135" s="94"/>
      <c r="DU135" s="94"/>
      <c r="DV135" s="94"/>
      <c r="DW135" s="94"/>
      <c r="DX135" s="94"/>
      <c r="DY135" s="94"/>
      <c r="DZ135" s="94"/>
      <c r="EA135" s="94"/>
      <c r="EB135" s="94"/>
      <c r="EC135" s="94"/>
      <c r="ED135" s="94"/>
      <c r="EE135" s="94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x14ac:dyDescent="0.2">
      <c r="B136" s="15" t="s">
        <v>142</v>
      </c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4">
        <f t="shared" si="172"/>
        <v>9.1743119266054496E-3</v>
      </c>
      <c r="BC136" s="94">
        <f t="shared" si="172"/>
        <v>5.1724137931034475E-2</v>
      </c>
      <c r="BD136" s="94">
        <f t="shared" si="172"/>
        <v>5.4545454545454453E-2</v>
      </c>
      <c r="BE136" s="94">
        <f t="shared" si="172"/>
        <v>0.12280701754385959</v>
      </c>
      <c r="BF136" s="94">
        <f t="shared" si="172"/>
        <v>7.2727272727272751E-2</v>
      </c>
      <c r="BG136" s="94">
        <f t="shared" si="172"/>
        <v>3.2786885245901676E-2</v>
      </c>
      <c r="BH136" s="94">
        <f t="shared" si="172"/>
        <v>1.7241379310344751E-2</v>
      </c>
      <c r="BI136" s="94">
        <f t="shared" si="172"/>
        <v>3.125E-2</v>
      </c>
      <c r="BJ136" s="94">
        <f t="shared" si="172"/>
        <v>-8.4745762711864181E-3</v>
      </c>
      <c r="BK136" s="94">
        <f t="shared" si="172"/>
        <v>-3.1746031746031744E-2</v>
      </c>
      <c r="BL136" s="94">
        <f t="shared" si="173"/>
        <v>0</v>
      </c>
      <c r="BM136" s="94">
        <f t="shared" si="173"/>
        <v>-0.14393939393939392</v>
      </c>
      <c r="BN136" s="94">
        <f t="shared" si="173"/>
        <v>-0.17094017094017089</v>
      </c>
      <c r="BO136" s="94">
        <f t="shared" si="173"/>
        <v>-0.19672131147540983</v>
      </c>
      <c r="BP136" s="94">
        <f t="shared" si="173"/>
        <v>-0.10169491525423724</v>
      </c>
      <c r="BQ136" s="94">
        <f t="shared" si="173"/>
        <v>-8.8495575221239076E-3</v>
      </c>
      <c r="BR136" s="94">
        <f t="shared" si="173"/>
        <v>7.2164948453608213E-2</v>
      </c>
      <c r="BS136" s="94">
        <f t="shared" si="173"/>
        <v>9.1836734693877542E-2</v>
      </c>
      <c r="BT136" s="94">
        <f t="shared" si="173"/>
        <v>-5.6603773584905648E-2</v>
      </c>
      <c r="BU136" s="94">
        <f t="shared" si="173"/>
        <v>-0.2053571428571429</v>
      </c>
      <c r="BV136" s="94">
        <f t="shared" si="174"/>
        <v>-0.125</v>
      </c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94"/>
      <c r="DH136" s="94"/>
      <c r="DI136" s="94"/>
      <c r="DJ136" s="94"/>
      <c r="DK136" s="94"/>
      <c r="DL136" s="94"/>
      <c r="DM136" s="94"/>
      <c r="DN136" s="94"/>
      <c r="DO136" s="94"/>
      <c r="DP136" s="94"/>
      <c r="DQ136" s="94"/>
      <c r="DR136" s="94"/>
      <c r="DS136" s="94"/>
      <c r="DT136" s="94"/>
      <c r="DU136" s="94"/>
      <c r="DV136" s="94"/>
      <c r="DW136" s="94"/>
      <c r="DX136" s="94"/>
      <c r="DY136" s="94"/>
      <c r="DZ136" s="94"/>
      <c r="EA136" s="94"/>
      <c r="EB136" s="94"/>
      <c r="EC136" s="94"/>
      <c r="ED136" s="94"/>
      <c r="EE136" s="94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x14ac:dyDescent="0.2">
      <c r="B137" s="15" t="s">
        <v>27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4">
        <f t="shared" ref="BB137:BV137" si="175">BB27/AX27-1</f>
        <v>5.9523809523809534E-2</v>
      </c>
      <c r="BC137" s="94">
        <f t="shared" si="175"/>
        <v>0.18586636397103939</v>
      </c>
      <c r="BD137" s="94">
        <f t="shared" si="175"/>
        <v>0.16279069767441867</v>
      </c>
      <c r="BE137" s="94">
        <f t="shared" si="175"/>
        <v>0.2441860465116279</v>
      </c>
      <c r="BF137" s="94">
        <f t="shared" si="175"/>
        <v>0.22471910112359561</v>
      </c>
      <c r="BG137" s="94">
        <f t="shared" si="175"/>
        <v>6.1855670103092786E-2</v>
      </c>
      <c r="BH137" s="94">
        <f t="shared" si="175"/>
        <v>8.0000000000000071E-2</v>
      </c>
      <c r="BI137" s="94">
        <f t="shared" si="175"/>
        <v>8.4112149532710179E-2</v>
      </c>
      <c r="BJ137" s="94">
        <f t="shared" si="175"/>
        <v>1.8348623853210899E-2</v>
      </c>
      <c r="BK137" s="94">
        <f t="shared" si="175"/>
        <v>0.16504854368932032</v>
      </c>
      <c r="BL137" s="94">
        <f t="shared" si="175"/>
        <v>0.14814814814814814</v>
      </c>
      <c r="BM137" s="94">
        <f t="shared" si="175"/>
        <v>0.10344827586206895</v>
      </c>
      <c r="BN137" s="94">
        <f t="shared" si="175"/>
        <v>5.4054054054053946E-2</v>
      </c>
      <c r="BO137" s="94">
        <f t="shared" si="175"/>
        <v>0</v>
      </c>
      <c r="BP137" s="94">
        <f t="shared" si="175"/>
        <v>-3.2258064516129004E-2</v>
      </c>
      <c r="BQ137" s="94">
        <f t="shared" si="175"/>
        <v>8.59375E-2</v>
      </c>
      <c r="BR137" s="94">
        <f t="shared" si="175"/>
        <v>2.564102564102555E-2</v>
      </c>
      <c r="BS137" s="94">
        <f t="shared" si="175"/>
        <v>6.6666666666666652E-2</v>
      </c>
      <c r="BT137" s="94">
        <f t="shared" si="175"/>
        <v>4.1666666666666741E-2</v>
      </c>
      <c r="BU137" s="94">
        <f t="shared" si="175"/>
        <v>-7.9136690647481966E-2</v>
      </c>
      <c r="BV137" s="94">
        <f t="shared" si="175"/>
        <v>0.125</v>
      </c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94"/>
      <c r="DH137" s="94"/>
      <c r="DI137" s="94"/>
      <c r="DJ137" s="94"/>
      <c r="DK137" s="94"/>
      <c r="DL137" s="94"/>
      <c r="DM137" s="94"/>
      <c r="DN137" s="94"/>
      <c r="DO137" s="94"/>
      <c r="DP137" s="94"/>
      <c r="DQ137" s="94"/>
      <c r="DR137" s="94"/>
      <c r="DS137" s="94"/>
      <c r="DT137" s="94"/>
      <c r="DU137" s="94"/>
      <c r="DV137" s="94"/>
      <c r="DW137" s="94"/>
      <c r="DX137" s="94"/>
      <c r="DY137" s="94"/>
      <c r="DZ137" s="94"/>
      <c r="EA137" s="94"/>
      <c r="EB137" s="94"/>
      <c r="EC137" s="94"/>
      <c r="ED137" s="94"/>
      <c r="EE137" s="94"/>
      <c r="EF137" s="5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s="26" customFormat="1" x14ac:dyDescent="0.2">
      <c r="B138" s="15" t="s">
        <v>37</v>
      </c>
      <c r="C138" s="23"/>
      <c r="D138" s="23"/>
      <c r="E138" s="23"/>
      <c r="F138" s="23"/>
      <c r="G138" s="23"/>
      <c r="H138" s="23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93"/>
      <c r="AX138" s="93"/>
      <c r="AY138" s="93"/>
      <c r="AZ138" s="93"/>
      <c r="BA138" s="93"/>
      <c r="BB138" s="93"/>
      <c r="BC138" s="93"/>
      <c r="BD138" s="93"/>
      <c r="BE138" s="93"/>
      <c r="BF138" s="93"/>
      <c r="BG138" s="93"/>
      <c r="BH138" s="66"/>
      <c r="BI138" s="66"/>
      <c r="BJ138" s="66"/>
      <c r="BK138" s="66"/>
      <c r="BL138" s="93"/>
      <c r="BM138" s="93"/>
      <c r="BN138" s="93"/>
      <c r="BO138" s="93"/>
      <c r="BP138" s="93"/>
      <c r="BQ138" s="93"/>
      <c r="BR138" s="93"/>
      <c r="BS138" s="93"/>
      <c r="BT138" s="93"/>
      <c r="BU138" s="93"/>
      <c r="BV138" s="93"/>
      <c r="BW138" s="93"/>
      <c r="BX138" s="93"/>
      <c r="BY138" s="93"/>
      <c r="BZ138" s="93"/>
      <c r="CA138" s="93"/>
      <c r="CB138" s="93"/>
      <c r="CC138" s="93"/>
      <c r="CD138" s="93"/>
      <c r="CE138" s="93"/>
      <c r="CF138" s="93"/>
      <c r="CG138" s="93"/>
      <c r="CH138" s="93"/>
      <c r="CI138" s="93"/>
      <c r="CJ138" s="93"/>
      <c r="CK138" s="93"/>
      <c r="CL138" s="93"/>
      <c r="CM138" s="93"/>
      <c r="CN138" s="93"/>
      <c r="CO138" s="93"/>
      <c r="CP138" s="93"/>
      <c r="CQ138" s="93"/>
      <c r="CR138" s="93"/>
      <c r="CS138" s="93"/>
      <c r="CT138" s="93"/>
      <c r="CU138" s="93"/>
      <c r="CV138" s="93"/>
      <c r="CW138" s="93"/>
      <c r="CX138" s="93"/>
      <c r="CY138" s="93"/>
      <c r="CZ138" s="93"/>
      <c r="DA138" s="93"/>
      <c r="DB138" s="93"/>
      <c r="DC138" s="93"/>
      <c r="DD138" s="93"/>
      <c r="DE138" s="93"/>
      <c r="DF138" s="93"/>
      <c r="DG138" s="93"/>
      <c r="DH138" s="93"/>
      <c r="DI138" s="93"/>
      <c r="DJ138" s="93"/>
      <c r="DK138" s="93"/>
      <c r="DL138" s="93"/>
      <c r="DM138" s="93"/>
      <c r="DN138" s="93"/>
      <c r="DO138" s="93"/>
      <c r="DP138" s="93"/>
      <c r="DQ138" s="93"/>
      <c r="DR138" s="93"/>
      <c r="DS138" s="93"/>
      <c r="DT138" s="93"/>
      <c r="DU138" s="93"/>
      <c r="DV138" s="93"/>
      <c r="DW138" s="93"/>
      <c r="DX138" s="93"/>
      <c r="DY138" s="93"/>
      <c r="DZ138" s="93"/>
      <c r="EA138" s="93"/>
      <c r="EB138" s="93"/>
      <c r="EC138" s="93"/>
      <c r="ED138" s="93"/>
      <c r="EE138" s="93"/>
      <c r="EF138" s="5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6"/>
      <c r="FB138" s="16"/>
      <c r="FC138" s="46"/>
      <c r="FD138" s="46"/>
    </row>
    <row r="139" spans="2:160" s="26" customFormat="1" x14ac:dyDescent="0.2">
      <c r="B139" s="15" t="s">
        <v>30</v>
      </c>
      <c r="C139" s="23"/>
      <c r="D139" s="23"/>
      <c r="E139" s="23"/>
      <c r="F139" s="23"/>
      <c r="G139" s="23"/>
      <c r="H139" s="2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93"/>
      <c r="AX139" s="93"/>
      <c r="AY139" s="93"/>
      <c r="AZ139" s="93"/>
      <c r="BA139" s="93"/>
      <c r="BB139" s="93"/>
      <c r="BC139" s="93"/>
      <c r="BD139" s="93"/>
      <c r="BE139" s="93"/>
      <c r="BF139" s="93"/>
      <c r="BG139" s="93"/>
      <c r="BH139" s="66"/>
      <c r="BI139" s="66"/>
      <c r="BJ139" s="66"/>
      <c r="BK139" s="66"/>
      <c r="BL139" s="93"/>
      <c r="BM139" s="93"/>
      <c r="BN139" s="93"/>
      <c r="BO139" s="93"/>
      <c r="BP139" s="93"/>
      <c r="BQ139" s="93"/>
      <c r="BR139" s="93"/>
      <c r="BS139" s="93"/>
      <c r="BT139" s="93"/>
      <c r="BU139" s="93"/>
      <c r="BV139" s="93"/>
      <c r="BW139" s="93"/>
      <c r="BX139" s="93"/>
      <c r="BY139" s="93"/>
      <c r="BZ139" s="93"/>
      <c r="CA139" s="93"/>
      <c r="CB139" s="93"/>
      <c r="CC139" s="93"/>
      <c r="CD139" s="93"/>
      <c r="CE139" s="93"/>
      <c r="CF139" s="93"/>
      <c r="CG139" s="93"/>
      <c r="CH139" s="93"/>
      <c r="CI139" s="93"/>
      <c r="CJ139" s="93"/>
      <c r="CK139" s="93"/>
      <c r="CL139" s="93"/>
      <c r="CM139" s="93"/>
      <c r="CN139" s="93"/>
      <c r="CO139" s="93"/>
      <c r="CP139" s="93"/>
      <c r="CQ139" s="93"/>
      <c r="CR139" s="93"/>
      <c r="CS139" s="93"/>
      <c r="CT139" s="93"/>
      <c r="CU139" s="93"/>
      <c r="CV139" s="93"/>
      <c r="CW139" s="93"/>
      <c r="CX139" s="93"/>
      <c r="CY139" s="93"/>
      <c r="CZ139" s="93"/>
      <c r="DA139" s="93"/>
      <c r="DB139" s="93"/>
      <c r="DC139" s="93"/>
      <c r="DD139" s="93"/>
      <c r="DE139" s="93"/>
      <c r="DF139" s="93"/>
      <c r="DG139" s="93"/>
      <c r="DH139" s="93"/>
      <c r="DI139" s="93"/>
      <c r="DJ139" s="93"/>
      <c r="DK139" s="93"/>
      <c r="DL139" s="93"/>
      <c r="DM139" s="93"/>
      <c r="DN139" s="93"/>
      <c r="DO139" s="93"/>
      <c r="DP139" s="93"/>
      <c r="DQ139" s="93"/>
      <c r="DR139" s="93"/>
      <c r="DS139" s="93"/>
      <c r="DT139" s="93"/>
      <c r="DU139" s="93"/>
      <c r="DV139" s="93"/>
      <c r="DW139" s="93"/>
      <c r="DX139" s="93"/>
      <c r="DY139" s="93"/>
      <c r="DZ139" s="93"/>
      <c r="EA139" s="93"/>
      <c r="EB139" s="93"/>
      <c r="EC139" s="93"/>
      <c r="ED139" s="93"/>
      <c r="EE139" s="93"/>
      <c r="EF139" s="5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6"/>
      <c r="FB139" s="16"/>
      <c r="FC139" s="46"/>
      <c r="FD139" s="46"/>
    </row>
    <row r="140" spans="2:160" s="26" customFormat="1" x14ac:dyDescent="0.2">
      <c r="B140" s="15" t="s">
        <v>26</v>
      </c>
      <c r="C140" s="23"/>
      <c r="D140" s="23"/>
      <c r="E140" s="23"/>
      <c r="F140" s="23"/>
      <c r="G140" s="23"/>
      <c r="H140" s="2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93"/>
      <c r="AX140" s="93"/>
      <c r="AY140" s="93"/>
      <c r="AZ140" s="93"/>
      <c r="BA140" s="93"/>
      <c r="BB140" s="93"/>
      <c r="BC140" s="93"/>
      <c r="BD140" s="93"/>
      <c r="BE140" s="93"/>
      <c r="BF140" s="93"/>
      <c r="BG140" s="93"/>
      <c r="BH140" s="66"/>
      <c r="BI140" s="66"/>
      <c r="BJ140" s="66"/>
      <c r="BK140" s="66"/>
      <c r="BL140" s="93"/>
      <c r="BM140" s="93"/>
      <c r="BN140" s="93"/>
      <c r="BO140" s="93"/>
      <c r="BP140" s="93"/>
      <c r="BQ140" s="93"/>
      <c r="BR140" s="93"/>
      <c r="BS140" s="93"/>
      <c r="BT140" s="93"/>
      <c r="BU140" s="93"/>
      <c r="BV140" s="93"/>
      <c r="BW140" s="93"/>
      <c r="BX140" s="93"/>
      <c r="BY140" s="93"/>
      <c r="BZ140" s="93"/>
      <c r="CA140" s="93"/>
      <c r="CB140" s="93"/>
      <c r="CC140" s="93"/>
      <c r="CD140" s="93"/>
      <c r="CE140" s="93"/>
      <c r="CF140" s="93"/>
      <c r="CG140" s="93"/>
      <c r="CH140" s="93"/>
      <c r="CI140" s="93"/>
      <c r="CJ140" s="93"/>
      <c r="CK140" s="93"/>
      <c r="CL140" s="93"/>
      <c r="CM140" s="93"/>
      <c r="CN140" s="93"/>
      <c r="CO140" s="93"/>
      <c r="CP140" s="93"/>
      <c r="CQ140" s="93"/>
      <c r="CR140" s="93"/>
      <c r="CS140" s="93"/>
      <c r="CT140" s="93"/>
      <c r="CU140" s="93"/>
      <c r="CV140" s="93"/>
      <c r="CW140" s="93"/>
      <c r="CX140" s="93"/>
      <c r="CY140" s="93"/>
      <c r="CZ140" s="93"/>
      <c r="DA140" s="93"/>
      <c r="DB140" s="93"/>
      <c r="DC140" s="93"/>
      <c r="DD140" s="93"/>
      <c r="DE140" s="93"/>
      <c r="DF140" s="93"/>
      <c r="DG140" s="93"/>
      <c r="DH140" s="93"/>
      <c r="DI140" s="93"/>
      <c r="DJ140" s="93"/>
      <c r="DK140" s="93"/>
      <c r="DL140" s="93"/>
      <c r="DM140" s="93"/>
      <c r="DN140" s="93"/>
      <c r="DO140" s="93"/>
      <c r="DP140" s="93"/>
      <c r="DQ140" s="93"/>
      <c r="DR140" s="93"/>
      <c r="DS140" s="93"/>
      <c r="DT140" s="93"/>
      <c r="DU140" s="93"/>
      <c r="DV140" s="93"/>
      <c r="DW140" s="93"/>
      <c r="DX140" s="93"/>
      <c r="DY140" s="93"/>
      <c r="DZ140" s="93"/>
      <c r="EA140" s="93"/>
      <c r="EB140" s="93"/>
      <c r="EC140" s="93"/>
      <c r="ED140" s="93"/>
      <c r="EE140" s="93"/>
      <c r="EF140" s="5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6"/>
      <c r="FB140" s="16"/>
      <c r="FC140" s="46"/>
      <c r="FD140" s="46"/>
    </row>
    <row r="141" spans="2:160" s="26" customFormat="1" x14ac:dyDescent="0.2">
      <c r="C141" s="23"/>
      <c r="D141" s="23"/>
      <c r="E141" s="23"/>
      <c r="F141" s="23"/>
      <c r="G141" s="23"/>
      <c r="H141" s="2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93"/>
      <c r="AX141" s="93"/>
      <c r="AY141" s="93"/>
      <c r="AZ141" s="93"/>
      <c r="BA141" s="93"/>
      <c r="BB141" s="93"/>
      <c r="BC141" s="93"/>
      <c r="BD141" s="93"/>
      <c r="BE141" s="93"/>
      <c r="BF141" s="93"/>
      <c r="BG141" s="93"/>
      <c r="BH141" s="66"/>
      <c r="BI141" s="66"/>
      <c r="BJ141" s="66"/>
      <c r="BK141" s="66"/>
      <c r="BL141" s="93"/>
      <c r="BM141" s="93"/>
      <c r="BN141" s="93"/>
      <c r="BO141" s="93"/>
      <c r="BP141" s="93"/>
      <c r="BQ141" s="93"/>
      <c r="BR141" s="93"/>
      <c r="BS141" s="93"/>
      <c r="BT141" s="93"/>
      <c r="BU141" s="93"/>
      <c r="BV141" s="93"/>
      <c r="BW141" s="93"/>
      <c r="BX141" s="93"/>
      <c r="BY141" s="93"/>
      <c r="BZ141" s="93"/>
      <c r="CA141" s="93"/>
      <c r="CB141" s="93"/>
      <c r="CC141" s="93"/>
      <c r="CD141" s="93"/>
      <c r="CE141" s="93"/>
      <c r="CF141" s="93"/>
      <c r="CG141" s="93"/>
      <c r="CH141" s="93"/>
      <c r="CI141" s="93"/>
      <c r="CJ141" s="93"/>
      <c r="CK141" s="93"/>
      <c r="CL141" s="93"/>
      <c r="CM141" s="93"/>
      <c r="CN141" s="93"/>
      <c r="CO141" s="93"/>
      <c r="CP141" s="93"/>
      <c r="CQ141" s="93"/>
      <c r="CR141" s="93"/>
      <c r="CS141" s="93"/>
      <c r="CT141" s="93"/>
      <c r="CU141" s="93"/>
      <c r="CV141" s="93"/>
      <c r="CW141" s="93"/>
      <c r="CX141" s="93"/>
      <c r="CY141" s="93"/>
      <c r="CZ141" s="93"/>
      <c r="DA141" s="93"/>
      <c r="DB141" s="93"/>
      <c r="DC141" s="93"/>
      <c r="DD141" s="93"/>
      <c r="DE141" s="93"/>
      <c r="DF141" s="93"/>
      <c r="DG141" s="93"/>
      <c r="DH141" s="93"/>
      <c r="DI141" s="93"/>
      <c r="DJ141" s="93"/>
      <c r="DK141" s="93"/>
      <c r="DL141" s="93"/>
      <c r="DM141" s="93"/>
      <c r="DN141" s="93"/>
      <c r="DO141" s="93"/>
      <c r="DP141" s="93"/>
      <c r="DQ141" s="93"/>
      <c r="DR141" s="93"/>
      <c r="DS141" s="93"/>
      <c r="DT141" s="93"/>
      <c r="DU141" s="93"/>
      <c r="DV141" s="93"/>
      <c r="DW141" s="93"/>
      <c r="DX141" s="93"/>
      <c r="DY141" s="93"/>
      <c r="DZ141" s="93"/>
      <c r="EA141" s="93"/>
      <c r="EB141" s="93"/>
      <c r="EC141" s="93"/>
      <c r="ED141" s="93"/>
      <c r="EE141" s="93"/>
      <c r="EF141" s="5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6"/>
      <c r="FB141" s="16"/>
      <c r="FC141" s="46"/>
      <c r="FD141" s="46"/>
    </row>
    <row r="142" spans="2:160" s="26" customFormat="1" x14ac:dyDescent="0.2">
      <c r="B142" s="3" t="s">
        <v>604</v>
      </c>
      <c r="C142" s="23"/>
      <c r="D142" s="23"/>
      <c r="E142" s="23"/>
      <c r="F142" s="23"/>
      <c r="G142" s="23"/>
      <c r="H142" s="2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93"/>
      <c r="AX142" s="93"/>
      <c r="AY142" s="93"/>
      <c r="AZ142" s="93"/>
      <c r="BA142" s="93"/>
      <c r="BB142" s="93"/>
      <c r="BC142" s="93"/>
      <c r="BD142" s="93"/>
      <c r="BE142" s="93"/>
      <c r="BF142" s="93"/>
      <c r="BG142" s="93"/>
      <c r="BH142" s="66"/>
      <c r="BI142" s="66"/>
      <c r="BJ142" s="66"/>
      <c r="BK142" s="66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5"/>
      <c r="EG142" s="47"/>
      <c r="EH142" s="47"/>
      <c r="EI142" s="47"/>
      <c r="EJ142" s="47"/>
      <c r="EK142" s="47"/>
      <c r="EL142" s="47"/>
      <c r="EM142" s="47"/>
      <c r="EN142" s="23">
        <f>EN83</f>
        <v>9786</v>
      </c>
      <c r="EO142" s="23">
        <f t="shared" ref="EO142" si="176">EO83</f>
        <v>9919</v>
      </c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6"/>
      <c r="FB142" s="16"/>
      <c r="FC142" s="46"/>
      <c r="FD142" s="46"/>
    </row>
    <row r="143" spans="2:160" x14ac:dyDescent="0.2">
      <c r="B143" s="3" t="s">
        <v>601</v>
      </c>
      <c r="E143" s="44"/>
      <c r="F143" s="44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EN143" s="23">
        <v>12177</v>
      </c>
      <c r="EO143" s="23">
        <v>16877</v>
      </c>
    </row>
    <row r="144" spans="2:160" x14ac:dyDescent="0.2">
      <c r="B144" s="3" t="s">
        <v>602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EN144" s="23">
        <v>3139</v>
      </c>
      <c r="EO144" s="23">
        <v>2984</v>
      </c>
    </row>
    <row r="145" spans="2:159" x14ac:dyDescent="0.2">
      <c r="B145" s="3" t="s">
        <v>603</v>
      </c>
      <c r="E145" s="28"/>
      <c r="F145" s="28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EN145" s="23">
        <f>+EN143-EN144</f>
        <v>9038</v>
      </c>
      <c r="EO145" s="23">
        <f>+EO143-EO144</f>
        <v>13893</v>
      </c>
    </row>
    <row r="146" spans="2:159" x14ac:dyDescent="0.2"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2:159" x14ac:dyDescent="0.2">
      <c r="B147" s="3" t="s">
        <v>809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ER147" s="23">
        <v>82089</v>
      </c>
      <c r="ES147" s="23">
        <v>85080</v>
      </c>
      <c r="ET147" s="23">
        <v>88509</v>
      </c>
      <c r="EU147" s="23">
        <v>91747</v>
      </c>
      <c r="EV147" s="23">
        <v>94052</v>
      </c>
      <c r="EW147" s="23">
        <v>93734</v>
      </c>
      <c r="EX147" s="23">
        <v>94442</v>
      </c>
      <c r="EY147" s="23">
        <v>97735</v>
      </c>
      <c r="EZ147" s="23">
        <v>101465</v>
      </c>
      <c r="FA147" s="23">
        <v>100920</v>
      </c>
    </row>
    <row r="148" spans="2:159" x14ac:dyDescent="0.2"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2:159" x14ac:dyDescent="0.2">
      <c r="B149" s="3" t="s">
        <v>939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FC149" s="23">
        <f>+FC150-FC161</f>
        <v>-18699</v>
      </c>
    </row>
    <row r="150" spans="2:159" x14ac:dyDescent="0.2">
      <c r="B150" s="3" t="s">
        <v>810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f>5376+5134</f>
        <v>10510</v>
      </c>
    </row>
    <row r="151" spans="2:159" x14ac:dyDescent="0.2">
      <c r="B151" s="3" t="s">
        <v>930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v>3822</v>
      </c>
    </row>
    <row r="152" spans="2:159" x14ac:dyDescent="0.2">
      <c r="B152" s="3" t="s">
        <v>931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f>344+6882</f>
        <v>7226</v>
      </c>
    </row>
    <row r="153" spans="2:159" x14ac:dyDescent="0.2">
      <c r="B153" s="3" t="s">
        <v>932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v>11021</v>
      </c>
    </row>
    <row r="154" spans="2:159" x14ac:dyDescent="0.2">
      <c r="B154" s="3" t="s">
        <v>933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FC154" s="23">
        <v>7749</v>
      </c>
    </row>
    <row r="155" spans="2:159" x14ac:dyDescent="0.2">
      <c r="B155" s="3" t="s">
        <v>934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FC155" s="23">
        <v>1964</v>
      </c>
    </row>
    <row r="156" spans="2:159" x14ac:dyDescent="0.2">
      <c r="B156" s="3" t="s">
        <v>935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FC156" s="23">
        <v>1019</v>
      </c>
    </row>
    <row r="157" spans="2:159" x14ac:dyDescent="0.2">
      <c r="B157" s="3" t="s">
        <v>938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FC157" s="23">
        <f>9390+14828+1215</f>
        <v>25433</v>
      </c>
    </row>
    <row r="158" spans="2:159" x14ac:dyDescent="0.2">
      <c r="B158" s="3" t="s">
        <v>937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FC158" s="23">
        <v>21724</v>
      </c>
    </row>
    <row r="159" spans="2:159" x14ac:dyDescent="0.2">
      <c r="B159" s="3" t="s">
        <v>936</v>
      </c>
      <c r="FC159" s="24">
        <f>SUM(FC150:FC158)</f>
        <v>90468</v>
      </c>
    </row>
    <row r="161" spans="2:159" x14ac:dyDescent="0.2">
      <c r="B161" s="3" t="s">
        <v>611</v>
      </c>
      <c r="FC161" s="23">
        <f>4400+24809</f>
        <v>29209</v>
      </c>
    </row>
    <row r="162" spans="2:159" x14ac:dyDescent="0.2">
      <c r="B162" s="3" t="s">
        <v>942</v>
      </c>
      <c r="FC162" s="23">
        <v>12158</v>
      </c>
    </row>
    <row r="163" spans="2:159" x14ac:dyDescent="0.2">
      <c r="B163" s="3" t="s">
        <v>941</v>
      </c>
      <c r="FC163" s="23">
        <v>4325</v>
      </c>
    </row>
    <row r="164" spans="2:159" x14ac:dyDescent="0.2">
      <c r="B164" s="3" t="s">
        <v>940</v>
      </c>
      <c r="FC164" s="23">
        <f>1684+1059</f>
        <v>2743</v>
      </c>
    </row>
    <row r="165" spans="2:159" x14ac:dyDescent="0.2">
      <c r="B165" s="3" t="s">
        <v>931</v>
      </c>
      <c r="FC165" s="23">
        <f>2257+593</f>
        <v>2850</v>
      </c>
    </row>
    <row r="166" spans="2:159" x14ac:dyDescent="0.2">
      <c r="B166" s="3" t="s">
        <v>943</v>
      </c>
      <c r="FC166" s="23">
        <v>1541</v>
      </c>
    </row>
    <row r="167" spans="2:159" x14ac:dyDescent="0.2">
      <c r="B167" s="3" t="s">
        <v>944</v>
      </c>
      <c r="FC167" s="23">
        <v>4379</v>
      </c>
    </row>
    <row r="168" spans="2:159" x14ac:dyDescent="0.2">
      <c r="B168" s="3" t="s">
        <v>946</v>
      </c>
      <c r="FC168" s="23">
        <v>33263</v>
      </c>
    </row>
    <row r="169" spans="2:159" x14ac:dyDescent="0.2">
      <c r="B169" s="3" t="s">
        <v>945</v>
      </c>
      <c r="FC169" s="24">
        <f>SUM(FC161:FC168)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894</v>
      </c>
    </row>
    <row r="3" spans="1:3" x14ac:dyDescent="0.2">
      <c r="B3" s="2" t="s">
        <v>815</v>
      </c>
      <c r="C3" s="2" t="s">
        <v>816</v>
      </c>
    </row>
    <row r="4" spans="1:3" x14ac:dyDescent="0.2">
      <c r="B4" s="2" t="s">
        <v>44</v>
      </c>
      <c r="C4" s="2" t="s">
        <v>817</v>
      </c>
    </row>
    <row r="5" spans="1:3" x14ac:dyDescent="0.2">
      <c r="B5" s="2"/>
      <c r="C5" s="2" t="s">
        <v>833</v>
      </c>
    </row>
    <row r="6" spans="1:3" x14ac:dyDescent="0.2">
      <c r="B6" s="2" t="s">
        <v>818</v>
      </c>
      <c r="C6" s="2" t="s">
        <v>813</v>
      </c>
    </row>
    <row r="7" spans="1:3" x14ac:dyDescent="0.2">
      <c r="B7" s="2" t="s">
        <v>53</v>
      </c>
    </row>
    <row r="8" spans="1:3" x14ac:dyDescent="0.2">
      <c r="C8" s="40" t="s">
        <v>832</v>
      </c>
    </row>
    <row r="9" spans="1:3" x14ac:dyDescent="0.2">
      <c r="C9" s="2" t="s">
        <v>829</v>
      </c>
    </row>
    <row r="10" spans="1:3" x14ac:dyDescent="0.2">
      <c r="C10" s="2" t="s">
        <v>830</v>
      </c>
    </row>
    <row r="11" spans="1:3" x14ac:dyDescent="0.2">
      <c r="C11" s="2" t="s">
        <v>831</v>
      </c>
    </row>
    <row r="13" spans="1:3" x14ac:dyDescent="0.2">
      <c r="C13" s="40" t="s">
        <v>840</v>
      </c>
    </row>
    <row r="14" spans="1:3" x14ac:dyDescent="0.2">
      <c r="C14" s="2" t="s">
        <v>839</v>
      </c>
    </row>
    <row r="15" spans="1:3" x14ac:dyDescent="0.2">
      <c r="C15" s="2" t="s">
        <v>838</v>
      </c>
    </row>
    <row r="16" spans="1:3" x14ac:dyDescent="0.2">
      <c r="C16" s="2" t="s">
        <v>836</v>
      </c>
    </row>
    <row r="17" spans="3:3" x14ac:dyDescent="0.2">
      <c r="C17" s="2" t="s">
        <v>837</v>
      </c>
    </row>
    <row r="18" spans="3:3" x14ac:dyDescent="0.2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ColWidth="8.85546875"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39" t="s">
        <v>55</v>
      </c>
    </row>
    <row r="2" spans="1:5" x14ac:dyDescent="0.2">
      <c r="B2" s="2" t="s">
        <v>408</v>
      </c>
    </row>
    <row r="3" spans="1:5" x14ac:dyDescent="0.2">
      <c r="B3" s="2" t="s">
        <v>504</v>
      </c>
    </row>
    <row r="4" spans="1:5" x14ac:dyDescent="0.2">
      <c r="B4" s="2" t="s">
        <v>407</v>
      </c>
    </row>
    <row r="5" spans="1:5" x14ac:dyDescent="0.2">
      <c r="B5" s="3" t="s">
        <v>401</v>
      </c>
    </row>
    <row r="6" spans="1:5" x14ac:dyDescent="0.2">
      <c r="B6" s="3" t="s">
        <v>402</v>
      </c>
    </row>
    <row r="7" spans="1:5" x14ac:dyDescent="0.2">
      <c r="B7" s="2" t="s">
        <v>410</v>
      </c>
    </row>
    <row r="8" spans="1:5" x14ac:dyDescent="0.2">
      <c r="B8" s="2" t="s">
        <v>409</v>
      </c>
    </row>
    <row r="9" spans="1:5" x14ac:dyDescent="0.2">
      <c r="B9" s="2" t="s">
        <v>457</v>
      </c>
    </row>
    <row r="11" spans="1:5" x14ac:dyDescent="0.2">
      <c r="B11" s="40" t="s">
        <v>459</v>
      </c>
      <c r="C11" s="64" t="s">
        <v>482</v>
      </c>
      <c r="E11" s="40" t="s">
        <v>660</v>
      </c>
    </row>
    <row r="12" spans="1:5" x14ac:dyDescent="0.2">
      <c r="B12" s="2" t="s">
        <v>460</v>
      </c>
      <c r="C12" s="65">
        <f>3363/7365</f>
        <v>0.4566191446028513</v>
      </c>
      <c r="E12" s="2" t="s">
        <v>663</v>
      </c>
    </row>
    <row r="13" spans="1:5" x14ac:dyDescent="0.2">
      <c r="B13" s="2" t="s">
        <v>461</v>
      </c>
      <c r="C13" s="65">
        <f>346/7365</f>
        <v>4.6978954514596064E-2</v>
      </c>
      <c r="E13" s="2" t="s">
        <v>664</v>
      </c>
    </row>
    <row r="14" spans="1:5" x14ac:dyDescent="0.2">
      <c r="B14" s="2" t="s">
        <v>462</v>
      </c>
      <c r="C14" s="65">
        <f>2158/7365</f>
        <v>0.29300746775288528</v>
      </c>
      <c r="E14" s="2" t="s">
        <v>661</v>
      </c>
    </row>
    <row r="15" spans="1:5" x14ac:dyDescent="0.2">
      <c r="B15" s="2" t="s">
        <v>480</v>
      </c>
      <c r="C15" s="65">
        <f>882/7365</f>
        <v>0.11975560081466395</v>
      </c>
      <c r="E15" s="2" t="s">
        <v>662</v>
      </c>
    </row>
    <row r="16" spans="1:5" x14ac:dyDescent="0.2">
      <c r="B16" s="2" t="s">
        <v>481</v>
      </c>
      <c r="C16" s="65">
        <f>616/7365</f>
        <v>8.3638832315003395E-2</v>
      </c>
      <c r="E16" s="2" t="s">
        <v>665</v>
      </c>
    </row>
    <row r="17" spans="2:5" x14ac:dyDescent="0.2">
      <c r="E17" s="2"/>
    </row>
    <row r="19" spans="2:5" x14ac:dyDescent="0.2">
      <c r="B19" s="40" t="s">
        <v>843</v>
      </c>
    </row>
    <row r="20" spans="2:5" x14ac:dyDescent="0.2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ColWidth="9.140625" defaultRowHeight="12.75" x14ac:dyDescent="0.2"/>
  <cols>
    <col min="1" max="1" width="5" style="5" bestFit="1" customWidth="1"/>
    <col min="2" max="2" width="13.140625" style="5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305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286</v>
      </c>
    </row>
    <row r="8" spans="1:3" x14ac:dyDescent="0.2">
      <c r="B8" s="5" t="s">
        <v>913</v>
      </c>
      <c r="C8" s="5" t="s">
        <v>914</v>
      </c>
    </row>
    <row r="9" spans="1:3" x14ac:dyDescent="0.2">
      <c r="B9" s="5" t="s">
        <v>915</v>
      </c>
      <c r="C9" s="5" t="s">
        <v>916</v>
      </c>
    </row>
    <row r="10" spans="1:3" x14ac:dyDescent="0.2">
      <c r="B10" s="5" t="s">
        <v>912</v>
      </c>
      <c r="C10" s="5" t="s">
        <v>918</v>
      </c>
    </row>
    <row r="11" spans="1:3" x14ac:dyDescent="0.2">
      <c r="B11" s="15" t="s">
        <v>9</v>
      </c>
      <c r="C11" s="3" t="s">
        <v>917</v>
      </c>
    </row>
    <row r="12" spans="1:3" x14ac:dyDescent="0.2">
      <c r="B12" s="3" t="s">
        <v>75</v>
      </c>
      <c r="C12" s="3" t="s">
        <v>485</v>
      </c>
    </row>
    <row r="13" spans="1:3" x14ac:dyDescent="0.2">
      <c r="B13" s="5" t="s">
        <v>53</v>
      </c>
    </row>
    <row r="14" spans="1:3" x14ac:dyDescent="0.2">
      <c r="C14" s="16" t="s">
        <v>167</v>
      </c>
    </row>
    <row r="15" spans="1:3" x14ac:dyDescent="0.2">
      <c r="C15" s="5" t="s">
        <v>170</v>
      </c>
    </row>
    <row r="17" spans="3:3" x14ac:dyDescent="0.2">
      <c r="C17" s="16" t="s">
        <v>292</v>
      </c>
    </row>
    <row r="18" spans="3:3" x14ac:dyDescent="0.2">
      <c r="C18" s="5" t="s">
        <v>171</v>
      </c>
    </row>
    <row r="20" spans="3:3" x14ac:dyDescent="0.2">
      <c r="C20" s="16" t="s">
        <v>218</v>
      </c>
    </row>
    <row r="21" spans="3:3" x14ac:dyDescent="0.2">
      <c r="C21" s="5" t="s">
        <v>219</v>
      </c>
    </row>
    <row r="23" spans="3:3" x14ac:dyDescent="0.2">
      <c r="C23" s="16" t="s">
        <v>220</v>
      </c>
    </row>
    <row r="25" spans="3:3" x14ac:dyDescent="0.2">
      <c r="C25" s="16" t="s">
        <v>403</v>
      </c>
    </row>
    <row r="26" spans="3:3" x14ac:dyDescent="0.2">
      <c r="C26" s="3" t="s">
        <v>396</v>
      </c>
    </row>
    <row r="27" spans="3:3" x14ac:dyDescent="0.2">
      <c r="C27" s="3"/>
    </row>
    <row r="28" spans="3:3" x14ac:dyDescent="0.2">
      <c r="C28" s="16" t="s">
        <v>516</v>
      </c>
    </row>
    <row r="29" spans="3:3" x14ac:dyDescent="0.2">
      <c r="C29" s="3" t="s">
        <v>517</v>
      </c>
    </row>
    <row r="30" spans="3:3" x14ac:dyDescent="0.2">
      <c r="C30" s="3"/>
    </row>
    <row r="31" spans="3:3" x14ac:dyDescent="0.2">
      <c r="C31" s="16" t="s">
        <v>518</v>
      </c>
    </row>
    <row r="32" spans="3:3" x14ac:dyDescent="0.2">
      <c r="C32" s="3" t="s">
        <v>519</v>
      </c>
    </row>
    <row r="33" spans="3:29" x14ac:dyDescent="0.2">
      <c r="C33" s="3"/>
    </row>
    <row r="34" spans="3:29" x14ac:dyDescent="0.2">
      <c r="C34" s="16" t="s">
        <v>513</v>
      </c>
    </row>
    <row r="35" spans="3:29" x14ac:dyDescent="0.2">
      <c r="C35" s="3" t="s">
        <v>520</v>
      </c>
    </row>
    <row r="36" spans="3:29" x14ac:dyDescent="0.2">
      <c r="C36" s="3"/>
    </row>
    <row r="37" spans="3:29" x14ac:dyDescent="0.2">
      <c r="C37" s="16" t="s">
        <v>680</v>
      </c>
    </row>
    <row r="38" spans="3:29" x14ac:dyDescent="0.2">
      <c r="C38" s="3" t="s">
        <v>681</v>
      </c>
    </row>
    <row r="39" spans="3:29" x14ac:dyDescent="0.2">
      <c r="C39" s="3"/>
    </row>
    <row r="40" spans="3:29" x14ac:dyDescent="0.2">
      <c r="C40" s="16" t="s">
        <v>682</v>
      </c>
    </row>
    <row r="41" spans="3:29" x14ac:dyDescent="0.2">
      <c r="C41" s="3" t="s">
        <v>683</v>
      </c>
    </row>
    <row r="43" spans="3:29" x14ac:dyDescent="0.2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x14ac:dyDescent="0.2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">
      <c r="B50" s="3" t="s">
        <v>397</v>
      </c>
    </row>
    <row r="51" spans="2:4" x14ac:dyDescent="0.2">
      <c r="C51" s="55">
        <v>39387</v>
      </c>
      <c r="D51" s="5">
        <v>197</v>
      </c>
    </row>
    <row r="52" spans="2:4" x14ac:dyDescent="0.2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0F0E-07B1-F341-AD79-56F9F4F62487}">
  <dimension ref="A1:C4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794</v>
      </c>
    </row>
    <row r="3" spans="1:3" x14ac:dyDescent="0.2">
      <c r="B3" s="2" t="s">
        <v>815</v>
      </c>
    </row>
    <row r="4" spans="1:3" x14ac:dyDescent="0.2">
      <c r="B4" s="2" t="s">
        <v>44</v>
      </c>
      <c r="C4" s="2" t="s">
        <v>821</v>
      </c>
    </row>
  </sheetData>
  <hyperlinks>
    <hyperlink ref="A1" location="Main!A1" display="Main" xr:uid="{E1D96BB9-C922-CC4B-B74F-B678E7F4A88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Hemlibra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2024-11-22T14:21:21Z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