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04DE79B-AC61-4CC9-8428-80FDCD7E0B00}" xr6:coauthVersionLast="47" xr6:coauthVersionMax="47" xr10:uidLastSave="{00000000-0000-0000-0000-000000000000}"/>
  <bookViews>
    <workbookView xWindow="-18465" yWindow="930" windowWidth="18210" windowHeight="17910" activeTab="1" xr2:uid="{32DCA01F-B437-43C4-8293-E13203F995C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0" i="2" l="1"/>
  <c r="O30" i="2"/>
  <c r="N30" i="2"/>
  <c r="M30" i="2"/>
  <c r="L30" i="2"/>
  <c r="K30" i="2"/>
  <c r="L24" i="2"/>
  <c r="L22" i="2"/>
  <c r="L21" i="2"/>
  <c r="L20" i="2"/>
  <c r="L16" i="2"/>
  <c r="Q30" i="2"/>
  <c r="M26" i="2"/>
  <c r="M24" i="2"/>
  <c r="M25" i="2" s="1"/>
  <c r="M23" i="2"/>
  <c r="M22" i="2"/>
  <c r="M20" i="2"/>
  <c r="M21" i="2" s="1"/>
  <c r="M16" i="2"/>
  <c r="Q24" i="2"/>
  <c r="Q25" i="2"/>
  <c r="Q26" i="2" s="1"/>
  <c r="Q23" i="2"/>
  <c r="Q22" i="2"/>
  <c r="Q16" i="2"/>
  <c r="R30" i="2"/>
  <c r="N24" i="2"/>
  <c r="N15" i="2"/>
  <c r="N16" i="2" s="1"/>
  <c r="N20" i="2"/>
  <c r="R24" i="2"/>
  <c r="R23" i="2"/>
  <c r="R22" i="2"/>
  <c r="R16" i="2"/>
  <c r="R15" i="2"/>
  <c r="N14" i="2"/>
  <c r="M14" i="2"/>
  <c r="L14" i="2"/>
  <c r="S30" i="2"/>
  <c r="T30" i="2"/>
  <c r="O24" i="2"/>
  <c r="O22" i="2"/>
  <c r="O20" i="2"/>
  <c r="O21" i="2" s="1"/>
  <c r="O16" i="2"/>
  <c r="O15" i="2"/>
  <c r="S24" i="2"/>
  <c r="S23" i="2"/>
  <c r="S22" i="2"/>
  <c r="S15" i="2"/>
  <c r="T50" i="2"/>
  <c r="T46" i="2"/>
  <c r="T47" i="2"/>
  <c r="T45" i="2"/>
  <c r="T44" i="2"/>
  <c r="T43" i="2"/>
  <c r="T42" i="2"/>
  <c r="T34" i="2"/>
  <c r="T35" i="2"/>
  <c r="T32" i="2"/>
  <c r="T36" i="2"/>
  <c r="P24" i="2"/>
  <c r="P15" i="2"/>
  <c r="T24" i="2"/>
  <c r="T20" i="2"/>
  <c r="S20" i="2"/>
  <c r="R20" i="2"/>
  <c r="Q20" i="2"/>
  <c r="Q21" i="2" s="1"/>
  <c r="P20" i="2"/>
  <c r="T15" i="2"/>
  <c r="T14" i="2"/>
  <c r="S14" i="2"/>
  <c r="S16" i="2" s="1"/>
  <c r="R14" i="2"/>
  <c r="Q14" i="2"/>
  <c r="P14" i="2"/>
  <c r="O14" i="2"/>
  <c r="L4" i="1"/>
  <c r="L7" i="1" s="1"/>
  <c r="F20" i="2"/>
  <c r="F15" i="2"/>
  <c r="F14" i="2"/>
  <c r="J15" i="2"/>
  <c r="J14" i="2"/>
  <c r="K20" i="2"/>
  <c r="J20" i="2"/>
  <c r="I20" i="2"/>
  <c r="H20" i="2"/>
  <c r="G20" i="2"/>
  <c r="I16" i="2"/>
  <c r="I21" i="2" s="1"/>
  <c r="I23" i="2" s="1"/>
  <c r="I25" i="2" s="1"/>
  <c r="H16" i="2"/>
  <c r="G14" i="2"/>
  <c r="G16" i="2" s="1"/>
  <c r="K14" i="2"/>
  <c r="K16" i="2" s="1"/>
  <c r="L23" i="2" l="1"/>
  <c r="L25" i="2" s="1"/>
  <c r="L26" i="2" s="1"/>
  <c r="N21" i="2"/>
  <c r="N23" i="2" s="1"/>
  <c r="N25" i="2" s="1"/>
  <c r="N26" i="2" s="1"/>
  <c r="R25" i="2"/>
  <c r="R26" i="2" s="1"/>
  <c r="R21" i="2"/>
  <c r="O23" i="2"/>
  <c r="O25" i="2" s="1"/>
  <c r="O26" i="2" s="1"/>
  <c r="S25" i="2"/>
  <c r="S26" i="2" s="1"/>
  <c r="S21" i="2"/>
  <c r="H21" i="2"/>
  <c r="H23" i="2" s="1"/>
  <c r="H25" i="2" s="1"/>
  <c r="T16" i="2"/>
  <c r="T21" i="2" s="1"/>
  <c r="T23" i="2" s="1"/>
  <c r="T25" i="2" s="1"/>
  <c r="T26" i="2" s="1"/>
  <c r="G21" i="2"/>
  <c r="G23" i="2" s="1"/>
  <c r="G25" i="2" s="1"/>
  <c r="G26" i="2" s="1"/>
  <c r="T40" i="2"/>
  <c r="J30" i="2"/>
  <c r="P16" i="2"/>
  <c r="P21" i="2" s="1"/>
  <c r="P23" i="2" s="1"/>
  <c r="P25" i="2" s="1"/>
  <c r="P26" i="2" s="1"/>
  <c r="K21" i="2"/>
  <c r="K23" i="2" s="1"/>
  <c r="K25" i="2" s="1"/>
  <c r="K26" i="2" s="1"/>
  <c r="F16" i="2"/>
  <c r="F21" i="2" s="1"/>
  <c r="F23" i="2" s="1"/>
  <c r="F25" i="2" s="1"/>
  <c r="F26" i="2" s="1"/>
  <c r="J16" i="2"/>
  <c r="J21" i="2" s="1"/>
  <c r="J23" i="2" s="1"/>
  <c r="J25" i="2" s="1"/>
  <c r="J26" i="2" s="1"/>
</calcChain>
</file>

<file path=xl/sharedStrings.xml><?xml version="1.0" encoding="utf-8"?>
<sst xmlns="http://schemas.openxmlformats.org/spreadsheetml/2006/main" count="74" uniqueCount="65">
  <si>
    <t>Price</t>
  </si>
  <si>
    <t>Shares</t>
  </si>
  <si>
    <t>MC</t>
  </si>
  <si>
    <t>Cash</t>
  </si>
  <si>
    <t>Debt</t>
  </si>
  <si>
    <t>EV</t>
  </si>
  <si>
    <t>Main</t>
  </si>
  <si>
    <t>Revenue</t>
  </si>
  <si>
    <t>Cloud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</si>
  <si>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</si>
  <si>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</si>
  <si>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</si>
  <si>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</si>
  <si>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</si>
  <si>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</si>
  <si>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</si>
  <si>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</si>
  <si>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</si>
  <si>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</si>
  <si>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</si>
  <si>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</si>
  <si>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SAP S/4HANA</t>
  </si>
  <si>
    <t>Licenses</t>
  </si>
  <si>
    <t>Support</t>
  </si>
  <si>
    <t>Licenses+Support</t>
  </si>
  <si>
    <t>Services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</si>
  <si>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</si>
  <si>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</si>
  <si>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</si>
  <si>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</si>
  <si>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</si>
  <si>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</si>
  <si>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</si>
  <si>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Revenue Growth</t>
  </si>
  <si>
    <t>Interest Expense</t>
  </si>
  <si>
    <t>Pretax Income</t>
  </si>
  <si>
    <t>Net Income</t>
  </si>
  <si>
    <t>EPS</t>
  </si>
  <si>
    <t>Taxes</t>
  </si>
  <si>
    <t>Headcount</t>
  </si>
  <si>
    <t>Q123</t>
  </si>
  <si>
    <t>Q223</t>
  </si>
  <si>
    <t>Q323</t>
  </si>
  <si>
    <t>Q423</t>
  </si>
  <si>
    <t>Q124</t>
  </si>
  <si>
    <t>Q224</t>
  </si>
  <si>
    <t>Q324</t>
  </si>
  <si>
    <t>Q424</t>
  </si>
  <si>
    <t>IaaS</t>
  </si>
  <si>
    <t>Euro in millions</t>
  </si>
  <si>
    <t>AR</t>
  </si>
  <si>
    <t>Other</t>
  </si>
  <si>
    <t>Goodwill</t>
  </si>
  <si>
    <t>PP&amp;E</t>
  </si>
  <si>
    <t>Other Receivables</t>
  </si>
  <si>
    <t>DTA</t>
  </si>
  <si>
    <t>Assets</t>
  </si>
  <si>
    <t>AP</t>
  </si>
  <si>
    <t>Provisions</t>
  </si>
  <si>
    <t>DR</t>
  </si>
  <si>
    <t>DTL</t>
  </si>
  <si>
    <t>SE</t>
  </si>
  <si>
    <t>L+SE</t>
  </si>
  <si>
    <t>Cloud ERP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</si>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</sst>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9D73275-2095-4D3C-A0AA-406F49E3CE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52388</xdr:colOff>
      <xdr:row>0</xdr:row>
      <xdr:rowOff>0</xdr:rowOff>
    </xdr:from>
    <xdr:to>
      <xdr:col>20</xdr:col>
      <xdr:colOff>52388</xdr:colOff>
      <xdr:row>68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779288F-FCB2-57EA-C8B9-D2FFAF5DD000}"/>
            </a:ext>
          </a:extLst>
        </xdr:cNvPr>
        <xdr:cNvCxnSpPr/>
      </xdr:nvCxnSpPr>
      <xdr:spPr>
        <a:xfrm>
          <a:off x="12565857" y="0"/>
          <a:ext cx="0" cy="11006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ACA0-F2A2-47B8-8EFC-1E2513D7ED69}">
  <dimension ref="K2:M7"/>
  <sheetViews>
    <sheetView zoomScale="160" zoomScaleNormal="160" workbookViewId="0"/>
  </sheetViews>
  <sheetFormatPr defaultRowHeight="12.75" x14ac:dyDescent="0.2"/>
  <sheetData>
    <row r="2" spans="11:13" x14ac:dyDescent="0.2">
      <c r="K2" t="s">
        <v>0</v>
      </c>
      <c r="L2" s="1">
        <v>202</v>
      </c>
    </row>
    <row r="3" spans="11:13" x14ac:dyDescent="0.2">
      <c r="K3" t="s">
        <v>1</v>
      </c>
      <c r="L3" s="4">
        <v>1178</v>
      </c>
      <c r="M3" s="2" t="s">
        <v>45</v>
      </c>
    </row>
    <row r="4" spans="11:13" x14ac:dyDescent="0.2">
      <c r="K4" t="s">
        <v>2</v>
      </c>
      <c r="L4" s="4">
        <f>L2*L3</f>
        <v>237956</v>
      </c>
    </row>
    <row r="5" spans="11:13" x14ac:dyDescent="0.2">
      <c r="K5" t="s">
        <v>3</v>
      </c>
      <c r="L5" s="4">
        <v>17787</v>
      </c>
      <c r="M5" s="2" t="s">
        <v>45</v>
      </c>
    </row>
    <row r="6" spans="11:13" x14ac:dyDescent="0.2">
      <c r="K6" t="s">
        <v>4</v>
      </c>
      <c r="L6" s="4">
        <v>9592</v>
      </c>
      <c r="M6" s="2" t="s">
        <v>45</v>
      </c>
    </row>
    <row r="7" spans="11:13" x14ac:dyDescent="0.2">
      <c r="K7" t="s">
        <v>5</v>
      </c>
      <c r="L7" s="4">
        <f>L4-L5+L6</f>
        <v>229761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C550-93EA-49F8-8D50-E0A2F444052A}">
  <dimension ref="A1:V52"/>
  <sheetViews>
    <sheetView tabSelected="1" zoomScale="115" zoomScaleNormal="11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J30" sqref="J30"/>
    </sheetView>
  </sheetViews>
  <sheetFormatPr defaultRowHeight="12.75" x14ac:dyDescent="0.2"/>
  <cols>
    <col min="1" max="1" width="5" bestFit="1" customWidth="1"/>
    <col min="2" max="2" width="17.85546875" customWidth="1"/>
    <col min="3" max="4" width="9.5703125" style="2" customWidth="1"/>
    <col min="5" max="14" width="9.140625" style="2"/>
  </cols>
  <sheetData>
    <row r="1" spans="1:22" x14ac:dyDescent="0.2">
      <c r="A1" s="3" t="s">
        <v>6</v>
      </c>
    </row>
    <row r="2" spans="1:22" x14ac:dyDescent="0.2">
      <c r="B2" t="s">
        <v>49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40</v>
      </c>
      <c r="P2" s="2" t="s">
        <v>41</v>
      </c>
      <c r="Q2" s="2" t="s">
        <v>42</v>
      </c>
      <c r="R2" s="2" t="s">
        <v>43</v>
      </c>
      <c r="S2" s="2" t="s">
        <v>44</v>
      </c>
      <c r="T2" s="2" t="s">
        <v>45</v>
      </c>
      <c r="U2" s="2" t="s">
        <v>46</v>
      </c>
      <c r="V2" s="2" t="s">
        <v>47</v>
      </c>
    </row>
    <row r="3" spans="1:22" x14ac:dyDescent="0.2">
      <c r="B3" t="s">
        <v>63</v>
      </c>
      <c r="O3" s="5">
        <v>2422</v>
      </c>
      <c r="P3" s="2"/>
      <c r="Q3" s="2"/>
      <c r="R3" s="2"/>
      <c r="S3" s="5">
        <v>3167</v>
      </c>
      <c r="T3" s="5">
        <v>3414</v>
      </c>
      <c r="U3" s="2"/>
      <c r="V3" s="2"/>
    </row>
    <row r="4" spans="1:22" x14ac:dyDescent="0.2">
      <c r="B4" t="s">
        <v>64</v>
      </c>
      <c r="O4" s="5">
        <v>558</v>
      </c>
      <c r="P4" s="2"/>
      <c r="Q4" s="2"/>
      <c r="R4" s="2"/>
      <c r="S4" s="5">
        <v>597</v>
      </c>
      <c r="T4" s="5">
        <v>604</v>
      </c>
      <c r="U4" s="2"/>
      <c r="V4" s="2"/>
    </row>
    <row r="5" spans="1:22" x14ac:dyDescent="0.2">
      <c r="B5" t="s">
        <v>48</v>
      </c>
      <c r="O5" s="5">
        <v>197</v>
      </c>
      <c r="P5" s="2"/>
      <c r="Q5" s="2"/>
      <c r="R5" s="2"/>
      <c r="S5" s="5">
        <v>164</v>
      </c>
      <c r="T5" s="5">
        <v>135</v>
      </c>
      <c r="U5" s="2"/>
      <c r="V5" s="2"/>
    </row>
    <row r="6" spans="1:22" x14ac:dyDescent="0.2">
      <c r="O6" s="2"/>
      <c r="P6" s="2"/>
      <c r="Q6" s="2"/>
      <c r="R6" s="2"/>
      <c r="S6" s="5"/>
      <c r="T6" s="5"/>
      <c r="U6" s="2"/>
      <c r="V6" s="2"/>
    </row>
    <row r="7" spans="1:22" s="4" customFormat="1" x14ac:dyDescent="0.2">
      <c r="B7" s="4" t="s">
        <v>21</v>
      </c>
      <c r="C7" s="5"/>
      <c r="D7" s="5"/>
      <c r="E7" s="5"/>
      <c r="F7" s="5"/>
      <c r="G7" s="5">
        <v>227</v>
      </c>
      <c r="H7" s="5">
        <v>257</v>
      </c>
      <c r="I7" s="5">
        <v>276</v>
      </c>
      <c r="J7" s="5">
        <v>329</v>
      </c>
      <c r="K7" s="5">
        <v>404</v>
      </c>
      <c r="L7" s="5">
        <v>473</v>
      </c>
      <c r="M7" s="5">
        <v>548</v>
      </c>
      <c r="N7" s="5">
        <v>662</v>
      </c>
      <c r="O7" s="4">
        <v>719</v>
      </c>
      <c r="P7" s="4">
        <v>828</v>
      </c>
      <c r="Q7" s="4">
        <v>920</v>
      </c>
      <c r="R7" s="4">
        <v>1028</v>
      </c>
    </row>
    <row r="8" spans="1:22" s="4" customFormat="1" x14ac:dyDescent="0.2">
      <c r="B8" s="4" t="s">
        <v>24</v>
      </c>
      <c r="C8" s="5"/>
      <c r="D8" s="5"/>
      <c r="E8" s="5"/>
      <c r="F8" s="5"/>
      <c r="G8" s="5">
        <v>3283</v>
      </c>
      <c r="H8" s="5">
        <v>3474</v>
      </c>
      <c r="I8" s="5">
        <v>3524</v>
      </c>
      <c r="J8" s="5">
        <v>4379</v>
      </c>
      <c r="K8" s="5">
        <v>3240</v>
      </c>
      <c r="L8" s="5"/>
      <c r="M8" s="5"/>
      <c r="N8" s="5"/>
    </row>
    <row r="9" spans="1:22" s="4" customFormat="1" x14ac:dyDescent="0.2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22" s="4" customFormat="1" x14ac:dyDescent="0.2">
      <c r="B10" s="4" t="s">
        <v>8</v>
      </c>
      <c r="C10" s="5">
        <v>2011</v>
      </c>
      <c r="D10" s="5">
        <v>2044</v>
      </c>
      <c r="E10" s="5">
        <v>1984</v>
      </c>
      <c r="F10" s="5">
        <v>2041</v>
      </c>
      <c r="G10" s="5">
        <v>2145</v>
      </c>
      <c r="H10" s="5">
        <v>2276</v>
      </c>
      <c r="I10" s="5">
        <v>2386</v>
      </c>
      <c r="J10" s="5">
        <v>2611.4</v>
      </c>
      <c r="K10" s="5">
        <v>2820</v>
      </c>
      <c r="L10" s="5">
        <v>2796</v>
      </c>
      <c r="M10" s="5">
        <v>2986</v>
      </c>
      <c r="N10" s="5">
        <v>3078</v>
      </c>
      <c r="O10" s="4">
        <v>3178</v>
      </c>
      <c r="P10" s="4">
        <v>3316</v>
      </c>
      <c r="Q10" s="4">
        <v>3472</v>
      </c>
      <c r="R10" s="4">
        <v>3699</v>
      </c>
      <c r="S10" s="4">
        <v>3928</v>
      </c>
      <c r="T10" s="4">
        <v>4153</v>
      </c>
    </row>
    <row r="11" spans="1:22" s="4" customFormat="1" x14ac:dyDescent="0.2">
      <c r="B11" s="4" t="s">
        <v>22</v>
      </c>
      <c r="C11" s="5"/>
      <c r="D11" s="5"/>
      <c r="E11" s="5"/>
      <c r="F11" s="5">
        <v>1703</v>
      </c>
      <c r="G11" s="5">
        <v>483</v>
      </c>
      <c r="H11" s="5">
        <v>650</v>
      </c>
      <c r="I11" s="5">
        <v>657</v>
      </c>
      <c r="J11" s="5">
        <v>1458</v>
      </c>
      <c r="K11" s="5">
        <v>317</v>
      </c>
      <c r="L11" s="5">
        <v>426</v>
      </c>
      <c r="M11" s="5">
        <v>406</v>
      </c>
      <c r="N11" s="5">
        <v>907</v>
      </c>
      <c r="O11" s="4">
        <v>276</v>
      </c>
      <c r="P11" s="4">
        <v>316</v>
      </c>
      <c r="Q11" s="4">
        <v>335</v>
      </c>
      <c r="R11" s="4">
        <v>841</v>
      </c>
      <c r="S11" s="4">
        <v>203</v>
      </c>
      <c r="T11" s="4">
        <v>229</v>
      </c>
    </row>
    <row r="12" spans="1:22" s="4" customFormat="1" x14ac:dyDescent="0.2">
      <c r="B12" s="4" t="s">
        <v>23</v>
      </c>
      <c r="C12" s="5"/>
      <c r="D12" s="5"/>
      <c r="E12" s="5"/>
      <c r="F12" s="5">
        <v>2835</v>
      </c>
      <c r="G12" s="5">
        <v>2801</v>
      </c>
      <c r="H12" s="5">
        <v>2823</v>
      </c>
      <c r="I12" s="5">
        <v>2867</v>
      </c>
      <c r="J12" s="5">
        <v>2920.4</v>
      </c>
      <c r="K12" s="5">
        <v>2923</v>
      </c>
      <c r="L12" s="5">
        <v>2977</v>
      </c>
      <c r="M12" s="5">
        <v>3016</v>
      </c>
      <c r="N12" s="5">
        <v>2993</v>
      </c>
      <c r="O12" s="4">
        <v>2905</v>
      </c>
      <c r="P12" s="4">
        <v>2873</v>
      </c>
      <c r="Q12" s="4">
        <v>2872</v>
      </c>
      <c r="R12" s="4">
        <v>2846</v>
      </c>
      <c r="S12" s="4">
        <v>2829</v>
      </c>
      <c r="T12" s="4">
        <v>2792</v>
      </c>
    </row>
    <row r="13" spans="1:22" s="4" customFormat="1" x14ac:dyDescent="0.2">
      <c r="B13" s="4" t="s">
        <v>25</v>
      </c>
      <c r="C13" s="5"/>
      <c r="D13" s="5"/>
      <c r="E13" s="5"/>
      <c r="F13" s="5">
        <v>960</v>
      </c>
      <c r="G13" s="5">
        <v>919</v>
      </c>
      <c r="H13" s="5"/>
      <c r="I13" s="5"/>
      <c r="J13" s="5">
        <v>991</v>
      </c>
      <c r="K13" s="5">
        <v>1017</v>
      </c>
      <c r="L13" s="5">
        <v>1007</v>
      </c>
      <c r="M13" s="5">
        <v>1069</v>
      </c>
      <c r="N13" s="5">
        <v>1085</v>
      </c>
      <c r="O13" s="4">
        <v>1083</v>
      </c>
      <c r="P13" s="4">
        <v>1049</v>
      </c>
      <c r="Q13" s="4">
        <v>1065</v>
      </c>
      <c r="R13" s="4">
        <v>1081</v>
      </c>
      <c r="S13" s="4">
        <v>1081</v>
      </c>
      <c r="T13" s="4">
        <v>1114</v>
      </c>
    </row>
    <row r="14" spans="1:22" s="7" customFormat="1" x14ac:dyDescent="0.2">
      <c r="B14" s="7" t="s">
        <v>7</v>
      </c>
      <c r="C14" s="8"/>
      <c r="D14" s="8"/>
      <c r="E14" s="8"/>
      <c r="F14" s="8">
        <f>SUM(F10:F13)</f>
        <v>7539</v>
      </c>
      <c r="G14" s="8">
        <f>SUM(G10:G13)</f>
        <v>6348</v>
      </c>
      <c r="H14" s="8">
        <v>6669</v>
      </c>
      <c r="I14" s="8">
        <v>6845</v>
      </c>
      <c r="J14" s="8">
        <f>SUM(J10:J13)</f>
        <v>7980.8</v>
      </c>
      <c r="K14" s="8">
        <f>SUM(K10:K13)</f>
        <v>7077</v>
      </c>
      <c r="L14" s="8">
        <f t="shared" ref="L14:N14" si="0">SUM(L10:L13)</f>
        <v>7206</v>
      </c>
      <c r="M14" s="8">
        <f t="shared" si="0"/>
        <v>7477</v>
      </c>
      <c r="N14" s="8">
        <f t="shared" si="0"/>
        <v>8063</v>
      </c>
      <c r="O14" s="8">
        <f>SUM(O10:O13)</f>
        <v>7442</v>
      </c>
      <c r="P14" s="8">
        <f t="shared" ref="P14:T14" si="1">SUM(P10:P13)</f>
        <v>7554</v>
      </c>
      <c r="Q14" s="8">
        <f t="shared" si="1"/>
        <v>7744</v>
      </c>
      <c r="R14" s="8">
        <f t="shared" si="1"/>
        <v>8467</v>
      </c>
      <c r="S14" s="8">
        <f t="shared" si="1"/>
        <v>8041</v>
      </c>
      <c r="T14" s="8">
        <f t="shared" si="1"/>
        <v>8288</v>
      </c>
    </row>
    <row r="15" spans="1:22" s="4" customFormat="1" x14ac:dyDescent="0.2">
      <c r="B15" s="4" t="s">
        <v>26</v>
      </c>
      <c r="C15" s="5"/>
      <c r="D15" s="5"/>
      <c r="E15" s="5"/>
      <c r="F15" s="5">
        <f>662+537+703</f>
        <v>1902</v>
      </c>
      <c r="G15" s="5">
        <v>1884</v>
      </c>
      <c r="H15" s="5"/>
      <c r="I15" s="5"/>
      <c r="J15" s="5">
        <f>873+531.2+753.2</f>
        <v>2157.4</v>
      </c>
      <c r="K15" s="5">
        <v>2099</v>
      </c>
      <c r="L15" s="5">
        <v>1967</v>
      </c>
      <c r="M15" s="5">
        <v>2037</v>
      </c>
      <c r="N15" s="4">
        <f>1305+844</f>
        <v>2149</v>
      </c>
      <c r="O15" s="4">
        <f>1301+855</f>
        <v>2156</v>
      </c>
      <c r="P15" s="4">
        <f>1282+863</f>
        <v>2145</v>
      </c>
      <c r="Q15" s="4">
        <v>2108</v>
      </c>
      <c r="R15" s="4">
        <f>1423+848</f>
        <v>2271</v>
      </c>
      <c r="S15" s="4">
        <f>1417+862</f>
        <v>2279</v>
      </c>
      <c r="T15" s="4">
        <f>1434+837</f>
        <v>2271</v>
      </c>
    </row>
    <row r="16" spans="1:22" s="4" customFormat="1" x14ac:dyDescent="0.2">
      <c r="B16" s="4" t="s">
        <v>27</v>
      </c>
      <c r="C16" s="5"/>
      <c r="D16" s="5"/>
      <c r="E16" s="5"/>
      <c r="F16" s="5">
        <f>F14-F15</f>
        <v>5637</v>
      </c>
      <c r="G16" s="5">
        <f>G14-G15</f>
        <v>4464</v>
      </c>
      <c r="H16" s="5">
        <f t="shared" ref="H16:K16" si="2">H14-H15</f>
        <v>6669</v>
      </c>
      <c r="I16" s="5">
        <f t="shared" si="2"/>
        <v>6845</v>
      </c>
      <c r="J16" s="5">
        <f t="shared" si="2"/>
        <v>5823.4</v>
      </c>
      <c r="K16" s="5">
        <f t="shared" si="2"/>
        <v>4978</v>
      </c>
      <c r="L16" s="5">
        <f>+L14-L15</f>
        <v>5239</v>
      </c>
      <c r="M16" s="5">
        <f>+M14-M15</f>
        <v>5440</v>
      </c>
      <c r="N16" s="4">
        <f t="shared" ref="N16" si="3">+N14-N15</f>
        <v>5914</v>
      </c>
      <c r="O16" s="4">
        <f>+O14-O15</f>
        <v>5286</v>
      </c>
      <c r="P16" s="4">
        <f>+P14-P15</f>
        <v>5409</v>
      </c>
      <c r="Q16" s="4">
        <f>+Q14-Q15</f>
        <v>5636</v>
      </c>
      <c r="R16" s="4">
        <f>+R14-R15</f>
        <v>6196</v>
      </c>
      <c r="S16" s="4">
        <f>+S14-S15</f>
        <v>5762</v>
      </c>
      <c r="T16" s="4">
        <f>+T14-T15</f>
        <v>6017</v>
      </c>
    </row>
    <row r="17" spans="2:20" s="4" customFormat="1" x14ac:dyDescent="0.2">
      <c r="B17" s="4" t="s">
        <v>28</v>
      </c>
      <c r="C17" s="5"/>
      <c r="D17" s="5"/>
      <c r="E17" s="5"/>
      <c r="F17" s="5">
        <v>1132</v>
      </c>
      <c r="G17" s="5">
        <v>1171</v>
      </c>
      <c r="H17" s="5"/>
      <c r="I17" s="5"/>
      <c r="J17" s="5">
        <v>1412</v>
      </c>
      <c r="K17" s="5">
        <v>1425</v>
      </c>
      <c r="L17" s="5">
        <v>1514</v>
      </c>
      <c r="M17" s="5">
        <v>1571</v>
      </c>
      <c r="N17" s="4">
        <v>1598</v>
      </c>
      <c r="O17" s="4">
        <v>1573</v>
      </c>
      <c r="P17" s="4">
        <v>1565</v>
      </c>
      <c r="Q17" s="4">
        <v>1515</v>
      </c>
      <c r="R17" s="4">
        <v>1669</v>
      </c>
      <c r="S17" s="4">
        <v>1665</v>
      </c>
      <c r="T17" s="4">
        <v>1605</v>
      </c>
    </row>
    <row r="18" spans="2:20" s="4" customFormat="1" x14ac:dyDescent="0.2">
      <c r="B18" s="4" t="s">
        <v>29</v>
      </c>
      <c r="C18" s="5"/>
      <c r="D18" s="5"/>
      <c r="E18" s="5"/>
      <c r="F18" s="5">
        <v>1744</v>
      </c>
      <c r="G18" s="5">
        <v>1663</v>
      </c>
      <c r="H18" s="5"/>
      <c r="I18" s="5"/>
      <c r="J18" s="5">
        <v>2168</v>
      </c>
      <c r="K18" s="5">
        <v>1987</v>
      </c>
      <c r="L18" s="5">
        <v>2100</v>
      </c>
      <c r="M18" s="5">
        <v>1997</v>
      </c>
      <c r="N18" s="4">
        <v>2107</v>
      </c>
      <c r="O18" s="4">
        <v>2291</v>
      </c>
      <c r="P18" s="4">
        <v>2165</v>
      </c>
      <c r="Q18" s="4">
        <v>2105</v>
      </c>
      <c r="R18" s="4">
        <v>2267</v>
      </c>
      <c r="S18" s="4">
        <v>2278</v>
      </c>
      <c r="T18" s="4">
        <v>2217</v>
      </c>
    </row>
    <row r="19" spans="2:20" s="4" customFormat="1" x14ac:dyDescent="0.2">
      <c r="B19" s="4" t="s">
        <v>30</v>
      </c>
      <c r="C19" s="5"/>
      <c r="D19" s="5"/>
      <c r="E19" s="5"/>
      <c r="F19" s="5">
        <v>282</v>
      </c>
      <c r="G19" s="5">
        <v>505</v>
      </c>
      <c r="H19" s="5"/>
      <c r="I19" s="5"/>
      <c r="J19" s="5">
        <v>756</v>
      </c>
      <c r="K19" s="5">
        <v>504</v>
      </c>
      <c r="L19" s="5">
        <v>341</v>
      </c>
      <c r="M19" s="5">
        <v>333</v>
      </c>
      <c r="N19" s="4">
        <v>345</v>
      </c>
      <c r="O19" s="4">
        <v>348</v>
      </c>
      <c r="P19" s="4">
        <v>322</v>
      </c>
      <c r="Q19" s="4">
        <v>327</v>
      </c>
      <c r="R19" s="4">
        <v>362</v>
      </c>
      <c r="S19" s="4">
        <v>360</v>
      </c>
      <c r="T19" s="4">
        <v>336</v>
      </c>
    </row>
    <row r="20" spans="2:20" s="4" customFormat="1" x14ac:dyDescent="0.2">
      <c r="B20" s="4" t="s">
        <v>31</v>
      </c>
      <c r="C20" s="5"/>
      <c r="D20" s="5"/>
      <c r="E20" s="5"/>
      <c r="F20" s="5">
        <f t="shared" ref="F20" si="4">SUM(F17:F19)</f>
        <v>3158</v>
      </c>
      <c r="G20" s="5">
        <f>SUM(G17:G19)</f>
        <v>3339</v>
      </c>
      <c r="H20" s="5">
        <f t="shared" ref="H20:K20" si="5">SUM(H17:H19)</f>
        <v>0</v>
      </c>
      <c r="I20" s="5">
        <f t="shared" si="5"/>
        <v>0</v>
      </c>
      <c r="J20" s="5">
        <f t="shared" si="5"/>
        <v>4336</v>
      </c>
      <c r="K20" s="5">
        <f t="shared" si="5"/>
        <v>3916</v>
      </c>
      <c r="L20" s="5">
        <f t="shared" ref="L20:M20" si="6">SUM(L17:L19)</f>
        <v>3955</v>
      </c>
      <c r="M20" s="5">
        <f t="shared" si="6"/>
        <v>3901</v>
      </c>
      <c r="N20" s="5">
        <f t="shared" ref="N20:O20" si="7">SUM(N17:N19)</f>
        <v>4050</v>
      </c>
      <c r="O20" s="5">
        <f t="shared" si="7"/>
        <v>4212</v>
      </c>
      <c r="P20" s="5">
        <f t="shared" ref="O20:T20" si="8">SUM(P17:P19)</f>
        <v>4052</v>
      </c>
      <c r="Q20" s="5">
        <f t="shared" si="8"/>
        <v>3947</v>
      </c>
      <c r="R20" s="5">
        <f t="shared" si="8"/>
        <v>4298</v>
      </c>
      <c r="S20" s="5">
        <f t="shared" si="8"/>
        <v>4303</v>
      </c>
      <c r="T20" s="5">
        <f t="shared" si="8"/>
        <v>4158</v>
      </c>
    </row>
    <row r="21" spans="2:20" s="4" customFormat="1" x14ac:dyDescent="0.2">
      <c r="B21" s="4" t="s">
        <v>32</v>
      </c>
      <c r="C21" s="5"/>
      <c r="D21" s="5"/>
      <c r="E21" s="5"/>
      <c r="F21" s="5">
        <f t="shared" ref="F21" si="9">F16-F20</f>
        <v>2479</v>
      </c>
      <c r="G21" s="5">
        <f>G16-G20</f>
        <v>1125</v>
      </c>
      <c r="H21" s="5">
        <f t="shared" ref="H21:K21" si="10">H16-H20</f>
        <v>6669</v>
      </c>
      <c r="I21" s="5">
        <f t="shared" si="10"/>
        <v>6845</v>
      </c>
      <c r="J21" s="5">
        <f t="shared" si="10"/>
        <v>1487.3999999999996</v>
      </c>
      <c r="K21" s="5">
        <f t="shared" si="10"/>
        <v>1062</v>
      </c>
      <c r="L21" s="5">
        <f t="shared" ref="L21:M21" si="11">L16-L20</f>
        <v>1284</v>
      </c>
      <c r="M21" s="5">
        <f t="shared" si="11"/>
        <v>1539</v>
      </c>
      <c r="N21" s="5">
        <f t="shared" ref="N21:O21" si="12">N16-N20</f>
        <v>1864</v>
      </c>
      <c r="O21" s="5">
        <f t="shared" si="12"/>
        <v>1074</v>
      </c>
      <c r="P21" s="5">
        <f t="shared" ref="O21:T21" si="13">P16-P20</f>
        <v>1357</v>
      </c>
      <c r="Q21" s="5">
        <f t="shared" si="13"/>
        <v>1689</v>
      </c>
      <c r="R21" s="5">
        <f t="shared" si="13"/>
        <v>1898</v>
      </c>
      <c r="S21" s="5">
        <f t="shared" si="13"/>
        <v>1459</v>
      </c>
      <c r="T21" s="5">
        <f t="shared" si="13"/>
        <v>1859</v>
      </c>
    </row>
    <row r="22" spans="2:20" x14ac:dyDescent="0.2">
      <c r="B22" s="4" t="s">
        <v>34</v>
      </c>
      <c r="F22" s="2">
        <v>107</v>
      </c>
      <c r="G22" s="2">
        <v>315</v>
      </c>
      <c r="J22" s="2">
        <v>523</v>
      </c>
      <c r="K22" s="2">
        <v>-56</v>
      </c>
      <c r="L22" s="2">
        <f>-95-118</f>
        <v>-213</v>
      </c>
      <c r="M22" s="2">
        <f>10+163-496</f>
        <v>-323</v>
      </c>
      <c r="N22" s="4">
        <v>-884</v>
      </c>
      <c r="O22" s="4">
        <f>-8-112</f>
        <v>-120</v>
      </c>
      <c r="P22" s="4">
        <v>-175</v>
      </c>
      <c r="Q22">
        <f>-2+204-279</f>
        <v>-77</v>
      </c>
      <c r="R22">
        <f>-4-107</f>
        <v>-111</v>
      </c>
      <c r="S22">
        <f>-4-45</f>
        <v>-49</v>
      </c>
      <c r="T22" s="4">
        <v>170</v>
      </c>
    </row>
    <row r="23" spans="2:20" x14ac:dyDescent="0.2">
      <c r="B23" s="4" t="s">
        <v>35</v>
      </c>
      <c r="F23" s="5">
        <f>F21+F22</f>
        <v>2586</v>
      </c>
      <c r="G23" s="5">
        <f>G21+G22</f>
        <v>1440</v>
      </c>
      <c r="H23" s="5">
        <f t="shared" ref="H23:K23" si="14">H21+H22</f>
        <v>6669</v>
      </c>
      <c r="I23" s="5">
        <f t="shared" si="14"/>
        <v>6845</v>
      </c>
      <c r="J23" s="5">
        <f t="shared" si="14"/>
        <v>2010.3999999999996</v>
      </c>
      <c r="K23" s="5">
        <f t="shared" si="14"/>
        <v>1006</v>
      </c>
      <c r="L23" s="4">
        <f t="shared" ref="L23:N23" si="15">+L21+L22</f>
        <v>1071</v>
      </c>
      <c r="M23" s="4">
        <f t="shared" si="15"/>
        <v>1216</v>
      </c>
      <c r="N23" s="4">
        <f t="shared" si="15"/>
        <v>980</v>
      </c>
      <c r="O23" s="4">
        <f>+O21+O22</f>
        <v>954</v>
      </c>
      <c r="P23" s="4">
        <f>+P21+P22</f>
        <v>1182</v>
      </c>
      <c r="Q23" s="4">
        <f>+Q21+Q22</f>
        <v>1612</v>
      </c>
      <c r="R23" s="4">
        <f>+R21+R22</f>
        <v>1787</v>
      </c>
      <c r="S23" s="4">
        <f>+S21+S22</f>
        <v>1410</v>
      </c>
      <c r="T23" s="4">
        <f>+T21+T22</f>
        <v>2029</v>
      </c>
    </row>
    <row r="24" spans="2:20" x14ac:dyDescent="0.2">
      <c r="B24" s="4" t="s">
        <v>38</v>
      </c>
      <c r="F24" s="2">
        <v>772</v>
      </c>
      <c r="G24" s="5">
        <v>267</v>
      </c>
      <c r="H24" s="5"/>
      <c r="I24" s="5"/>
      <c r="J24" s="5">
        <v>513</v>
      </c>
      <c r="K24" s="5">
        <v>313</v>
      </c>
      <c r="L24" s="2">
        <f>318-21</f>
        <v>297</v>
      </c>
      <c r="M24" s="2">
        <f>332-42</f>
        <v>290</v>
      </c>
      <c r="N24">
        <f>448-140</f>
        <v>308</v>
      </c>
      <c r="O24">
        <f>274-3</f>
        <v>271</v>
      </c>
      <c r="P24">
        <f>369-4</f>
        <v>365</v>
      </c>
      <c r="Q24">
        <f>489-6</f>
        <v>483</v>
      </c>
      <c r="R24">
        <f>595-20</f>
        <v>575</v>
      </c>
      <c r="S24">
        <f>157+4</f>
        <v>161</v>
      </c>
      <c r="T24">
        <f>469+30</f>
        <v>499</v>
      </c>
    </row>
    <row r="25" spans="2:20" x14ac:dyDescent="0.2">
      <c r="B25" s="4" t="s">
        <v>36</v>
      </c>
      <c r="F25" s="5">
        <f>F23-F24</f>
        <v>1814</v>
      </c>
      <c r="G25" s="5">
        <f>G23-G24</f>
        <v>1173</v>
      </c>
      <c r="H25" s="5">
        <f t="shared" ref="H25:K25" si="16">H23-H24</f>
        <v>6669</v>
      </c>
      <c r="I25" s="5">
        <f t="shared" si="16"/>
        <v>6845</v>
      </c>
      <c r="J25" s="5">
        <f t="shared" si="16"/>
        <v>1497.3999999999996</v>
      </c>
      <c r="K25" s="5">
        <f t="shared" si="16"/>
        <v>693</v>
      </c>
      <c r="L25" s="4">
        <f t="shared" ref="L25:N25" si="17">+L23-L24</f>
        <v>774</v>
      </c>
      <c r="M25" s="4">
        <f t="shared" si="17"/>
        <v>926</v>
      </c>
      <c r="N25" s="4">
        <f t="shared" si="17"/>
        <v>672</v>
      </c>
      <c r="O25" s="4">
        <f>+O23-O24</f>
        <v>683</v>
      </c>
      <c r="P25" s="4">
        <f>+P23-P24</f>
        <v>817</v>
      </c>
      <c r="Q25" s="4">
        <f>+Q23-Q24</f>
        <v>1129</v>
      </c>
      <c r="R25" s="4">
        <f>+R23-R24</f>
        <v>1212</v>
      </c>
      <c r="S25" s="4">
        <f>+S23-S24</f>
        <v>1249</v>
      </c>
      <c r="T25" s="4">
        <f>+T23-T24</f>
        <v>1530</v>
      </c>
    </row>
    <row r="26" spans="2:20" x14ac:dyDescent="0.2">
      <c r="B26" s="4" t="s">
        <v>37</v>
      </c>
      <c r="F26" s="9">
        <f>F25/F27</f>
        <v>1.5372881355932204</v>
      </c>
      <c r="G26" s="9">
        <f t="shared" ref="G26" si="18">G25/G27</f>
        <v>0.99406779661016953</v>
      </c>
      <c r="J26" s="9">
        <f t="shared" ref="J26:K26" si="19">J25/J27</f>
        <v>1.2689830508474573</v>
      </c>
      <c r="K26" s="9">
        <f t="shared" si="19"/>
        <v>0.5882852292020373</v>
      </c>
      <c r="L26" s="1">
        <f t="shared" ref="L26:N26" si="20">+L25/L27</f>
        <v>0.65984654731457804</v>
      </c>
      <c r="M26" s="1">
        <f t="shared" si="20"/>
        <v>0.78942881500426254</v>
      </c>
      <c r="N26" s="1">
        <f t="shared" si="20"/>
        <v>0.57337883959044367</v>
      </c>
      <c r="O26" s="1">
        <f>+O25/O27</f>
        <v>0.58177172061328786</v>
      </c>
      <c r="P26" s="1">
        <f>+P25/P27</f>
        <v>0.69237288135593222</v>
      </c>
      <c r="Q26" s="1">
        <f>+Q25/Q27</f>
        <v>0.95677966101694911</v>
      </c>
      <c r="R26" s="1">
        <f>+R25/R27</f>
        <v>1.0288624787775891</v>
      </c>
      <c r="S26" s="1">
        <f>+S25/S27</f>
        <v>1.0593723494486853</v>
      </c>
      <c r="T26" s="1">
        <f>+T25/T27</f>
        <v>1.298811544991511</v>
      </c>
    </row>
    <row r="27" spans="2:20" s="4" customFormat="1" x14ac:dyDescent="0.2">
      <c r="B27" s="4" t="s">
        <v>1</v>
      </c>
      <c r="C27" s="5"/>
      <c r="D27" s="5"/>
      <c r="E27" s="5"/>
      <c r="F27" s="5">
        <v>1180</v>
      </c>
      <c r="G27" s="5">
        <v>1180</v>
      </c>
      <c r="H27" s="5"/>
      <c r="I27" s="5"/>
      <c r="J27" s="5">
        <v>1180</v>
      </c>
      <c r="K27" s="5">
        <v>1178</v>
      </c>
      <c r="L27" s="5">
        <v>1173</v>
      </c>
      <c r="M27" s="5">
        <v>1173</v>
      </c>
      <c r="N27" s="4">
        <v>1172</v>
      </c>
      <c r="O27" s="4">
        <v>1174</v>
      </c>
      <c r="P27" s="4">
        <v>1180</v>
      </c>
      <c r="Q27" s="4">
        <v>1180</v>
      </c>
      <c r="R27" s="4">
        <v>1178</v>
      </c>
      <c r="S27" s="4">
        <v>1179</v>
      </c>
      <c r="T27" s="4">
        <v>1178</v>
      </c>
    </row>
    <row r="30" spans="2:20" x14ac:dyDescent="0.2">
      <c r="B30" t="s">
        <v>33</v>
      </c>
      <c r="J30" s="6">
        <f>J14/F14-1</f>
        <v>5.86019365963657E-2</v>
      </c>
      <c r="K30" s="11">
        <f t="shared" ref="K30:P30" si="21">+K14/G14-1</f>
        <v>0.11483931947069936</v>
      </c>
      <c r="L30" s="11">
        <f t="shared" si="21"/>
        <v>8.052181736392261E-2</v>
      </c>
      <c r="M30" s="11">
        <f t="shared" si="21"/>
        <v>9.2330168005843705E-2</v>
      </c>
      <c r="N30" s="11">
        <f t="shared" si="21"/>
        <v>1.0299719326383405E-2</v>
      </c>
      <c r="O30" s="11">
        <f t="shared" si="21"/>
        <v>5.1575526352974466E-2</v>
      </c>
      <c r="P30" s="11">
        <f t="shared" si="21"/>
        <v>4.8293089092422914E-2</v>
      </c>
      <c r="Q30" s="11">
        <f>+Q14/M14-1</f>
        <v>3.5709509161428343E-2</v>
      </c>
      <c r="R30" s="11">
        <f>+R14/N14-1</f>
        <v>5.0105419818925911E-2</v>
      </c>
      <c r="S30" s="10">
        <f>+S14/O14-1</f>
        <v>8.0489115829078139E-2</v>
      </c>
      <c r="T30" s="10">
        <f>+T14/P14-1</f>
        <v>9.7167063807254372E-2</v>
      </c>
    </row>
    <row r="32" spans="2:20" x14ac:dyDescent="0.2">
      <c r="B32" t="s">
        <v>3</v>
      </c>
      <c r="T32" s="4">
        <f>7870+3808+6109</f>
        <v>17787</v>
      </c>
    </row>
    <row r="33" spans="2:20" x14ac:dyDescent="0.2">
      <c r="B33" t="s">
        <v>50</v>
      </c>
      <c r="T33" s="4">
        <v>6148</v>
      </c>
    </row>
    <row r="34" spans="2:20" x14ac:dyDescent="0.2">
      <c r="B34" t="s">
        <v>51</v>
      </c>
      <c r="T34" s="4">
        <f>2531+3515</f>
        <v>6046</v>
      </c>
    </row>
    <row r="35" spans="2:20" x14ac:dyDescent="0.2">
      <c r="B35" t="s">
        <v>38</v>
      </c>
      <c r="T35" s="4">
        <f>539+346</f>
        <v>885</v>
      </c>
    </row>
    <row r="36" spans="2:20" x14ac:dyDescent="0.2">
      <c r="B36" t="s">
        <v>52</v>
      </c>
      <c r="T36" s="4">
        <f>29777+2365</f>
        <v>32142</v>
      </c>
    </row>
    <row r="37" spans="2:20" x14ac:dyDescent="0.2">
      <c r="B37" t="s">
        <v>53</v>
      </c>
      <c r="T37" s="4">
        <v>4255</v>
      </c>
    </row>
    <row r="38" spans="2:20" x14ac:dyDescent="0.2">
      <c r="B38" t="s">
        <v>54</v>
      </c>
      <c r="T38" s="4">
        <v>121</v>
      </c>
    </row>
    <row r="39" spans="2:20" x14ac:dyDescent="0.2">
      <c r="B39" t="s">
        <v>55</v>
      </c>
      <c r="T39" s="4">
        <v>2993</v>
      </c>
    </row>
    <row r="40" spans="2:20" x14ac:dyDescent="0.2">
      <c r="B40" t="s">
        <v>56</v>
      </c>
      <c r="T40" s="4">
        <f>SUM(T32:T39)</f>
        <v>70377</v>
      </c>
    </row>
    <row r="42" spans="2:20" x14ac:dyDescent="0.2">
      <c r="B42" t="s">
        <v>57</v>
      </c>
      <c r="T42" s="4">
        <f>1875+20</f>
        <v>1895</v>
      </c>
    </row>
    <row r="43" spans="2:20" x14ac:dyDescent="0.2">
      <c r="B43" t="s">
        <v>38</v>
      </c>
      <c r="T43" s="4">
        <f>439+818</f>
        <v>1257</v>
      </c>
    </row>
    <row r="44" spans="2:20" x14ac:dyDescent="0.2">
      <c r="B44" t="s">
        <v>4</v>
      </c>
      <c r="T44" s="4">
        <f>2271+7321</f>
        <v>9592</v>
      </c>
    </row>
    <row r="45" spans="2:20" x14ac:dyDescent="0.2">
      <c r="B45" t="s">
        <v>51</v>
      </c>
      <c r="T45" s="4">
        <f>4002+850</f>
        <v>4852</v>
      </c>
    </row>
    <row r="46" spans="2:20" x14ac:dyDescent="0.2">
      <c r="B46" t="s">
        <v>58</v>
      </c>
      <c r="T46" s="4">
        <f>2341+444</f>
        <v>2785</v>
      </c>
    </row>
    <row r="47" spans="2:20" x14ac:dyDescent="0.2">
      <c r="B47" t="s">
        <v>59</v>
      </c>
      <c r="T47" s="4">
        <f>7734+55</f>
        <v>7789</v>
      </c>
    </row>
    <row r="48" spans="2:20" x14ac:dyDescent="0.2">
      <c r="B48" t="s">
        <v>60</v>
      </c>
      <c r="T48" s="4">
        <v>267</v>
      </c>
    </row>
    <row r="49" spans="2:20" x14ac:dyDescent="0.2">
      <c r="B49" t="s">
        <v>61</v>
      </c>
      <c r="T49" s="4">
        <v>41942</v>
      </c>
    </row>
    <row r="50" spans="2:20" x14ac:dyDescent="0.2">
      <c r="B50" t="s">
        <v>62</v>
      </c>
      <c r="T50" s="4">
        <f>SUM(T42:T49)</f>
        <v>70379</v>
      </c>
    </row>
    <row r="52" spans="2:20" s="4" customFormat="1" x14ac:dyDescent="0.2">
      <c r="B52" s="4" t="s">
        <v>39</v>
      </c>
      <c r="C52" s="5"/>
      <c r="D52" s="5"/>
      <c r="E52" s="5"/>
      <c r="F52" s="5"/>
      <c r="G52" s="5">
        <v>103142</v>
      </c>
      <c r="H52" s="5"/>
      <c r="I52" s="5"/>
      <c r="J52" s="5"/>
      <c r="K52" s="5">
        <v>104670</v>
      </c>
      <c r="L52" s="5">
        <v>104988</v>
      </c>
      <c r="M52" s="5">
        <v>106912</v>
      </c>
      <c r="N52" s="5">
        <v>106312</v>
      </c>
      <c r="O52" s="5">
        <v>105132</v>
      </c>
      <c r="P52" s="5">
        <v>105328</v>
      </c>
      <c r="Q52" s="5">
        <v>106495</v>
      </c>
      <c r="R52" s="5">
        <v>107602</v>
      </c>
      <c r="S52" s="5">
        <v>108133</v>
      </c>
      <c r="T52" s="5"/>
    </row>
  </sheetData>
  <hyperlinks>
    <hyperlink ref="A1" location="Main!A1" display="Main" xr:uid="{5A31A477-6A66-4B24-BA68-9FA64C57DD1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2022-07-02T18:57:28Z</dcterms:created>
  <dcterms:modified xsi:type="dcterms:W3CDTF">2024-08-11T05:16:44Z</dcterms:modified>
</cp:coreProperties>
</file>