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345EC38-3183-428C-816E-E287A11E34DB}" xr6:coauthVersionLast="47" xr6:coauthVersionMax="47" xr10:uidLastSave="{00000000-0000-0000-0000-000000000000}"/>
  <bookViews>
    <workbookView xWindow="-51345" yWindow="0" windowWidth="24120" windowHeight="20985" activeTab="1" xr2:uid="{02BCB5C1-16CB-43F2-AC29-522114270D6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2" l="1"/>
  <c r="AE11" i="2"/>
  <c r="AD11" i="2"/>
  <c r="AC11" i="2"/>
  <c r="AB11" i="2"/>
  <c r="AA11" i="2"/>
  <c r="Z11" i="2"/>
  <c r="R34" i="2"/>
  <c r="S33" i="2"/>
  <c r="R33" i="2"/>
  <c r="S32" i="2"/>
  <c r="R32" i="2"/>
  <c r="Q29" i="2"/>
  <c r="R29" i="2"/>
  <c r="R23" i="2"/>
  <c r="R24" i="2" s="1"/>
  <c r="R26" i="2" s="1"/>
  <c r="R28" i="2" s="1"/>
  <c r="Q23" i="2"/>
  <c r="Q24" i="2" s="1"/>
  <c r="Q26" i="2" s="1"/>
  <c r="Q28" i="2" s="1"/>
  <c r="Q18" i="2"/>
  <c r="R17" i="2"/>
  <c r="R18" i="2" s="1"/>
  <c r="Q17" i="2"/>
  <c r="Q11" i="2"/>
  <c r="R11" i="2"/>
  <c r="T33" i="2"/>
  <c r="S25" i="2"/>
  <c r="S23" i="2"/>
  <c r="S17" i="2"/>
  <c r="S11" i="2"/>
  <c r="V33" i="2"/>
  <c r="U33" i="2"/>
  <c r="T35" i="2"/>
  <c r="U35" i="2"/>
  <c r="U25" i="2"/>
  <c r="T25" i="2"/>
  <c r="U23" i="2"/>
  <c r="T23" i="2"/>
  <c r="U17" i="2"/>
  <c r="T17" i="2"/>
  <c r="U11" i="2"/>
  <c r="V32" i="2" s="1"/>
  <c r="T11" i="2"/>
  <c r="T32" i="2" s="1"/>
  <c r="V35" i="2"/>
  <c r="W33" i="2"/>
  <c r="V25" i="2"/>
  <c r="V23" i="2"/>
  <c r="V17" i="2"/>
  <c r="V11" i="2"/>
  <c r="U32" i="2" l="1"/>
  <c r="V18" i="2"/>
  <c r="V34" i="2" s="1"/>
  <c r="V24" i="2"/>
  <c r="V26" i="2" s="1"/>
  <c r="V28" i="2" s="1"/>
  <c r="V29" i="2" s="1"/>
  <c r="S18" i="2"/>
  <c r="S34" i="2" s="1"/>
  <c r="T18" i="2"/>
  <c r="T34" i="2" s="1"/>
  <c r="U18" i="2"/>
  <c r="U34" i="2" s="1"/>
  <c r="U24" i="2"/>
  <c r="U26" i="2" s="1"/>
  <c r="U28" i="2" s="1"/>
  <c r="U29" i="2" s="1"/>
  <c r="F27" i="2"/>
  <c r="F22" i="2"/>
  <c r="F21" i="2"/>
  <c r="F20" i="2"/>
  <c r="F19" i="2"/>
  <c r="F16" i="2"/>
  <c r="F35" i="2" s="1"/>
  <c r="F15" i="2"/>
  <c r="F14" i="2"/>
  <c r="F12" i="2"/>
  <c r="G25" i="2"/>
  <c r="H33" i="2"/>
  <c r="G33" i="2"/>
  <c r="D35" i="2"/>
  <c r="C35" i="2"/>
  <c r="C25" i="2"/>
  <c r="C23" i="2"/>
  <c r="C17" i="2"/>
  <c r="D25" i="2"/>
  <c r="D23" i="2"/>
  <c r="D17" i="2"/>
  <c r="F30" i="2"/>
  <c r="J30" i="2"/>
  <c r="J27" i="2"/>
  <c r="J22" i="2"/>
  <c r="J21" i="2"/>
  <c r="J20" i="2"/>
  <c r="J19" i="2"/>
  <c r="J16" i="2"/>
  <c r="J35" i="2" s="1"/>
  <c r="J15" i="2"/>
  <c r="J14" i="2"/>
  <c r="J12" i="2"/>
  <c r="I35" i="2"/>
  <c r="I33" i="2"/>
  <c r="E35" i="2"/>
  <c r="E25" i="2"/>
  <c r="I25" i="2"/>
  <c r="E23" i="2"/>
  <c r="E17" i="2"/>
  <c r="J33" i="2"/>
  <c r="F11" i="2"/>
  <c r="E11" i="2"/>
  <c r="D11" i="2"/>
  <c r="C11" i="2"/>
  <c r="K33" i="2"/>
  <c r="L33" i="2"/>
  <c r="W35" i="2"/>
  <c r="Y35" i="2"/>
  <c r="X35" i="2"/>
  <c r="X33" i="2"/>
  <c r="Y33" i="2"/>
  <c r="Y25" i="2"/>
  <c r="X25" i="2"/>
  <c r="W25" i="2"/>
  <c r="Y23" i="2"/>
  <c r="X23" i="2"/>
  <c r="W23" i="2"/>
  <c r="W17" i="2"/>
  <c r="X17" i="2"/>
  <c r="Y17" i="2"/>
  <c r="W11" i="2"/>
  <c r="X11" i="2"/>
  <c r="Y11" i="2"/>
  <c r="Y32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G35" i="2"/>
  <c r="K35" i="2"/>
  <c r="K25" i="2"/>
  <c r="G23" i="2"/>
  <c r="G17" i="2"/>
  <c r="K11" i="2"/>
  <c r="J11" i="2"/>
  <c r="I11" i="2"/>
  <c r="H11" i="2"/>
  <c r="G11" i="2"/>
  <c r="L35" i="2"/>
  <c r="H35" i="2"/>
  <c r="H25" i="2"/>
  <c r="K17" i="2"/>
  <c r="I17" i="2"/>
  <c r="H17" i="2"/>
  <c r="K23" i="2"/>
  <c r="I23" i="2"/>
  <c r="H23" i="2"/>
  <c r="L27" i="2"/>
  <c r="L25" i="2"/>
  <c r="L23" i="2"/>
  <c r="L17" i="2"/>
  <c r="L11" i="2"/>
  <c r="K7" i="1"/>
  <c r="K6" i="1"/>
  <c r="K5" i="1"/>
  <c r="K4" i="1"/>
  <c r="K3" i="1"/>
  <c r="T24" i="2" l="1"/>
  <c r="T26" i="2" s="1"/>
  <c r="T28" i="2" s="1"/>
  <c r="T29" i="2" s="1"/>
  <c r="W18" i="2"/>
  <c r="W24" i="2" s="1"/>
  <c r="W26" i="2" s="1"/>
  <c r="W28" i="2" s="1"/>
  <c r="W29" i="2" s="1"/>
  <c r="W32" i="2"/>
  <c r="S24" i="2"/>
  <c r="S26" i="2" s="1"/>
  <c r="S28" i="2" s="1"/>
  <c r="S29" i="2" s="1"/>
  <c r="X32" i="2"/>
  <c r="F23" i="2"/>
  <c r="H36" i="2"/>
  <c r="G32" i="2"/>
  <c r="D36" i="2"/>
  <c r="J32" i="2"/>
  <c r="I36" i="2"/>
  <c r="J25" i="2"/>
  <c r="H32" i="2"/>
  <c r="F25" i="2"/>
  <c r="I32" i="2"/>
  <c r="C36" i="2"/>
  <c r="L36" i="2"/>
  <c r="D18" i="2"/>
  <c r="D34" i="2" s="1"/>
  <c r="E18" i="2"/>
  <c r="E36" i="2"/>
  <c r="C18" i="2"/>
  <c r="C34" i="2" s="1"/>
  <c r="F17" i="2"/>
  <c r="F18" i="2" s="1"/>
  <c r="F34" i="2" s="1"/>
  <c r="J23" i="2"/>
  <c r="J17" i="2"/>
  <c r="J36" i="2" s="1"/>
  <c r="I18" i="2"/>
  <c r="K36" i="2"/>
  <c r="L32" i="2"/>
  <c r="K32" i="2"/>
  <c r="G18" i="2"/>
  <c r="G34" i="2" s="1"/>
  <c r="X18" i="2"/>
  <c r="X34" i="2" s="1"/>
  <c r="L18" i="2"/>
  <c r="G36" i="2"/>
  <c r="Y18" i="2"/>
  <c r="H18" i="2"/>
  <c r="H34" i="2" s="1"/>
  <c r="K18" i="2"/>
  <c r="W34" i="2" l="1"/>
  <c r="D24" i="2"/>
  <c r="D26" i="2" s="1"/>
  <c r="D28" i="2" s="1"/>
  <c r="D29" i="2" s="1"/>
  <c r="J18" i="2"/>
  <c r="X24" i="2"/>
  <c r="X26" i="2" s="1"/>
  <c r="X28" i="2" s="1"/>
  <c r="X29" i="2" s="1"/>
  <c r="I24" i="2"/>
  <c r="I26" i="2" s="1"/>
  <c r="I28" i="2" s="1"/>
  <c r="I29" i="2" s="1"/>
  <c r="I34" i="2"/>
  <c r="J34" i="2"/>
  <c r="J24" i="2"/>
  <c r="J26" i="2" s="1"/>
  <c r="J28" i="2" s="1"/>
  <c r="J29" i="2" s="1"/>
  <c r="C24" i="2"/>
  <c r="C26" i="2" s="1"/>
  <c r="C28" i="2" s="1"/>
  <c r="C29" i="2" s="1"/>
  <c r="E24" i="2"/>
  <c r="E26" i="2" s="1"/>
  <c r="E28" i="2" s="1"/>
  <c r="E29" i="2" s="1"/>
  <c r="E34" i="2"/>
  <c r="H24" i="2"/>
  <c r="H26" i="2" s="1"/>
  <c r="H28" i="2" s="1"/>
  <c r="H29" i="2" s="1"/>
  <c r="F36" i="2"/>
  <c r="F24" i="2"/>
  <c r="F26" i="2" s="1"/>
  <c r="F28" i="2" s="1"/>
  <c r="F29" i="2" s="1"/>
  <c r="G24" i="2"/>
  <c r="G26" i="2" s="1"/>
  <c r="G28" i="2" s="1"/>
  <c r="G29" i="2" s="1"/>
  <c r="Y24" i="2"/>
  <c r="Y26" i="2" s="1"/>
  <c r="Y28" i="2" s="1"/>
  <c r="Y29" i="2" s="1"/>
  <c r="Y34" i="2"/>
  <c r="K24" i="2"/>
  <c r="K26" i="2" s="1"/>
  <c r="K28" i="2" s="1"/>
  <c r="K29" i="2" s="1"/>
  <c r="K34" i="2"/>
  <c r="L24" i="2"/>
  <c r="L26" i="2" s="1"/>
  <c r="L28" i="2" s="1"/>
  <c r="L29" i="2" s="1"/>
  <c r="L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tc={C46ADBAE-BBC6-4DD3-BC0C-22E2AB64A5E8}</author>
  </authors>
  <commentList>
    <comment ref="L18" authorId="0" shapeId="0" xr:uid="{C46ADBAE-BBC6-4DD3-BC0C-22E2AB64A5E8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2.000B-2.020B</t>
      </text>
    </comment>
  </commentList>
</comments>
</file>

<file path=xl/sharedStrings.xml><?xml version="1.0" encoding="utf-8"?>
<sst xmlns="http://schemas.openxmlformats.org/spreadsheetml/2006/main" count="62" uniqueCount="51">
  <si>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</si>
  <si>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</si>
  <si>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</si>
  <si>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</si>
  <si>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</si>
  <si>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</si>
  <si>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</si>
  <si>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</si>
  <si>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</si>
  <si>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Q124</t>
  </si>
  <si>
    <t>Q123</t>
  </si>
  <si>
    <t>Q223</t>
  </si>
  <si>
    <t>Q323</t>
  </si>
  <si>
    <t>Q423</t>
  </si>
  <si>
    <t>Q324</t>
  </si>
  <si>
    <t>Q424</t>
  </si>
  <si>
    <t>Transaction</t>
  </si>
  <si>
    <t>Subscription</t>
  </si>
  <si>
    <t>Hardware</t>
  </si>
  <si>
    <t>Bitcoin</t>
  </si>
  <si>
    <t>COGS</t>
  </si>
  <si>
    <t>Gross Profit</t>
  </si>
  <si>
    <t>Operating Income</t>
  </si>
  <si>
    <t>Operating Expenses</t>
  </si>
  <si>
    <t>S&amp;M</t>
  </si>
  <si>
    <t>Product Development</t>
  </si>
  <si>
    <t>G&amp;A</t>
  </si>
  <si>
    <t>Losses</t>
  </si>
  <si>
    <t>Net Income</t>
  </si>
  <si>
    <t>EPS</t>
  </si>
  <si>
    <t>Interest Income</t>
  </si>
  <si>
    <t>Pretax Income</t>
  </si>
  <si>
    <t>Taxes</t>
  </si>
  <si>
    <t>Revenue Growth</t>
  </si>
  <si>
    <t>Gross Margin</t>
  </si>
  <si>
    <t>Bitcoin Margin</t>
  </si>
  <si>
    <t>ex-Bitcoin GM</t>
  </si>
  <si>
    <t>Mostly Cashapp (20% Square/Other)</t>
  </si>
  <si>
    <t>Almost all Square (1% CashApp)</t>
  </si>
  <si>
    <t>Revenue Growth ex-BTC</t>
  </si>
  <si>
    <t>CFFO</t>
  </si>
  <si>
    <t>Acquisitions</t>
  </si>
  <si>
    <t>PP&amp;E</t>
  </si>
  <si>
    <t>Q122</t>
  </si>
  <si>
    <t>Q222</t>
  </si>
  <si>
    <t>Q322</t>
  </si>
  <si>
    <t>Q422</t>
  </si>
  <si>
    <t>EBITDA</t>
  </si>
  <si>
    <t>CashApp - Monthly Transacting Actives</t>
  </si>
  <si>
    <t>Afterpay: 1/31/22 114m shares.</t>
  </si>
  <si>
    <t>Starbucks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</si>
</sst>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Font="1" applyAlignment="1">
      <alignment horizontal="right"/>
    </xf>
    <xf numFmtId="9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937D2D1-8DEB-4EFA-AACA-0A29BD358C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32523</xdr:colOff>
      <xdr:row>0</xdr:row>
      <xdr:rowOff>18585</xdr:rowOff>
    </xdr:from>
    <xdr:to>
      <xdr:col>12</xdr:col>
      <xdr:colOff>32523</xdr:colOff>
      <xdr:row>47</xdr:row>
      <xdr:rowOff>120316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AAB47D-A75A-6946-795D-0DD67F39C298}"/>
            </a:ext>
          </a:extLst>
        </xdr:cNvPr>
        <xdr:cNvCxnSpPr/>
      </xdr:nvCxnSpPr>
      <xdr:spPr>
        <a:xfrm>
          <a:off x="8063602" y="18585"/>
          <a:ext cx="0" cy="68394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29391</xdr:colOff>
      <xdr:row>0</xdr:row>
      <xdr:rowOff>0</xdr:rowOff>
    </xdr:from>
    <xdr:to>
      <xdr:col>25</xdr:col>
      <xdr:colOff>29391</xdr:colOff>
      <xdr:row>40</xdr:row>
      <xdr:rowOff>86691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B9DE43C-DBA3-417C-9FC9-4BBC991950AB}"/>
            </a:ext>
          </a:extLst>
        </xdr:cNvPr>
        <xdr:cNvCxnSpPr/>
      </xdr:nvCxnSpPr>
      <xdr:spPr>
        <a:xfrm>
          <a:off x="10179469" y="0"/>
          <a:ext cx="0" cy="55516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625B8AE-5E9B-49E9-9BC8-18478F34269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8" dT="2024-09-05T16:19:22.73" personId="{A625B8AE-5E9B-49E9-9BC8-18478F34269D}" id="{C46ADBAE-BBC6-4DD3-BC0C-22E2AB64A5E8}">
    <text>Q4 guidance: 2.000B-2.020B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7A4-2F21-479E-86DA-4FB48D328B20}">
  <dimension ref="B2:L10"/>
  <sheetViews>
    <sheetView zoomScale="175" zoomScaleNormal="175" workbookViewId="0">
      <selection activeCell="B11" sqref="B11"/>
    </sheetView>
  </sheetViews>
  <sheetFormatPr defaultRowHeight="12.75" x14ac:dyDescent="0.2"/>
  <cols>
    <col min="1" max="1" width="3.28515625" customWidth="1"/>
    <col min="2" max="2" width="11.28515625" bestFit="1" customWidth="1"/>
  </cols>
  <sheetData>
    <row r="2" spans="2:12" x14ac:dyDescent="0.2">
      <c r="B2" t="s">
        <v>17</v>
      </c>
      <c r="C2" t="s">
        <v>37</v>
      </c>
      <c r="J2" t="s">
        <v>0</v>
      </c>
      <c r="K2" s="1">
        <v>64</v>
      </c>
    </row>
    <row r="3" spans="2:12" x14ac:dyDescent="0.2">
      <c r="B3" t="s">
        <v>16</v>
      </c>
      <c r="C3" t="s">
        <v>38</v>
      </c>
      <c r="J3" t="s">
        <v>1</v>
      </c>
      <c r="K3" s="3">
        <f>555.234+60.411</f>
        <v>615.64499999999998</v>
      </c>
      <c r="L3" s="2" t="s">
        <v>6</v>
      </c>
    </row>
    <row r="4" spans="2:12" x14ac:dyDescent="0.2">
      <c r="J4" t="s">
        <v>2</v>
      </c>
      <c r="K4" s="3">
        <f>+K2*K3</f>
        <v>39401.279999999999</v>
      </c>
    </row>
    <row r="5" spans="2:12" x14ac:dyDescent="0.2">
      <c r="J5" t="s">
        <v>3</v>
      </c>
      <c r="K5" s="3">
        <f>7799.093+658.001</f>
        <v>8457.0939999999991</v>
      </c>
      <c r="L5" s="2" t="s">
        <v>6</v>
      </c>
    </row>
    <row r="6" spans="2:12" x14ac:dyDescent="0.2">
      <c r="J6" t="s">
        <v>4</v>
      </c>
      <c r="K6" s="3">
        <f>997.958+5101.023</f>
        <v>6098.9809999999998</v>
      </c>
      <c r="L6" s="2" t="s">
        <v>6</v>
      </c>
    </row>
    <row r="7" spans="2:12" x14ac:dyDescent="0.2">
      <c r="J7" t="s">
        <v>5</v>
      </c>
      <c r="K7" s="3">
        <f>+K4-K5+K6</f>
        <v>37043.167000000001</v>
      </c>
    </row>
    <row r="10" spans="2:12" x14ac:dyDescent="0.2">
      <c r="B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B31A-D83A-4415-BA58-E16A98F56101}">
  <dimension ref="A1:CK42"/>
  <sheetViews>
    <sheetView tabSelected="1" zoomScale="190" zoomScaleNormal="19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Y2" sqref="Y2"/>
    </sheetView>
  </sheetViews>
  <sheetFormatPr defaultRowHeight="12.75" x14ac:dyDescent="0.2"/>
  <cols>
    <col min="1" max="1" width="5" bestFit="1" customWidth="1"/>
    <col min="2" max="2" width="23.7109375" customWidth="1"/>
    <col min="3" max="19" width="9.140625" style="2"/>
  </cols>
  <sheetData>
    <row r="1" spans="1:89" x14ac:dyDescent="0.2">
      <c r="A1" s="11" t="s">
        <v>7</v>
      </c>
    </row>
    <row r="2" spans="1:89" x14ac:dyDescent="0.2">
      <c r="C2" s="2" t="s">
        <v>43</v>
      </c>
      <c r="D2" s="2" t="s">
        <v>44</v>
      </c>
      <c r="E2" s="2" t="s">
        <v>45</v>
      </c>
      <c r="F2" s="2" t="s">
        <v>46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9</v>
      </c>
      <c r="L2" s="2" t="s">
        <v>6</v>
      </c>
      <c r="M2" s="2" t="s">
        <v>14</v>
      </c>
      <c r="N2" s="2" t="s">
        <v>15</v>
      </c>
      <c r="Q2" s="2">
        <v>2015</v>
      </c>
      <c r="R2" s="2">
        <v>2016</v>
      </c>
      <c r="S2" s="2">
        <v>2017</v>
      </c>
      <c r="T2">
        <v>2018</v>
      </c>
      <c r="U2">
        <v>2019</v>
      </c>
      <c r="V2">
        <v>2020</v>
      </c>
      <c r="W2">
        <f>+V2+1</f>
        <v>2021</v>
      </c>
      <c r="X2">
        <f t="shared" ref="X2:CI2" si="0">+W2+1</f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  <c r="AG2">
        <f t="shared" si="0"/>
        <v>2031</v>
      </c>
      <c r="AH2">
        <f t="shared" si="0"/>
        <v>2032</v>
      </c>
      <c r="AI2">
        <f t="shared" si="0"/>
        <v>2033</v>
      </c>
      <c r="AJ2">
        <f t="shared" si="0"/>
        <v>2034</v>
      </c>
      <c r="AK2">
        <f t="shared" si="0"/>
        <v>2035</v>
      </c>
      <c r="AL2">
        <f t="shared" si="0"/>
        <v>2036</v>
      </c>
      <c r="AM2">
        <f t="shared" si="0"/>
        <v>2037</v>
      </c>
      <c r="AN2">
        <f t="shared" si="0"/>
        <v>2038</v>
      </c>
      <c r="AO2">
        <f t="shared" si="0"/>
        <v>2039</v>
      </c>
      <c r="AP2">
        <f t="shared" si="0"/>
        <v>2040</v>
      </c>
      <c r="AQ2">
        <f t="shared" si="0"/>
        <v>2041</v>
      </c>
      <c r="AR2">
        <f t="shared" si="0"/>
        <v>2042</v>
      </c>
      <c r="AS2">
        <f t="shared" si="0"/>
        <v>2043</v>
      </c>
      <c r="AT2">
        <f t="shared" si="0"/>
        <v>2044</v>
      </c>
      <c r="AU2">
        <f t="shared" si="0"/>
        <v>2045</v>
      </c>
      <c r="AV2">
        <f t="shared" si="0"/>
        <v>2046</v>
      </c>
      <c r="AW2">
        <f t="shared" si="0"/>
        <v>2047</v>
      </c>
      <c r="AX2">
        <f t="shared" si="0"/>
        <v>2048</v>
      </c>
      <c r="AY2">
        <f t="shared" si="0"/>
        <v>2049</v>
      </c>
      <c r="AZ2">
        <f t="shared" si="0"/>
        <v>2050</v>
      </c>
      <c r="BA2">
        <f t="shared" si="0"/>
        <v>2051</v>
      </c>
      <c r="BB2">
        <f t="shared" si="0"/>
        <v>2052</v>
      </c>
      <c r="BC2">
        <f t="shared" si="0"/>
        <v>2053</v>
      </c>
      <c r="BD2">
        <f t="shared" si="0"/>
        <v>2054</v>
      </c>
      <c r="BE2">
        <f t="shared" si="0"/>
        <v>2055</v>
      </c>
      <c r="BF2">
        <f t="shared" si="0"/>
        <v>2056</v>
      </c>
      <c r="BG2">
        <f t="shared" si="0"/>
        <v>2057</v>
      </c>
      <c r="BH2">
        <f t="shared" si="0"/>
        <v>2058</v>
      </c>
      <c r="BI2">
        <f t="shared" si="0"/>
        <v>2059</v>
      </c>
      <c r="BJ2">
        <f t="shared" si="0"/>
        <v>2060</v>
      </c>
      <c r="BK2">
        <f t="shared" si="0"/>
        <v>2061</v>
      </c>
      <c r="BL2">
        <f t="shared" si="0"/>
        <v>2062</v>
      </c>
      <c r="BM2">
        <f t="shared" si="0"/>
        <v>2063</v>
      </c>
      <c r="BN2">
        <f t="shared" si="0"/>
        <v>2064</v>
      </c>
      <c r="BO2">
        <f t="shared" si="0"/>
        <v>2065</v>
      </c>
      <c r="BP2">
        <f t="shared" si="0"/>
        <v>2066</v>
      </c>
      <c r="BQ2">
        <f t="shared" si="0"/>
        <v>2067</v>
      </c>
      <c r="BR2">
        <f t="shared" si="0"/>
        <v>2068</v>
      </c>
      <c r="BS2">
        <f t="shared" si="0"/>
        <v>2069</v>
      </c>
      <c r="BT2">
        <f t="shared" si="0"/>
        <v>2070</v>
      </c>
      <c r="BU2">
        <f t="shared" si="0"/>
        <v>2071</v>
      </c>
      <c r="BV2">
        <f t="shared" si="0"/>
        <v>2072</v>
      </c>
      <c r="BW2">
        <f t="shared" si="0"/>
        <v>2073</v>
      </c>
      <c r="BX2">
        <f t="shared" si="0"/>
        <v>2074</v>
      </c>
      <c r="BY2">
        <f t="shared" si="0"/>
        <v>2075</v>
      </c>
      <c r="BZ2">
        <f t="shared" si="0"/>
        <v>2076</v>
      </c>
      <c r="CA2">
        <f t="shared" si="0"/>
        <v>2077</v>
      </c>
      <c r="CB2">
        <f t="shared" si="0"/>
        <v>2078</v>
      </c>
      <c r="CC2">
        <f t="shared" si="0"/>
        <v>2079</v>
      </c>
      <c r="CD2">
        <f t="shared" si="0"/>
        <v>2080</v>
      </c>
      <c r="CE2">
        <f t="shared" si="0"/>
        <v>2081</v>
      </c>
      <c r="CF2">
        <f t="shared" si="0"/>
        <v>2082</v>
      </c>
      <c r="CG2">
        <f t="shared" si="0"/>
        <v>2083</v>
      </c>
      <c r="CH2">
        <f t="shared" si="0"/>
        <v>2084</v>
      </c>
      <c r="CI2">
        <f t="shared" si="0"/>
        <v>2085</v>
      </c>
      <c r="CJ2">
        <f t="shared" ref="CJ2:CK2" si="1">+CI2+1</f>
        <v>2086</v>
      </c>
      <c r="CK2">
        <f t="shared" si="1"/>
        <v>2087</v>
      </c>
    </row>
    <row r="3" spans="1:89" x14ac:dyDescent="0.2">
      <c r="B3" t="s">
        <v>48</v>
      </c>
      <c r="Q3" s="2">
        <v>1</v>
      </c>
      <c r="R3" s="2">
        <v>3</v>
      </c>
      <c r="S3" s="2">
        <v>7</v>
      </c>
      <c r="T3">
        <v>15</v>
      </c>
      <c r="U3">
        <v>24</v>
      </c>
      <c r="V3">
        <v>36</v>
      </c>
      <c r="W3">
        <v>44</v>
      </c>
      <c r="X3">
        <v>51</v>
      </c>
    </row>
    <row r="6" spans="1:89" s="3" customFormat="1" x14ac:dyDescent="0.2">
      <c r="B6" s="3" t="s">
        <v>16</v>
      </c>
      <c r="C6" s="6">
        <v>1232.9690000000001</v>
      </c>
      <c r="D6" s="6">
        <v>1475.7070000000001</v>
      </c>
      <c r="E6" s="6">
        <v>1517.89</v>
      </c>
      <c r="F6" s="6">
        <v>1474.9739999999999</v>
      </c>
      <c r="G6" s="6">
        <v>1422.7049999999999</v>
      </c>
      <c r="H6" s="6">
        <v>1637.654</v>
      </c>
      <c r="I6" s="6">
        <v>1658.6679999999999</v>
      </c>
      <c r="J6" s="6">
        <v>1596.74</v>
      </c>
      <c r="K6" s="6">
        <v>1511.2090000000001</v>
      </c>
      <c r="L6" s="6">
        <v>1712.9670000000001</v>
      </c>
      <c r="M6" s="6"/>
      <c r="N6" s="6"/>
      <c r="O6" s="6"/>
      <c r="P6" s="6"/>
      <c r="Q6" s="6">
        <v>1050.4449999999999</v>
      </c>
      <c r="R6" s="6">
        <v>1456.16</v>
      </c>
      <c r="S6" s="6">
        <v>1920.174</v>
      </c>
      <c r="T6" s="3">
        <v>2471.451</v>
      </c>
      <c r="U6" s="3">
        <v>3081.0740000000001</v>
      </c>
      <c r="V6" s="3">
        <v>3294.9780000000001</v>
      </c>
      <c r="W6" s="3">
        <v>4793.1459999999997</v>
      </c>
      <c r="X6" s="3">
        <v>5701.54</v>
      </c>
      <c r="Y6" s="3">
        <v>6315.3010000000004</v>
      </c>
    </row>
    <row r="7" spans="1:89" s="3" customFormat="1" x14ac:dyDescent="0.2">
      <c r="B7" s="3" t="s">
        <v>17</v>
      </c>
      <c r="C7" s="6">
        <v>959.55700000000002</v>
      </c>
      <c r="D7" s="6">
        <v>1094.856</v>
      </c>
      <c r="E7" s="6">
        <v>1191.511</v>
      </c>
      <c r="F7" s="6">
        <v>1306.8489999999999</v>
      </c>
      <c r="G7" s="6">
        <v>1366.2239999999999</v>
      </c>
      <c r="H7" s="6">
        <v>1461.4970000000001</v>
      </c>
      <c r="I7" s="6">
        <v>1492.9</v>
      </c>
      <c r="J7" s="6">
        <v>1624.221</v>
      </c>
      <c r="K7" s="6">
        <v>1682.2940000000001</v>
      </c>
      <c r="L7" s="6">
        <v>1787.893</v>
      </c>
      <c r="M7" s="6"/>
      <c r="N7" s="6"/>
      <c r="O7" s="6"/>
      <c r="P7" s="6"/>
      <c r="Q7" s="6">
        <v>58.012300000000003</v>
      </c>
      <c r="R7" s="6">
        <v>129.351</v>
      </c>
      <c r="S7" s="6">
        <v>252.66399999999999</v>
      </c>
      <c r="T7" s="3">
        <v>591.70600000000002</v>
      </c>
      <c r="U7" s="3">
        <v>1031.4559999999999</v>
      </c>
      <c r="V7" s="3">
        <v>1539.403</v>
      </c>
      <c r="W7" s="3">
        <v>2709.7310000000002</v>
      </c>
      <c r="X7" s="3">
        <v>4552.7730000000001</v>
      </c>
      <c r="Y7" s="3">
        <v>5944.8419999999996</v>
      </c>
    </row>
    <row r="8" spans="1:89" s="3" customFormat="1" x14ac:dyDescent="0.2">
      <c r="B8" s="3" t="s">
        <v>18</v>
      </c>
      <c r="C8" s="6">
        <v>37.326000000000001</v>
      </c>
      <c r="D8" s="6">
        <v>48.051000000000002</v>
      </c>
      <c r="E8" s="6">
        <v>43.387999999999998</v>
      </c>
      <c r="F8" s="6">
        <v>35.652999999999999</v>
      </c>
      <c r="G8" s="6">
        <v>37.451000000000001</v>
      </c>
      <c r="H8" s="6">
        <v>44.921999999999997</v>
      </c>
      <c r="I8" s="6">
        <v>42.341000000000001</v>
      </c>
      <c r="J8" s="6">
        <v>32.463999999999999</v>
      </c>
      <c r="K8" s="6">
        <v>32.500999999999998</v>
      </c>
      <c r="L8" s="6">
        <v>42.96</v>
      </c>
      <c r="M8" s="6"/>
      <c r="N8" s="6"/>
      <c r="O8" s="6"/>
      <c r="P8" s="6"/>
      <c r="Q8" s="6">
        <v>16.376999999999999</v>
      </c>
      <c r="R8" s="6">
        <v>44.307000000000002</v>
      </c>
      <c r="S8" s="6">
        <v>41.414999999999999</v>
      </c>
      <c r="T8" s="3">
        <v>68.503</v>
      </c>
      <c r="U8" s="3">
        <v>84.504999999999995</v>
      </c>
      <c r="V8" s="3">
        <v>91.653999999999996</v>
      </c>
      <c r="W8" s="3">
        <v>145.679</v>
      </c>
      <c r="X8" s="3">
        <v>164.41800000000001</v>
      </c>
      <c r="Y8" s="3">
        <v>157.178</v>
      </c>
    </row>
    <row r="9" spans="1:89" s="3" customFormat="1" x14ac:dyDescent="0.2">
      <c r="B9" s="3" t="s">
        <v>50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>
        <v>142.28299999999999</v>
      </c>
      <c r="R9" s="6">
        <v>78.903000000000006</v>
      </c>
      <c r="S9" s="6"/>
    </row>
    <row r="10" spans="1:89" s="3" customFormat="1" x14ac:dyDescent="0.2">
      <c r="B10" s="3" t="s">
        <v>19</v>
      </c>
      <c r="C10" s="6">
        <v>1730.7929999999999</v>
      </c>
      <c r="D10" s="6">
        <v>1785.885</v>
      </c>
      <c r="E10" s="6">
        <v>1762.752</v>
      </c>
      <c r="F10" s="6">
        <v>1833.4259999999999</v>
      </c>
      <c r="G10" s="6">
        <v>2163.7510000000002</v>
      </c>
      <c r="H10" s="6">
        <v>2390.884</v>
      </c>
      <c r="I10" s="6">
        <v>2423.5839999999998</v>
      </c>
      <c r="J10" s="6">
        <v>2520.0830000000001</v>
      </c>
      <c r="K10" s="6">
        <v>2731.1239999999998</v>
      </c>
      <c r="L10" s="6">
        <v>2611.7429999999999</v>
      </c>
      <c r="M10" s="6"/>
      <c r="N10" s="6"/>
      <c r="O10" s="6"/>
      <c r="P10" s="6"/>
      <c r="Q10" s="6"/>
      <c r="R10" s="6"/>
      <c r="S10" s="6"/>
      <c r="T10" s="3">
        <v>166.517</v>
      </c>
      <c r="U10" s="3">
        <v>516.46500000000003</v>
      </c>
      <c r="V10" s="3">
        <v>4571.5429999999997</v>
      </c>
      <c r="W10" s="3">
        <v>10012.647000000001</v>
      </c>
      <c r="X10" s="3">
        <v>7112.8559999999998</v>
      </c>
      <c r="Y10" s="3">
        <v>9498.3019999999997</v>
      </c>
    </row>
    <row r="11" spans="1:89" s="7" customFormat="1" x14ac:dyDescent="0.2">
      <c r="B11" s="7" t="s">
        <v>8</v>
      </c>
      <c r="C11" s="8">
        <f t="shared" ref="C11" si="2">SUM(C6:C10)</f>
        <v>3960.6449999999995</v>
      </c>
      <c r="D11" s="8">
        <f t="shared" ref="D11" si="3">SUM(D6:D10)</f>
        <v>4404.4989999999998</v>
      </c>
      <c r="E11" s="8">
        <f t="shared" ref="E11" si="4">SUM(E6:E10)</f>
        <v>4515.5409999999993</v>
      </c>
      <c r="F11" s="8">
        <f t="shared" ref="F11" si="5">SUM(F6:F10)</f>
        <v>4650.902</v>
      </c>
      <c r="G11" s="8">
        <f t="shared" ref="G11:K11" si="6">SUM(G6:G10)</f>
        <v>4990.1310000000003</v>
      </c>
      <c r="H11" s="8">
        <f t="shared" si="6"/>
        <v>5534.9570000000003</v>
      </c>
      <c r="I11" s="8">
        <f t="shared" si="6"/>
        <v>5617.4930000000004</v>
      </c>
      <c r="J11" s="8">
        <f t="shared" si="6"/>
        <v>5773.5079999999998</v>
      </c>
      <c r="K11" s="8">
        <f t="shared" si="6"/>
        <v>5957.1280000000006</v>
      </c>
      <c r="L11" s="8">
        <f>SUM(L6:L10)</f>
        <v>6155.5630000000001</v>
      </c>
      <c r="M11" s="8"/>
      <c r="N11" s="8"/>
      <c r="O11" s="8"/>
      <c r="P11" s="8"/>
      <c r="Q11" s="7">
        <f t="shared" ref="Q11:U11" si="7">SUM(Q6:Q10)</f>
        <v>1267.1172999999999</v>
      </c>
      <c r="R11" s="7">
        <f t="shared" si="7"/>
        <v>1708.721</v>
      </c>
      <c r="S11" s="7">
        <f t="shared" si="7"/>
        <v>2214.2529999999997</v>
      </c>
      <c r="T11" s="7">
        <f t="shared" si="7"/>
        <v>3298.1770000000001</v>
      </c>
      <c r="U11" s="7">
        <f t="shared" si="7"/>
        <v>4713.5</v>
      </c>
      <c r="V11" s="7">
        <f>SUM(V6:V10)</f>
        <v>9497.5779999999995</v>
      </c>
      <c r="W11" s="7">
        <f>SUM(W6:W10)</f>
        <v>17661.203000000001</v>
      </c>
      <c r="X11" s="7">
        <f>SUM(X6:X10)</f>
        <v>17531.587</v>
      </c>
      <c r="Y11" s="7">
        <f>SUM(Y6:Y10)</f>
        <v>21915.623</v>
      </c>
      <c r="Z11" s="7">
        <f>SUM(Z6:Z10)</f>
        <v>0</v>
      </c>
      <c r="AA11" s="7">
        <f>SUM(AA6:AA10)</f>
        <v>0</v>
      </c>
      <c r="AB11" s="7">
        <f>SUM(AB6:AB10)</f>
        <v>0</v>
      </c>
      <c r="AC11" s="7">
        <f>SUM(AC6:AC10)</f>
        <v>0</v>
      </c>
      <c r="AD11" s="7">
        <f>SUM(AD6:AD10)</f>
        <v>0</v>
      </c>
      <c r="AE11" s="7">
        <f>SUM(AE6:AE10)</f>
        <v>0</v>
      </c>
      <c r="AF11" s="7">
        <f>SUM(AF6:AF10)</f>
        <v>0</v>
      </c>
    </row>
    <row r="12" spans="1:89" s="3" customFormat="1" x14ac:dyDescent="0.2">
      <c r="B12" s="3" t="s">
        <v>16</v>
      </c>
      <c r="C12" s="6">
        <v>716.23599999999999</v>
      </c>
      <c r="D12" s="6">
        <v>875.76199999999994</v>
      </c>
      <c r="E12" s="6">
        <v>901.99</v>
      </c>
      <c r="F12" s="6">
        <f>+X12-E12-D12-C12</f>
        <v>870.03999999999962</v>
      </c>
      <c r="G12" s="6">
        <v>820.78700000000003</v>
      </c>
      <c r="H12" s="6">
        <v>950.52300000000002</v>
      </c>
      <c r="I12" s="6">
        <v>984.65800000000002</v>
      </c>
      <c r="J12" s="6">
        <f>+Y12-I12-H12-G12</f>
        <v>946.048</v>
      </c>
      <c r="K12" s="6">
        <v>873.16499999999996</v>
      </c>
      <c r="L12" s="6">
        <v>1000.0549999999999</v>
      </c>
      <c r="M12" s="6"/>
      <c r="N12" s="6"/>
      <c r="O12" s="6"/>
      <c r="P12" s="6"/>
      <c r="Q12" s="6">
        <v>672.66700000000003</v>
      </c>
      <c r="R12" s="6">
        <v>943.2</v>
      </c>
      <c r="S12" s="6">
        <v>1230.29</v>
      </c>
      <c r="T12" s="3">
        <v>1558.5619999999999</v>
      </c>
      <c r="U12" s="3">
        <v>1937.971</v>
      </c>
      <c r="V12" s="3">
        <v>1911.848</v>
      </c>
      <c r="W12" s="3">
        <v>2719.502</v>
      </c>
      <c r="X12" s="3">
        <v>3364.0279999999998</v>
      </c>
      <c r="Y12" s="3">
        <v>3702.0160000000001</v>
      </c>
    </row>
    <row r="13" spans="1:89" s="3" customFormat="1" x14ac:dyDescent="0.2">
      <c r="B13" s="3" t="s">
        <v>50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v>165.43799999999999</v>
      </c>
      <c r="R13" s="6">
        <v>69.760999999999996</v>
      </c>
      <c r="S13" s="6"/>
    </row>
    <row r="14" spans="1:89" s="3" customFormat="1" x14ac:dyDescent="0.2">
      <c r="B14" s="3" t="s">
        <v>17</v>
      </c>
      <c r="C14" s="6">
        <v>182.857</v>
      </c>
      <c r="D14" s="6">
        <v>213.27099999999999</v>
      </c>
      <c r="E14" s="6">
        <v>225.90299999999999</v>
      </c>
      <c r="F14" s="6">
        <f>+X14-E14-D14-C14</f>
        <v>239.71400000000003</v>
      </c>
      <c r="G14" s="6">
        <v>264.09199999999998</v>
      </c>
      <c r="H14" s="6">
        <v>279.22300000000001</v>
      </c>
      <c r="I14" s="6">
        <v>259.262</v>
      </c>
      <c r="J14" s="6">
        <f>+Y14-I14-H14-G14</f>
        <v>272.55200000000002</v>
      </c>
      <c r="K14" s="6">
        <v>269.66800000000001</v>
      </c>
      <c r="L14" s="6">
        <v>291.80099999999999</v>
      </c>
      <c r="M14" s="6"/>
      <c r="N14" s="6"/>
      <c r="O14" s="6"/>
      <c r="P14" s="6"/>
      <c r="Q14" s="6">
        <v>22.47</v>
      </c>
      <c r="R14" s="6">
        <v>43.131999999999998</v>
      </c>
      <c r="S14" s="6">
        <v>75.72</v>
      </c>
      <c r="T14" s="3">
        <v>169.88399999999999</v>
      </c>
      <c r="U14" s="3">
        <v>234.27</v>
      </c>
      <c r="V14" s="3">
        <v>222.71199999999999</v>
      </c>
      <c r="W14" s="3">
        <v>483.05599999999998</v>
      </c>
      <c r="X14" s="3">
        <v>861.745</v>
      </c>
      <c r="Y14" s="3">
        <v>1075.1289999999999</v>
      </c>
    </row>
    <row r="15" spans="1:89" s="3" customFormat="1" x14ac:dyDescent="0.2">
      <c r="B15" s="3" t="s">
        <v>18</v>
      </c>
      <c r="C15" s="6">
        <v>63.664000000000001</v>
      </c>
      <c r="D15" s="6">
        <v>83.494</v>
      </c>
      <c r="E15" s="6">
        <v>76.001999999999995</v>
      </c>
      <c r="F15" s="6">
        <f>+X15-E15-D15-C15</f>
        <v>63.834999999999994</v>
      </c>
      <c r="G15" s="6">
        <v>58.784999999999997</v>
      </c>
      <c r="H15" s="6">
        <v>74.084999999999994</v>
      </c>
      <c r="I15" s="6">
        <v>78.337999999999994</v>
      </c>
      <c r="J15" s="6">
        <f>+Y15-I15-H15-G15</f>
        <v>56.441999999999993</v>
      </c>
      <c r="K15" s="6">
        <v>50.784999999999997</v>
      </c>
      <c r="L15" s="6">
        <v>68.308999999999997</v>
      </c>
      <c r="M15" s="6"/>
      <c r="N15" s="6"/>
      <c r="O15" s="6"/>
      <c r="P15" s="6"/>
      <c r="Q15" s="6">
        <v>30.873999999999999</v>
      </c>
      <c r="R15" s="6">
        <v>68.561999999999998</v>
      </c>
      <c r="S15" s="6">
        <v>62.393000000000001</v>
      </c>
      <c r="T15" s="3">
        <v>94.114000000000004</v>
      </c>
      <c r="U15" s="3">
        <v>136.38499999999999</v>
      </c>
      <c r="V15" s="3">
        <v>143.90100000000001</v>
      </c>
      <c r="W15" s="3">
        <v>221.185</v>
      </c>
      <c r="X15" s="3">
        <v>286.995</v>
      </c>
      <c r="Y15" s="3">
        <v>267.64999999999998</v>
      </c>
    </row>
    <row r="16" spans="1:89" s="3" customFormat="1" x14ac:dyDescent="0.2">
      <c r="B16" s="3" t="s">
        <v>19</v>
      </c>
      <c r="C16" s="6">
        <v>1687.4590000000001</v>
      </c>
      <c r="D16" s="6">
        <v>1744.425</v>
      </c>
      <c r="E16" s="6">
        <v>1726.0509999999999</v>
      </c>
      <c r="F16" s="6">
        <f>+X16-E16-D16-C16</f>
        <v>1798.7980000000005</v>
      </c>
      <c r="G16" s="6">
        <v>2113.375</v>
      </c>
      <c r="H16" s="6">
        <v>2346.6329999999998</v>
      </c>
      <c r="I16" s="6">
        <v>2378.9059999999999</v>
      </c>
      <c r="J16" s="6">
        <f>+Y16-I16-H16-G16</f>
        <v>2454.1989999999996</v>
      </c>
      <c r="K16" s="6">
        <v>2651.01</v>
      </c>
      <c r="L16" s="6">
        <v>2544.3290000000002</v>
      </c>
      <c r="M16" s="6"/>
      <c r="N16" s="6"/>
      <c r="O16" s="6"/>
      <c r="P16" s="6"/>
      <c r="Q16" s="6">
        <v>0</v>
      </c>
      <c r="R16" s="6">
        <v>0</v>
      </c>
      <c r="S16" s="6">
        <v>0</v>
      </c>
      <c r="T16" s="3">
        <v>164.827</v>
      </c>
      <c r="U16" s="3">
        <v>508.23899999999998</v>
      </c>
      <c r="V16" s="3">
        <v>4474.5339999999997</v>
      </c>
      <c r="W16" s="3">
        <v>9794.9920000000002</v>
      </c>
      <c r="X16" s="3">
        <v>6956.7330000000002</v>
      </c>
      <c r="Y16" s="3">
        <v>9293.1129999999994</v>
      </c>
    </row>
    <row r="17" spans="2:25" s="3" customFormat="1" x14ac:dyDescent="0.2">
      <c r="B17" s="3" t="s">
        <v>20</v>
      </c>
      <c r="C17" s="6">
        <f t="shared" ref="C17:K17" si="8">SUM(C12:C16)</f>
        <v>2650.2159999999999</v>
      </c>
      <c r="D17" s="6">
        <f t="shared" si="8"/>
        <v>2916.9519999999998</v>
      </c>
      <c r="E17" s="6">
        <f t="shared" si="8"/>
        <v>2929.9459999999999</v>
      </c>
      <c r="F17" s="6">
        <f t="shared" si="8"/>
        <v>2972.3870000000002</v>
      </c>
      <c r="G17" s="6">
        <f t="shared" si="8"/>
        <v>3257.0389999999998</v>
      </c>
      <c r="H17" s="6">
        <f t="shared" si="8"/>
        <v>3650.4639999999999</v>
      </c>
      <c r="I17" s="6">
        <f t="shared" si="8"/>
        <v>3701.1639999999998</v>
      </c>
      <c r="J17" s="6">
        <f t="shared" si="8"/>
        <v>3729.2409999999995</v>
      </c>
      <c r="K17" s="6">
        <f t="shared" si="8"/>
        <v>3844.6280000000006</v>
      </c>
      <c r="L17" s="6">
        <f>SUM(L12:L16)</f>
        <v>3904.4940000000001</v>
      </c>
      <c r="M17" s="6"/>
      <c r="N17" s="6"/>
      <c r="O17" s="6"/>
      <c r="P17" s="6"/>
      <c r="Q17" s="3">
        <f t="shared" ref="Q17" si="9">SUM(Q12:Q16)</f>
        <v>891.44900000000007</v>
      </c>
      <c r="R17" s="3">
        <f t="shared" ref="R17" si="10">SUM(R12:R16)</f>
        <v>1124.655</v>
      </c>
      <c r="S17" s="3">
        <f t="shared" ref="S17:U17" si="11">SUM(S12:S16)</f>
        <v>1368.403</v>
      </c>
      <c r="T17" s="3">
        <f t="shared" si="11"/>
        <v>1987.3869999999999</v>
      </c>
      <c r="U17" s="3">
        <f t="shared" si="11"/>
        <v>2816.8650000000002</v>
      </c>
      <c r="V17" s="3">
        <f>SUM(V12:V16)</f>
        <v>6752.994999999999</v>
      </c>
      <c r="W17" s="3">
        <f>SUM(W12:W16)</f>
        <v>13218.735000000001</v>
      </c>
      <c r="X17" s="3">
        <f>SUM(X12:X16)</f>
        <v>11469.501</v>
      </c>
      <c r="Y17" s="3">
        <f>SUM(Y12:Y16)</f>
        <v>14337.907999999999</v>
      </c>
    </row>
    <row r="18" spans="2:25" x14ac:dyDescent="0.2">
      <c r="B18" t="s">
        <v>21</v>
      </c>
      <c r="C18" s="6">
        <f t="shared" ref="C18:K18" si="12">+C11-C17</f>
        <v>1310.4289999999996</v>
      </c>
      <c r="D18" s="6">
        <f t="shared" si="12"/>
        <v>1487.547</v>
      </c>
      <c r="E18" s="6">
        <f t="shared" si="12"/>
        <v>1585.5949999999993</v>
      </c>
      <c r="F18" s="6">
        <f t="shared" si="12"/>
        <v>1678.5149999999999</v>
      </c>
      <c r="G18" s="6">
        <f t="shared" si="12"/>
        <v>1733.0920000000006</v>
      </c>
      <c r="H18" s="6">
        <f t="shared" si="12"/>
        <v>1884.4930000000004</v>
      </c>
      <c r="I18" s="6">
        <f t="shared" si="12"/>
        <v>1916.3290000000006</v>
      </c>
      <c r="J18" s="6">
        <f t="shared" si="12"/>
        <v>2044.2670000000003</v>
      </c>
      <c r="K18" s="6">
        <f t="shared" si="12"/>
        <v>2112.5</v>
      </c>
      <c r="L18" s="12">
        <f>+L11-L17</f>
        <v>2251.069</v>
      </c>
      <c r="Q18" s="3">
        <f t="shared" ref="Q18" si="13">+Q11-Q17</f>
        <v>375.66829999999982</v>
      </c>
      <c r="R18" s="3">
        <f t="shared" ref="R18" si="14">+R11-R17</f>
        <v>584.06600000000003</v>
      </c>
      <c r="S18" s="3">
        <f t="shared" ref="S18:U18" si="15">+S11-S17</f>
        <v>845.84999999999968</v>
      </c>
      <c r="T18" s="3">
        <f t="shared" si="15"/>
        <v>1310.7900000000002</v>
      </c>
      <c r="U18" s="3">
        <f t="shared" si="15"/>
        <v>1896.6349999999998</v>
      </c>
      <c r="V18" s="3">
        <f>+V11-V17</f>
        <v>2744.5830000000005</v>
      </c>
      <c r="W18" s="3">
        <f>+W11-W17</f>
        <v>4442.4680000000008</v>
      </c>
      <c r="X18" s="3">
        <f>+X11-X17</f>
        <v>6062.0859999999993</v>
      </c>
      <c r="Y18" s="3">
        <f>+Y11-Y17</f>
        <v>7577.7150000000001</v>
      </c>
    </row>
    <row r="19" spans="2:25" x14ac:dyDescent="0.2">
      <c r="B19" s="3" t="s">
        <v>25</v>
      </c>
      <c r="C19" s="6">
        <v>458.22399999999999</v>
      </c>
      <c r="D19" s="6">
        <v>524.827</v>
      </c>
      <c r="E19" s="6">
        <v>548.03700000000003</v>
      </c>
      <c r="F19" s="6">
        <f t="shared" ref="F19:F22" si="16">+X19-E19-D19-C19</f>
        <v>604.52400000000011</v>
      </c>
      <c r="G19" s="6">
        <v>626.93700000000001</v>
      </c>
      <c r="H19" s="6">
        <v>694.67200000000003</v>
      </c>
      <c r="I19" s="6">
        <v>713.78800000000001</v>
      </c>
      <c r="J19" s="6">
        <f>+Y19-I19-H19-G19</f>
        <v>685.42199999999991</v>
      </c>
      <c r="K19" s="6">
        <v>720.57399999999996</v>
      </c>
      <c r="L19" s="6">
        <v>713.16300000000001</v>
      </c>
      <c r="Q19" s="6">
        <v>199.63800000000001</v>
      </c>
      <c r="R19" s="6">
        <v>268.53699999999998</v>
      </c>
      <c r="S19" s="6">
        <v>321.88799999999998</v>
      </c>
      <c r="T19" s="3">
        <v>497.47899999999998</v>
      </c>
      <c r="U19" s="3">
        <v>670.60599999999999</v>
      </c>
      <c r="V19" s="3">
        <v>881.82600000000002</v>
      </c>
      <c r="W19" s="3">
        <v>1383.8409999999999</v>
      </c>
      <c r="X19" s="3">
        <v>2135.6120000000001</v>
      </c>
      <c r="Y19" s="3">
        <v>2720.819</v>
      </c>
    </row>
    <row r="20" spans="2:25" x14ac:dyDescent="0.2">
      <c r="B20" s="3" t="s">
        <v>24</v>
      </c>
      <c r="C20" s="6">
        <v>501.56200000000001</v>
      </c>
      <c r="D20" s="6">
        <v>530.827</v>
      </c>
      <c r="E20" s="6">
        <v>485.83800000000002</v>
      </c>
      <c r="F20" s="6">
        <f t="shared" si="16"/>
        <v>539.72400000000005</v>
      </c>
      <c r="G20" s="6">
        <v>496.01100000000002</v>
      </c>
      <c r="H20" s="6">
        <v>537.60699999999997</v>
      </c>
      <c r="I20" s="6">
        <v>479.38099999999997</v>
      </c>
      <c r="J20" s="6">
        <f>+Y20-I20-H20-G20</f>
        <v>506.01000000000016</v>
      </c>
      <c r="K20" s="6">
        <v>443.88499999999999</v>
      </c>
      <c r="L20" s="6">
        <v>507.56200000000001</v>
      </c>
      <c r="Q20" s="6">
        <v>145.61799999999999</v>
      </c>
      <c r="R20" s="6">
        <v>173.876</v>
      </c>
      <c r="S20" s="6">
        <v>253.17</v>
      </c>
      <c r="T20" s="3">
        <v>411.15100000000001</v>
      </c>
      <c r="U20" s="3">
        <v>624.83199999999999</v>
      </c>
      <c r="V20" s="3">
        <v>1109.67</v>
      </c>
      <c r="W20" s="3">
        <v>1617.1890000000001</v>
      </c>
      <c r="X20" s="3">
        <v>2057.951</v>
      </c>
      <c r="Y20" s="3">
        <v>2019.009</v>
      </c>
    </row>
    <row r="21" spans="2:25" x14ac:dyDescent="0.2">
      <c r="B21" s="3" t="s">
        <v>26</v>
      </c>
      <c r="C21" s="6">
        <v>444.149</v>
      </c>
      <c r="D21" s="6">
        <v>395.72</v>
      </c>
      <c r="E21" s="6">
        <v>395.43700000000001</v>
      </c>
      <c r="F21" s="6">
        <f t="shared" si="16"/>
        <v>451.54299999999978</v>
      </c>
      <c r="G21" s="6">
        <v>432.82499999999999</v>
      </c>
      <c r="H21" s="6">
        <v>549.29300000000001</v>
      </c>
      <c r="I21" s="6">
        <v>480.88499999999999</v>
      </c>
      <c r="J21" s="6">
        <f>+Y21-I21-H21-G21</f>
        <v>746.18700000000013</v>
      </c>
      <c r="K21" s="6">
        <v>471.26</v>
      </c>
      <c r="L21" s="6">
        <v>473.56799999999998</v>
      </c>
      <c r="Q21" s="6">
        <v>143.46600000000001</v>
      </c>
      <c r="R21" s="6">
        <v>251.99299999999999</v>
      </c>
      <c r="S21" s="6">
        <v>250.553</v>
      </c>
      <c r="T21" s="3">
        <v>339.245</v>
      </c>
      <c r="U21" s="3">
        <v>436.25</v>
      </c>
      <c r="V21" s="3">
        <v>579.20299999999997</v>
      </c>
      <c r="W21" s="3">
        <v>982.81700000000001</v>
      </c>
      <c r="X21" s="3">
        <v>1686.8489999999999</v>
      </c>
      <c r="Y21" s="3">
        <v>2209.19</v>
      </c>
    </row>
    <row r="22" spans="2:25" x14ac:dyDescent="0.2">
      <c r="B22" s="3" t="s">
        <v>27</v>
      </c>
      <c r="C22" s="6">
        <v>91.15</v>
      </c>
      <c r="D22" s="6">
        <v>156.697</v>
      </c>
      <c r="E22" s="6">
        <v>147.58600000000001</v>
      </c>
      <c r="F22" s="6">
        <f t="shared" si="16"/>
        <v>155.24999999999997</v>
      </c>
      <c r="G22" s="6">
        <v>127.896</v>
      </c>
      <c r="H22" s="6">
        <v>179.77099999999999</v>
      </c>
      <c r="I22" s="6">
        <v>177.33799999999999</v>
      </c>
      <c r="J22" s="6">
        <f>+Y22-I22-H22-G22</f>
        <v>175.65800000000007</v>
      </c>
      <c r="K22" s="6">
        <v>165.72900000000001</v>
      </c>
      <c r="L22" s="6">
        <v>191.81200000000001</v>
      </c>
      <c r="Q22" s="6">
        <v>54.009</v>
      </c>
      <c r="R22" s="6">
        <v>51.234999999999999</v>
      </c>
      <c r="S22" s="6">
        <v>67.018000000000001</v>
      </c>
      <c r="T22" s="3">
        <v>88.076999999999998</v>
      </c>
      <c r="U22" s="3">
        <v>126.959</v>
      </c>
      <c r="V22" s="3">
        <v>177.67</v>
      </c>
      <c r="W22" s="3">
        <v>187.99100000000001</v>
      </c>
      <c r="X22" s="3">
        <v>550.68299999999999</v>
      </c>
      <c r="Y22" s="3">
        <v>660.66300000000001</v>
      </c>
    </row>
    <row r="23" spans="2:25" x14ac:dyDescent="0.2">
      <c r="B23" t="s">
        <v>23</v>
      </c>
      <c r="C23" s="6">
        <f t="shared" ref="C23:G23" si="17">SUM(C19:C22)</f>
        <v>1495.085</v>
      </c>
      <c r="D23" s="6">
        <f t="shared" si="17"/>
        <v>1608.0709999999999</v>
      </c>
      <c r="E23" s="6">
        <f t="shared" si="17"/>
        <v>1576.8979999999999</v>
      </c>
      <c r="F23" s="6">
        <f t="shared" si="17"/>
        <v>1751.0409999999997</v>
      </c>
      <c r="G23" s="6">
        <f t="shared" si="17"/>
        <v>1683.6690000000001</v>
      </c>
      <c r="H23" s="6">
        <f t="shared" ref="H23:K23" si="18">SUM(H19:H22)</f>
        <v>1961.3430000000001</v>
      </c>
      <c r="I23" s="6">
        <f t="shared" si="18"/>
        <v>1851.3919999999998</v>
      </c>
      <c r="J23" s="6">
        <f t="shared" si="18"/>
        <v>2113.277</v>
      </c>
      <c r="K23" s="6">
        <f t="shared" si="18"/>
        <v>1801.4479999999999</v>
      </c>
      <c r="L23" s="6">
        <f>SUM(L19:L22)</f>
        <v>1886.105</v>
      </c>
      <c r="Q23" s="3">
        <f t="shared" ref="Q23" si="19">SUM(Q19:Q22)</f>
        <v>542.73099999999999</v>
      </c>
      <c r="R23" s="3">
        <f t="shared" ref="R23" si="20">SUM(R19:R22)</f>
        <v>745.64099999999996</v>
      </c>
      <c r="S23" s="3">
        <f t="shared" ref="S23:U23" si="21">SUM(S19:S22)</f>
        <v>892.62900000000002</v>
      </c>
      <c r="T23" s="3">
        <f t="shared" si="21"/>
        <v>1335.952</v>
      </c>
      <c r="U23" s="3">
        <f t="shared" si="21"/>
        <v>1858.6470000000002</v>
      </c>
      <c r="V23" s="3">
        <f>SUM(V19:V22)</f>
        <v>2748.3690000000001</v>
      </c>
      <c r="W23" s="3">
        <f>SUM(W19:W22)</f>
        <v>4171.8379999999997</v>
      </c>
      <c r="X23" s="3">
        <f t="shared" ref="X23:Y23" si="22">SUM(X19:X22)</f>
        <v>6431.0950000000003</v>
      </c>
      <c r="Y23" s="3">
        <f t="shared" si="22"/>
        <v>7609.6810000000005</v>
      </c>
    </row>
    <row r="24" spans="2:25" x14ac:dyDescent="0.2">
      <c r="B24" t="s">
        <v>22</v>
      </c>
      <c r="C24" s="6">
        <f t="shared" ref="C24:G24" si="23">+C18-C23</f>
        <v>-184.6560000000004</v>
      </c>
      <c r="D24" s="6">
        <f t="shared" si="23"/>
        <v>-120.52399999999989</v>
      </c>
      <c r="E24" s="6">
        <f t="shared" si="23"/>
        <v>8.6969999999994343</v>
      </c>
      <c r="F24" s="6">
        <f t="shared" si="23"/>
        <v>-72.52599999999984</v>
      </c>
      <c r="G24" s="6">
        <f t="shared" si="23"/>
        <v>49.423000000000457</v>
      </c>
      <c r="H24" s="6">
        <f t="shared" ref="H24:K24" si="24">+H18-H23</f>
        <v>-76.849999999999682</v>
      </c>
      <c r="I24" s="6">
        <f t="shared" si="24"/>
        <v>64.937000000000808</v>
      </c>
      <c r="J24" s="6">
        <f t="shared" si="24"/>
        <v>-69.009999999999764</v>
      </c>
      <c r="K24" s="6">
        <f t="shared" si="24"/>
        <v>311.05200000000013</v>
      </c>
      <c r="L24" s="6">
        <f>+L18-L23</f>
        <v>364.96399999999994</v>
      </c>
      <c r="Q24" s="3">
        <f t="shared" ref="Q24" si="25">+Q18-Q23</f>
        <v>-167.06270000000018</v>
      </c>
      <c r="R24" s="3">
        <f t="shared" ref="R24" si="26">+R18-R23</f>
        <v>-161.57499999999993</v>
      </c>
      <c r="S24" s="3">
        <f t="shared" ref="S24:U24" si="27">+S18-S23</f>
        <v>-46.779000000000337</v>
      </c>
      <c r="T24" s="3">
        <f t="shared" si="27"/>
        <v>-25.161999999999807</v>
      </c>
      <c r="U24" s="3">
        <f t="shared" si="27"/>
        <v>37.987999999999602</v>
      </c>
      <c r="V24" s="3">
        <f>+V18-V23</f>
        <v>-3.7859999999996035</v>
      </c>
      <c r="W24" s="3">
        <f>+W18-W23</f>
        <v>270.63000000000102</v>
      </c>
      <c r="X24" s="3">
        <f t="shared" ref="X24:Y24" si="28">+X18-X23</f>
        <v>-369.00900000000092</v>
      </c>
      <c r="Y24" s="3">
        <f t="shared" si="28"/>
        <v>-31.966000000000349</v>
      </c>
    </row>
    <row r="25" spans="2:25" x14ac:dyDescent="0.2">
      <c r="B25" s="3" t="s">
        <v>30</v>
      </c>
      <c r="C25" s="6">
        <f>15.748-33.472</f>
        <v>-17.724000000000004</v>
      </c>
      <c r="D25" s="6">
        <f>-12.966+18.766</f>
        <v>5.7999999999999989</v>
      </c>
      <c r="E25" s="6">
        <f>-6.042+18.798</f>
        <v>12.755999999999998</v>
      </c>
      <c r="F25" s="6">
        <f t="shared" ref="F25" si="29">+X25-E25-D25-C25</f>
        <v>58.383000000000003</v>
      </c>
      <c r="G25" s="6">
        <f>3.161-18.371</f>
        <v>-15.209999999999999</v>
      </c>
      <c r="H25" s="6">
        <f>3.944+14.635</f>
        <v>18.579000000000001</v>
      </c>
      <c r="I25" s="6">
        <f>21.415+4.262</f>
        <v>25.677</v>
      </c>
      <c r="J25" s="6">
        <f>+Y25-I25-H25-G25</f>
        <v>220.65</v>
      </c>
      <c r="K25" s="6">
        <f>18.745+237.824</f>
        <v>256.56900000000002</v>
      </c>
      <c r="L25" s="6">
        <f>1.871-59.532</f>
        <v>-57.660999999999994</v>
      </c>
      <c r="Q25" s="6">
        <v>1.613</v>
      </c>
      <c r="R25" s="6">
        <v>-0.78</v>
      </c>
      <c r="S25" s="6">
        <f>-10.053+1.595</f>
        <v>-8.4580000000000002</v>
      </c>
      <c r="T25" s="3">
        <f>-17.982+18.469</f>
        <v>0.48700000000000188</v>
      </c>
      <c r="U25" s="3">
        <f>-21.516+0.273</f>
        <v>-21.242999999999999</v>
      </c>
      <c r="V25" s="3">
        <f>-56.943+291.725</f>
        <v>234.78200000000004</v>
      </c>
      <c r="W25" s="3">
        <f>-33.124+29.474</f>
        <v>-3.6500000000000021</v>
      </c>
      <c r="X25" s="3">
        <f>-36.228+95.443</f>
        <v>59.214999999999996</v>
      </c>
      <c r="Y25" s="3">
        <f>47.221+202.475</f>
        <v>249.696</v>
      </c>
    </row>
    <row r="26" spans="2:25" x14ac:dyDescent="0.2">
      <c r="B26" s="3" t="s">
        <v>31</v>
      </c>
      <c r="C26" s="6">
        <f t="shared" ref="C26:K26" si="30">+C24+C25</f>
        <v>-202.38000000000039</v>
      </c>
      <c r="D26" s="6">
        <f t="shared" si="30"/>
        <v>-114.72399999999989</v>
      </c>
      <c r="E26" s="6">
        <f t="shared" si="30"/>
        <v>21.452999999999435</v>
      </c>
      <c r="F26" s="6">
        <f t="shared" si="30"/>
        <v>-14.142999999999837</v>
      </c>
      <c r="G26" s="6">
        <f t="shared" si="30"/>
        <v>34.213000000000456</v>
      </c>
      <c r="H26" s="6">
        <f t="shared" si="30"/>
        <v>-58.270999999999681</v>
      </c>
      <c r="I26" s="6">
        <f t="shared" si="30"/>
        <v>90.6140000000008</v>
      </c>
      <c r="J26" s="6">
        <f t="shared" si="30"/>
        <v>151.64000000000024</v>
      </c>
      <c r="K26" s="6">
        <f t="shared" si="30"/>
        <v>567.62100000000009</v>
      </c>
      <c r="L26" s="6">
        <f>+L24+L25</f>
        <v>307.30299999999994</v>
      </c>
      <c r="Q26" s="3">
        <f t="shared" ref="Q26" si="31">+Q24+Q25</f>
        <v>-165.44970000000018</v>
      </c>
      <c r="R26" s="3">
        <f t="shared" ref="R26" si="32">+R24+R25</f>
        <v>-162.35499999999993</v>
      </c>
      <c r="S26" s="3">
        <f t="shared" ref="S26:U26" si="33">+S24+S25</f>
        <v>-55.237000000000336</v>
      </c>
      <c r="T26" s="3">
        <f t="shared" si="33"/>
        <v>-24.674999999999805</v>
      </c>
      <c r="U26" s="3">
        <f t="shared" si="33"/>
        <v>16.744999999999603</v>
      </c>
      <c r="V26" s="3">
        <f>+V24+V25</f>
        <v>230.99600000000044</v>
      </c>
      <c r="W26" s="3">
        <f>+W24+W25</f>
        <v>266.98000000000104</v>
      </c>
      <c r="X26" s="3">
        <f>+X24+X25</f>
        <v>-309.79400000000095</v>
      </c>
      <c r="Y26" s="3">
        <f>+Y24+Y25</f>
        <v>217.72999999999965</v>
      </c>
    </row>
    <row r="27" spans="2:25" x14ac:dyDescent="0.2">
      <c r="B27" s="3" t="s">
        <v>32</v>
      </c>
      <c r="C27" s="6">
        <v>-1.702</v>
      </c>
      <c r="D27" s="6">
        <v>1.304</v>
      </c>
      <c r="E27" s="6">
        <v>-17.289000000000001</v>
      </c>
      <c r="F27" s="6">
        <f t="shared" ref="F27" si="34">+X27-E27-D27-C27</f>
        <v>5.3750000000000018</v>
      </c>
      <c r="G27" s="6">
        <v>-2.056</v>
      </c>
      <c r="H27" s="6">
        <v>-8.15</v>
      </c>
      <c r="I27" s="6">
        <v>49.529000000000003</v>
      </c>
      <c r="J27" s="6">
        <f>+Y27-I27-H27-G27</f>
        <v>-47.342000000000006</v>
      </c>
      <c r="K27" s="6">
        <v>35.491999999999997</v>
      </c>
      <c r="L27" s="6">
        <f>59.029-5.396</f>
        <v>53.633000000000003</v>
      </c>
      <c r="Q27" s="6">
        <v>3.746</v>
      </c>
      <c r="R27" s="6">
        <v>1.917</v>
      </c>
      <c r="S27" s="3">
        <v>0.14899999999999999</v>
      </c>
      <c r="T27" s="3">
        <v>2.3260000000000001</v>
      </c>
      <c r="U27" s="3">
        <v>2.7669999999999999</v>
      </c>
      <c r="V27" s="3">
        <v>2.8620000000000001</v>
      </c>
      <c r="W27" s="3">
        <v>-1.3640000000000001</v>
      </c>
      <c r="X27" s="3">
        <v>-12.311999999999999</v>
      </c>
      <c r="Y27" s="3">
        <v>-8.0190000000000001</v>
      </c>
    </row>
    <row r="28" spans="2:25" x14ac:dyDescent="0.2">
      <c r="B28" t="s">
        <v>28</v>
      </c>
      <c r="C28" s="6">
        <f t="shared" ref="C28:K28" si="35">+C26-C27</f>
        <v>-200.6780000000004</v>
      </c>
      <c r="D28" s="6">
        <f t="shared" si="35"/>
        <v>-116.02799999999989</v>
      </c>
      <c r="E28" s="6">
        <f t="shared" si="35"/>
        <v>38.741999999999436</v>
      </c>
      <c r="F28" s="6">
        <f t="shared" si="35"/>
        <v>-19.517999999999837</v>
      </c>
      <c r="G28" s="6">
        <f t="shared" si="35"/>
        <v>36.269000000000453</v>
      </c>
      <c r="H28" s="6">
        <f t="shared" si="35"/>
        <v>-50.120999999999682</v>
      </c>
      <c r="I28" s="6">
        <f t="shared" si="35"/>
        <v>41.085000000000797</v>
      </c>
      <c r="J28" s="6">
        <f t="shared" si="35"/>
        <v>198.98200000000026</v>
      </c>
      <c r="K28" s="6">
        <f t="shared" si="35"/>
        <v>532.12900000000013</v>
      </c>
      <c r="L28" s="6">
        <f>+L26-L27</f>
        <v>253.66999999999993</v>
      </c>
      <c r="Q28" s="3">
        <f t="shared" ref="Q28" si="36">+Q26-Q27</f>
        <v>-169.19570000000019</v>
      </c>
      <c r="R28" s="3">
        <f t="shared" ref="R28" si="37">+R26-R27</f>
        <v>-164.27199999999993</v>
      </c>
      <c r="S28" s="3">
        <f t="shared" ref="S28:U28" si="38">+S26-S27</f>
        <v>-55.386000000000337</v>
      </c>
      <c r="T28" s="3">
        <f t="shared" si="38"/>
        <v>-27.000999999999806</v>
      </c>
      <c r="U28" s="3">
        <f t="shared" si="38"/>
        <v>13.977999999999604</v>
      </c>
      <c r="V28" s="3">
        <f>+V26-V27</f>
        <v>228.13400000000044</v>
      </c>
      <c r="W28" s="3">
        <f>+W26-W27</f>
        <v>268.34400000000102</v>
      </c>
      <c r="X28" s="3">
        <f>+X26-X27</f>
        <v>-297.48200000000094</v>
      </c>
      <c r="Y28" s="3">
        <f>+Y26-Y27</f>
        <v>225.74899999999965</v>
      </c>
    </row>
    <row r="29" spans="2:25" x14ac:dyDescent="0.2">
      <c r="B29" t="s">
        <v>29</v>
      </c>
      <c r="C29" s="9">
        <f>+C28/C30</f>
        <v>-0.3706409818353088</v>
      </c>
      <c r="D29" s="9">
        <f>+D28/D30</f>
        <v>-0.19958372753074721</v>
      </c>
      <c r="E29" s="9">
        <f>+E28/E30</f>
        <v>6.5368365639003417E-2</v>
      </c>
      <c r="F29" s="9">
        <f>+F28/F30</f>
        <v>-3.371281408206913E-2</v>
      </c>
      <c r="G29" s="9">
        <f>+G28/G30</f>
        <v>5.8162638575064998E-2</v>
      </c>
      <c r="H29" s="9">
        <f>+H28/H30</f>
        <v>-8.2613583169053956E-2</v>
      </c>
      <c r="I29" s="9">
        <f>+I28/I30</f>
        <v>6.7211865016785874E-2</v>
      </c>
      <c r="J29" s="9">
        <f>+J28/J30</f>
        <v>0.32406225163837288</v>
      </c>
      <c r="K29" s="9">
        <f>+K28/K30</f>
        <v>0.83489550646416488</v>
      </c>
      <c r="L29" s="9">
        <f>+L28/L30</f>
        <v>0.39997098803098591</v>
      </c>
      <c r="Q29" s="1">
        <f>+Q28/Q30</f>
        <v>-0.99236178723504198</v>
      </c>
      <c r="R29" s="1">
        <f>+R28/R30</f>
        <v>-0.48095328717190478</v>
      </c>
      <c r="S29" s="1">
        <f>+S28/S30</f>
        <v>-0.1460046817664187</v>
      </c>
      <c r="T29" s="1">
        <f>+T28/T30</f>
        <v>-6.6549018931261861E-2</v>
      </c>
      <c r="U29" s="1">
        <f>+U28/U30</f>
        <v>2.9990816948308009E-2</v>
      </c>
      <c r="V29" s="1">
        <f>+V28/V30</f>
        <v>0.47314312261104652</v>
      </c>
      <c r="W29" s="1">
        <f>+W28/W30</f>
        <v>0.53478523413694279</v>
      </c>
      <c r="X29" s="1">
        <f>+X28/X30</f>
        <v>-0.51383109738509081</v>
      </c>
      <c r="Y29" s="1">
        <f>+Y28/Y30</f>
        <v>0.36765501022761271</v>
      </c>
    </row>
    <row r="30" spans="2:25" x14ac:dyDescent="0.2">
      <c r="B30" t="s">
        <v>1</v>
      </c>
      <c r="C30" s="6">
        <v>541.43499999999995</v>
      </c>
      <c r="D30" s="6">
        <v>581.35</v>
      </c>
      <c r="E30" s="6">
        <v>592.67200000000003</v>
      </c>
      <c r="F30" s="6">
        <f>+X30</f>
        <v>578.94899999999996</v>
      </c>
      <c r="G30" s="6">
        <v>623.57899999999995</v>
      </c>
      <c r="H30" s="6">
        <v>606.69200000000001</v>
      </c>
      <c r="I30" s="6">
        <v>611.27599999999995</v>
      </c>
      <c r="J30" s="6">
        <f>+Y30</f>
        <v>614.024</v>
      </c>
      <c r="K30" s="6">
        <v>637.36</v>
      </c>
      <c r="L30" s="6">
        <v>634.221</v>
      </c>
      <c r="Q30" s="6">
        <v>170.49799999999999</v>
      </c>
      <c r="R30" s="6">
        <v>341.55500000000001</v>
      </c>
      <c r="S30" s="3">
        <v>379.34399999999999</v>
      </c>
      <c r="T30" s="3">
        <v>405.73099999999999</v>
      </c>
      <c r="U30" s="3">
        <v>466.07600000000002</v>
      </c>
      <c r="V30" s="3">
        <v>482.16699999999997</v>
      </c>
      <c r="W30" s="3">
        <v>501.779</v>
      </c>
      <c r="X30" s="3">
        <v>578.94899999999996</v>
      </c>
      <c r="Y30" s="3">
        <v>614.024</v>
      </c>
    </row>
    <row r="32" spans="2:25" x14ac:dyDescent="0.2">
      <c r="B32" t="s">
        <v>33</v>
      </c>
      <c r="G32" s="10">
        <f t="shared" ref="G32:H32" si="39">+G11/C11-1</f>
        <v>0.25992887522108155</v>
      </c>
      <c r="H32" s="10">
        <f t="shared" si="39"/>
        <v>0.25665983804287396</v>
      </c>
      <c r="I32" s="10">
        <f>+I11/E11-1</f>
        <v>0.24403543229925306</v>
      </c>
      <c r="J32" s="10">
        <f>+J11/F11-1</f>
        <v>0.24137382383030204</v>
      </c>
      <c r="K32" s="10">
        <f>+K11/G11-1</f>
        <v>0.1937818866879446</v>
      </c>
      <c r="L32" s="10">
        <f>+L11/H11-1</f>
        <v>0.11212480964170091</v>
      </c>
      <c r="R32" s="13">
        <f t="shared" ref="R32:T32" si="40">+R11/Q11-1</f>
        <v>0.34851051279940704</v>
      </c>
      <c r="S32" s="13">
        <f t="shared" si="40"/>
        <v>0.29585403351395567</v>
      </c>
      <c r="T32" s="13">
        <f>+T11/S11-1</f>
        <v>0.4895212967985143</v>
      </c>
      <c r="U32" s="13">
        <f>+U11/T11-1</f>
        <v>0.42912281542197395</v>
      </c>
      <c r="V32" s="13">
        <f>+V11/U11-1</f>
        <v>1.0149735865068421</v>
      </c>
      <c r="W32" s="13">
        <f>+W11/V11-1</f>
        <v>0.85954808689120554</v>
      </c>
      <c r="X32" s="13">
        <f>+X11/W11-1</f>
        <v>-7.3390244141354755E-3</v>
      </c>
      <c r="Y32" s="13">
        <f>+Y11/X11-1</f>
        <v>0.25006498270806854</v>
      </c>
    </row>
    <row r="33" spans="2:25" s="4" customFormat="1" x14ac:dyDescent="0.2">
      <c r="B33" s="4" t="s">
        <v>39</v>
      </c>
      <c r="C33" s="5"/>
      <c r="D33" s="5"/>
      <c r="E33" s="5"/>
      <c r="F33" s="5"/>
      <c r="G33" s="14">
        <f t="shared" ref="G33:H33" si="41">SUM(G6:G8)/SUM(C6:C8)-1</f>
        <v>0.26751909992232692</v>
      </c>
      <c r="H33" s="14">
        <f t="shared" si="41"/>
        <v>0.20066302249968859</v>
      </c>
      <c r="I33" s="14">
        <f>SUM(I6:I8)/SUM(E6:E8)-1</f>
        <v>0.16024475540987715</v>
      </c>
      <c r="J33" s="14">
        <f>SUM(J6:J8)/SUM(F6:F8)-1</f>
        <v>0.15473033310665318</v>
      </c>
      <c r="K33" s="14">
        <f>SUM(K6:K8)/SUM(G6:G8)-1</f>
        <v>0.14139075425102088</v>
      </c>
      <c r="L33" s="14">
        <f>SUM(L6:L8)/SUM(H6:H8)-1</f>
        <v>0.12714304025383649</v>
      </c>
      <c r="M33" s="5"/>
      <c r="N33" s="5"/>
      <c r="O33" s="5"/>
      <c r="P33" s="5"/>
      <c r="Q33" s="5"/>
      <c r="R33" s="14">
        <f t="shared" ref="R33:T33" si="42">SUM(R6:R8)/SUM(Q6:Q8)-1</f>
        <v>0.44894052395094985</v>
      </c>
      <c r="S33" s="14">
        <f t="shared" si="42"/>
        <v>0.35858911853961595</v>
      </c>
      <c r="T33" s="14">
        <f t="shared" ref="T33:W33" si="43">SUM(T6:T8)/SUM(S6:S8)-1</f>
        <v>0.41431895993818268</v>
      </c>
      <c r="U33" s="14">
        <f t="shared" si="43"/>
        <v>0.34019497646615515</v>
      </c>
      <c r="V33" s="14">
        <f t="shared" si="43"/>
        <v>0.17369404829838198</v>
      </c>
      <c r="W33" s="14">
        <f>SUM(W6:W8)/SUM(V6:V8)-1</f>
        <v>0.55267999516852817</v>
      </c>
      <c r="X33" s="14">
        <f>SUM(X6:X8)/SUM(W6:W8)-1</f>
        <v>0.36218274403691342</v>
      </c>
      <c r="Y33" s="14">
        <f>SUM(Y6:Y8)/SUM(X6:X8)-1</f>
        <v>0.19182662456684985</v>
      </c>
    </row>
    <row r="34" spans="2:25" x14ac:dyDescent="0.2">
      <c r="B34" t="s">
        <v>34</v>
      </c>
      <c r="C34" s="10">
        <f t="shared" ref="C34:E34" si="44">C18/C11</f>
        <v>0.33086252365460672</v>
      </c>
      <c r="D34" s="10">
        <f t="shared" si="44"/>
        <v>0.33773353110081306</v>
      </c>
      <c r="E34" s="10">
        <f t="shared" si="44"/>
        <v>0.35114175687918669</v>
      </c>
      <c r="F34" s="10">
        <f t="shared" ref="F34:G34" si="45">F18/F11</f>
        <v>0.36090096071686739</v>
      </c>
      <c r="G34" s="10">
        <f t="shared" si="45"/>
        <v>0.34730390845450759</v>
      </c>
      <c r="H34" s="10">
        <f>H18/H11</f>
        <v>0.34047111838447891</v>
      </c>
      <c r="I34" s="10">
        <f>I18/I11</f>
        <v>0.34113598361404285</v>
      </c>
      <c r="J34" s="10">
        <f t="shared" ref="J34:K34" si="46">J18/J11</f>
        <v>0.35407710528850056</v>
      </c>
      <c r="K34" s="10">
        <f t="shared" si="46"/>
        <v>0.35461719137141251</v>
      </c>
      <c r="L34" s="10">
        <f t="shared" ref="L34" si="47">L18/L11</f>
        <v>0.36569668769534158</v>
      </c>
      <c r="R34" s="10">
        <f>R18/R11</f>
        <v>0.34181472575101496</v>
      </c>
      <c r="S34" s="10">
        <f t="shared" ref="R34:S34" si="48">S18/S11</f>
        <v>0.38200241797120738</v>
      </c>
      <c r="T34" s="10">
        <f t="shared" ref="T34:U34" si="49">T18/T11</f>
        <v>0.39742864012452944</v>
      </c>
      <c r="U34" s="10">
        <f t="shared" si="49"/>
        <v>0.40238357908136202</v>
      </c>
      <c r="V34" s="10">
        <f t="shared" ref="V34:W34" si="50">V18/V11</f>
        <v>0.28897714764753718</v>
      </c>
      <c r="W34" s="10">
        <f t="shared" si="50"/>
        <v>0.25153824459183216</v>
      </c>
      <c r="X34" s="10">
        <f t="shared" ref="X34:Y34" si="51">X18/X11</f>
        <v>0.34578078983950511</v>
      </c>
      <c r="Y34" s="10">
        <f t="shared" si="51"/>
        <v>0.3457677201328021</v>
      </c>
    </row>
    <row r="35" spans="2:25" x14ac:dyDescent="0.2">
      <c r="B35" t="s">
        <v>35</v>
      </c>
      <c r="C35" s="10">
        <f t="shared" ref="C35:E35" si="52">(C10-C16)/C10</f>
        <v>2.5037078379679046E-2</v>
      </c>
      <c r="D35" s="10">
        <f t="shared" si="52"/>
        <v>2.3215380609613742E-2</v>
      </c>
      <c r="E35" s="10">
        <f t="shared" si="52"/>
        <v>2.0820285553498179E-2</v>
      </c>
      <c r="F35" s="10">
        <f t="shared" ref="F35:G35" si="53">(F10-F16)/F10</f>
        <v>1.8887045345707693E-2</v>
      </c>
      <c r="G35" s="10">
        <f t="shared" si="53"/>
        <v>2.3281791666416422E-2</v>
      </c>
      <c r="H35" s="10">
        <f>(H10-H16)/H10</f>
        <v>1.850821704440709E-2</v>
      </c>
      <c r="I35" s="10">
        <f>(I10-I16)/I10</f>
        <v>1.843468185959302E-2</v>
      </c>
      <c r="J35" s="10">
        <f t="shared" ref="J35:K35" si="54">(J10-J16)/J10</f>
        <v>2.6143583366103604E-2</v>
      </c>
      <c r="K35" s="10">
        <f t="shared" si="54"/>
        <v>2.9333710223336466E-2</v>
      </c>
      <c r="L35" s="10">
        <f t="shared" ref="L35" si="55">(L10-L16)/L10</f>
        <v>2.581188118432777E-2</v>
      </c>
      <c r="R35" s="10"/>
      <c r="S35" s="10"/>
      <c r="T35" s="10">
        <f t="shared" ref="T35:U35" si="56">(T10-T16)/T10</f>
        <v>1.0149113904286036E-2</v>
      </c>
      <c r="U35" s="10">
        <f t="shared" si="56"/>
        <v>1.5927507188289731E-2</v>
      </c>
      <c r="V35" s="10">
        <f t="shared" ref="V35:W35" si="57">(V10-V16)/V10</f>
        <v>2.1220187582179587E-2</v>
      </c>
      <c r="W35" s="10">
        <f t="shared" si="57"/>
        <v>2.1738007941356628E-2</v>
      </c>
      <c r="X35" s="10">
        <f t="shared" ref="X35:Y35" si="58">(X10-X16)/X10</f>
        <v>2.194941103826643E-2</v>
      </c>
      <c r="Y35" s="10">
        <f t="shared" si="58"/>
        <v>2.1602703304232727E-2</v>
      </c>
    </row>
    <row r="36" spans="2:25" x14ac:dyDescent="0.2">
      <c r="B36" t="s">
        <v>36</v>
      </c>
      <c r="C36" s="10">
        <f t="shared" ref="C36:D36" si="59">(C17-C16)/(C11-C10)</f>
        <v>0.43175825122026029</v>
      </c>
      <c r="D36" s="10">
        <f t="shared" si="59"/>
        <v>0.44776626108315315</v>
      </c>
      <c r="E36" s="10">
        <f>(E17-E16)/(E11-E10)</f>
        <v>0.43733646131250897</v>
      </c>
      <c r="F36" s="10">
        <f>(F17-F16)/(F11-F10)</f>
        <v>0.41653912934839538</v>
      </c>
      <c r="G36" s="10">
        <f>(G17-G16)/(G11-G10)</f>
        <v>0.40463914972508996</v>
      </c>
      <c r="H36" s="10">
        <f>(H17-H16)/(H11-H10)</f>
        <v>0.41469488780953878</v>
      </c>
      <c r="I36" s="10">
        <f>(I17-I16)/(I11-I10)</f>
        <v>0.4139936360115456</v>
      </c>
      <c r="J36" s="10">
        <f>(J17-J16)/(J11-J10)</f>
        <v>0.39190760506235739</v>
      </c>
      <c r="K36" s="10">
        <f>(K17-K16)/(K11-K10)</f>
        <v>0.36999892126606171</v>
      </c>
      <c r="L36" s="10">
        <f>(L17-L16)/(L11-L10)</f>
        <v>0.38381322979158083</v>
      </c>
      <c r="R36" s="10"/>
      <c r="S36" s="10"/>
      <c r="T36" s="10"/>
      <c r="U36" s="10"/>
      <c r="V36" s="10"/>
      <c r="W36" s="10"/>
      <c r="X36" s="10"/>
      <c r="Y36" s="10"/>
    </row>
    <row r="38" spans="2:25" s="4" customFormat="1" x14ac:dyDescent="0.2">
      <c r="B38" s="4" t="s">
        <v>40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8">
        <v>21.123000000000001</v>
      </c>
      <c r="R38" s="8">
        <v>23.131</v>
      </c>
      <c r="S38" s="7">
        <v>127.711</v>
      </c>
      <c r="T38" s="7">
        <v>295.08</v>
      </c>
      <c r="U38" s="7">
        <v>465.69900000000001</v>
      </c>
      <c r="V38" s="7">
        <v>381.60300000000001</v>
      </c>
      <c r="W38" s="7">
        <v>847.83</v>
      </c>
      <c r="X38" s="7">
        <v>175.90299999999999</v>
      </c>
      <c r="Y38" s="7">
        <v>100.961</v>
      </c>
    </row>
    <row r="39" spans="2:25" x14ac:dyDescent="0.2">
      <c r="B39" t="s">
        <v>41</v>
      </c>
      <c r="W39" s="3">
        <v>-163.97</v>
      </c>
      <c r="X39" s="3">
        <v>539.45299999999997</v>
      </c>
      <c r="Y39" s="3">
        <v>-4.9690000000000003</v>
      </c>
    </row>
    <row r="40" spans="2:25" x14ac:dyDescent="0.2">
      <c r="B40" t="s">
        <v>42</v>
      </c>
      <c r="W40" s="3">
        <v>-134.32</v>
      </c>
      <c r="X40" s="3">
        <v>-170.815</v>
      </c>
      <c r="Y40" s="3">
        <v>-151.15100000000001</v>
      </c>
    </row>
    <row r="42" spans="2:25" x14ac:dyDescent="0.2">
      <c r="B42" t="s">
        <v>47</v>
      </c>
      <c r="F42" s="6">
        <v>280.90100000000001</v>
      </c>
      <c r="G42" s="6">
        <v>368.36700000000002</v>
      </c>
      <c r="H42" s="6">
        <v>384.40199999999999</v>
      </c>
      <c r="I42" s="6">
        <v>477.488</v>
      </c>
      <c r="J42" s="6">
        <v>562.16300000000001</v>
      </c>
      <c r="K42" s="6">
        <v>705.07399999999996</v>
      </c>
      <c r="L42" s="6">
        <v>759.476</v>
      </c>
    </row>
  </sheetData>
  <hyperlinks>
    <hyperlink ref="A1" location="Main!A1" display="Main" xr:uid="{B99C79AD-9DA6-42BA-BD8E-7CD784C7C10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2024-09-05T15:26:28Z</dcterms:created>
  <dcterms:modified xsi:type="dcterms:W3CDTF">2024-09-05T18:12:14Z</dcterms:modified>
</cp:coreProperties>
</file>