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CFB52FC3-3E8B-4658-BDBB-D7AE75A5D5C5}" xr6:coauthVersionLast="47" xr6:coauthVersionMax="47" xr10:uidLastSave="{00000000-0000-0000-0000-000000000000}"/>
  <bookViews>
    <workbookView xWindow="-28620" yWindow="600" windowWidth="27675" windowHeight="19530" xr2:uid="{A78D39FC-A144-4ED2-83F9-E1606067542F}"/>
  </bookViews>
  <sheets>
    <sheet name="Main" sheetId="1" r:id="rId1"/>
    <sheet name="Model" sheetId="2" r:id="rId2"/>
    <sheet name="Xdemv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5" i="2" l="1"/>
  <c r="T24" i="2"/>
  <c r="J24" i="2"/>
  <c r="K24" i="2" s="1"/>
  <c r="L24" i="2" s="1"/>
  <c r="M24" i="2" s="1"/>
  <c r="N24" i="2" s="1"/>
  <c r="I24" i="2"/>
  <c r="H24" i="2"/>
  <c r="Y8" i="2"/>
  <c r="X8" i="2"/>
  <c r="W8" i="2"/>
  <c r="V8" i="2"/>
  <c r="U8" i="2"/>
  <c r="U12" i="2" s="1"/>
  <c r="U13" i="2" s="1"/>
  <c r="S22" i="2"/>
  <c r="S19" i="2"/>
  <c r="S20" i="2"/>
  <c r="S18" i="2"/>
  <c r="S17" i="2"/>
  <c r="S16" i="2"/>
  <c r="S15" i="2"/>
  <c r="S13" i="2"/>
  <c r="S14" i="2" s="1"/>
  <c r="S12" i="2"/>
  <c r="S11" i="2"/>
  <c r="S10" i="2"/>
  <c r="S9" i="2"/>
  <c r="S8" i="2"/>
  <c r="S3" i="2"/>
  <c r="V20" i="2"/>
  <c r="W20" i="2" s="1"/>
  <c r="X20" i="2" s="1"/>
  <c r="Y20" i="2" s="1"/>
  <c r="U20" i="2"/>
  <c r="T22" i="2"/>
  <c r="T8" i="2"/>
  <c r="T20" i="2"/>
  <c r="N17" i="2"/>
  <c r="M17" i="2"/>
  <c r="L17" i="2"/>
  <c r="K17" i="2"/>
  <c r="J17" i="2"/>
  <c r="I17" i="2"/>
  <c r="T17" i="2"/>
  <c r="T15" i="2"/>
  <c r="T13" i="2"/>
  <c r="T11" i="2"/>
  <c r="T12" i="2"/>
  <c r="T10" i="2"/>
  <c r="T14" i="2" s="1"/>
  <c r="T16" i="2" s="1"/>
  <c r="T18" i="2" s="1"/>
  <c r="T19" i="2" s="1"/>
  <c r="T9" i="2"/>
  <c r="T3" i="2"/>
  <c r="N12" i="2"/>
  <c r="N13" i="2" s="1"/>
  <c r="N14" i="2" s="1"/>
  <c r="N16" i="2" s="1"/>
  <c r="N18" i="2" s="1"/>
  <c r="N19" i="2" s="1"/>
  <c r="M12" i="2"/>
  <c r="L12" i="2"/>
  <c r="L13" i="2" s="1"/>
  <c r="L14" i="2" s="1"/>
  <c r="L16" i="2" s="1"/>
  <c r="K12" i="2"/>
  <c r="J12" i="2"/>
  <c r="J13" i="2" s="1"/>
  <c r="J14" i="2" s="1"/>
  <c r="J16" i="2" s="1"/>
  <c r="I12" i="2"/>
  <c r="K20" i="2"/>
  <c r="L20" i="2" s="1"/>
  <c r="M20" i="2" s="1"/>
  <c r="N20" i="2" s="1"/>
  <c r="J20" i="2"/>
  <c r="I20" i="2"/>
  <c r="K16" i="2"/>
  <c r="K18" i="2" s="1"/>
  <c r="K19" i="2" s="1"/>
  <c r="M16" i="2"/>
  <c r="M18" i="2" s="1"/>
  <c r="M19" i="2" s="1"/>
  <c r="I16" i="2"/>
  <c r="I18" i="2" s="1"/>
  <c r="I19" i="2" s="1"/>
  <c r="M13" i="2"/>
  <c r="M14" i="2" s="1"/>
  <c r="K13" i="2"/>
  <c r="K14" i="2" s="1"/>
  <c r="I13" i="2"/>
  <c r="I14" i="2" s="1"/>
  <c r="N10" i="2"/>
  <c r="M10" i="2"/>
  <c r="L10" i="2"/>
  <c r="K10" i="2"/>
  <c r="J10" i="2"/>
  <c r="N9" i="2"/>
  <c r="M9" i="2"/>
  <c r="L9" i="2"/>
  <c r="K9" i="2"/>
  <c r="J9" i="2"/>
  <c r="I9" i="2"/>
  <c r="I10" i="2"/>
  <c r="I22" i="2" s="1"/>
  <c r="N22" i="2"/>
  <c r="M22" i="2"/>
  <c r="L22" i="2"/>
  <c r="K22" i="2"/>
  <c r="J22" i="2"/>
  <c r="H22" i="2"/>
  <c r="G22" i="2"/>
  <c r="F22" i="2"/>
  <c r="E22" i="2"/>
  <c r="N8" i="2"/>
  <c r="M8" i="2"/>
  <c r="L8" i="2"/>
  <c r="K8" i="2"/>
  <c r="J8" i="2"/>
  <c r="I8" i="2"/>
  <c r="N4" i="2"/>
  <c r="M4" i="2"/>
  <c r="L4" i="2"/>
  <c r="K4" i="2"/>
  <c r="J4" i="2"/>
  <c r="I4" i="2"/>
  <c r="N3" i="2"/>
  <c r="M3" i="2"/>
  <c r="L3" i="2"/>
  <c r="K3" i="2"/>
  <c r="J3" i="2"/>
  <c r="I3" i="2"/>
  <c r="G4" i="2"/>
  <c r="E15" i="2"/>
  <c r="E13" i="2"/>
  <c r="E8" i="2"/>
  <c r="E10" i="2" s="1"/>
  <c r="E4" i="2"/>
  <c r="H4" i="2"/>
  <c r="F15" i="2"/>
  <c r="F13" i="2"/>
  <c r="F4" i="2"/>
  <c r="F8" i="2"/>
  <c r="F10" i="2" s="1"/>
  <c r="H15" i="2"/>
  <c r="H13" i="2"/>
  <c r="R2" i="2"/>
  <c r="S2" i="2" s="1"/>
  <c r="T2" i="2" s="1"/>
  <c r="U2" i="2" s="1"/>
  <c r="V2" i="2" s="1"/>
  <c r="W2" i="2" s="1"/>
  <c r="X2" i="2" s="1"/>
  <c r="Y2" i="2" s="1"/>
  <c r="Z2" i="2" s="1"/>
  <c r="H8" i="2"/>
  <c r="H10" i="2" s="1"/>
  <c r="H14" i="2" s="1"/>
  <c r="H16" i="2" s="1"/>
  <c r="H18" i="2" s="1"/>
  <c r="H19" i="2" s="1"/>
  <c r="G15" i="2"/>
  <c r="G13" i="2"/>
  <c r="G8" i="2"/>
  <c r="G10" i="2" s="1"/>
  <c r="G14" i="2" s="1"/>
  <c r="G16" i="2" s="1"/>
  <c r="G18" i="2" s="1"/>
  <c r="G19" i="2" s="1"/>
  <c r="J5" i="1"/>
  <c r="J4" i="1"/>
  <c r="J7" i="1" s="1"/>
  <c r="U10" i="2" l="1"/>
  <c r="U22" i="2" s="1"/>
  <c r="U9" i="2"/>
  <c r="L18" i="2"/>
  <c r="L19" i="2" s="1"/>
  <c r="J18" i="2"/>
  <c r="J19" i="2" s="1"/>
  <c r="E14" i="2"/>
  <c r="E16" i="2" s="1"/>
  <c r="E18" i="2" s="1"/>
  <c r="E19" i="2" s="1"/>
  <c r="F14" i="2"/>
  <c r="F16" i="2" s="1"/>
  <c r="F18" i="2" s="1"/>
  <c r="F19" i="2" s="1"/>
  <c r="V12" i="2" l="1"/>
  <c r="V13" i="2" s="1"/>
  <c r="V10" i="2"/>
  <c r="V22" i="2" s="1"/>
  <c r="U14" i="2"/>
  <c r="U16" i="2" s="1"/>
  <c r="U17" i="2" l="1"/>
  <c r="U18" i="2" s="1"/>
  <c r="U24" i="2" s="1"/>
  <c r="V14" i="2"/>
  <c r="V9" i="2"/>
  <c r="W10" i="2"/>
  <c r="W22" i="2" s="1"/>
  <c r="W12" i="2"/>
  <c r="W13" i="2" s="1"/>
  <c r="W14" i="2" s="1"/>
  <c r="V15" i="2" l="1"/>
  <c r="V16" i="2" s="1"/>
  <c r="V17" i="2" s="1"/>
  <c r="V18" i="2" s="1"/>
  <c r="V24" i="2" s="1"/>
  <c r="U19" i="2"/>
  <c r="X10" i="2"/>
  <c r="X22" i="2" s="1"/>
  <c r="X12" i="2"/>
  <c r="X13" i="2" s="1"/>
  <c r="W9" i="2"/>
  <c r="W15" i="2" l="1"/>
  <c r="W16" i="2" s="1"/>
  <c r="W17" i="2" s="1"/>
  <c r="W18" i="2" s="1"/>
  <c r="W19" i="2" s="1"/>
  <c r="X9" i="2"/>
  <c r="X14" i="2"/>
  <c r="V19" i="2"/>
  <c r="Y10" i="2"/>
  <c r="Y22" i="2" s="1"/>
  <c r="Y12" i="2"/>
  <c r="Y13" i="2" s="1"/>
  <c r="W24" i="2" l="1"/>
  <c r="Y14" i="2"/>
  <c r="Y9" i="2"/>
  <c r="X15" i="2" l="1"/>
  <c r="X16" i="2" s="1"/>
  <c r="X17" i="2" s="1"/>
  <c r="X18" i="2" s="1"/>
  <c r="X19" i="2" s="1"/>
  <c r="X24" i="2" l="1"/>
  <c r="Y15" i="2" l="1"/>
  <c r="Y16" i="2" s="1"/>
  <c r="Y17" i="2" s="1"/>
  <c r="Y18" i="2" s="1"/>
  <c r="Z18" i="2" l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Y19" i="2"/>
  <c r="AB25" i="2"/>
  <c r="AB26" i="2" s="1"/>
  <c r="Y24" i="2"/>
</calcChain>
</file>

<file path=xl/sharedStrings.xml><?xml version="1.0" encoding="utf-8"?>
<sst xmlns="http://schemas.openxmlformats.org/spreadsheetml/2006/main" count="73" uniqueCount="64">
  <si>
    <t>Price</t>
  </si>
  <si>
    <t>Shares</t>
  </si>
  <si>
    <t>MC</t>
  </si>
  <si>
    <t>Cash</t>
  </si>
  <si>
    <t>Debt</t>
  </si>
  <si>
    <t>EV</t>
  </si>
  <si>
    <t>Q124</t>
  </si>
  <si>
    <t>PIC</t>
  </si>
  <si>
    <t>AD</t>
  </si>
  <si>
    <t>Main</t>
  </si>
  <si>
    <t>Revenue</t>
  </si>
  <si>
    <t>Q224</t>
  </si>
  <si>
    <t>Q324</t>
  </si>
  <si>
    <t>Q123</t>
  </si>
  <si>
    <t>Q223</t>
  </si>
  <si>
    <t>Q323</t>
  </si>
  <si>
    <t>Q423</t>
  </si>
  <si>
    <t>Q424</t>
  </si>
  <si>
    <t>Product</t>
  </si>
  <si>
    <t>License</t>
  </si>
  <si>
    <t>Operating Expenses</t>
  </si>
  <si>
    <t>Operating Income</t>
  </si>
  <si>
    <t>COGS</t>
  </si>
  <si>
    <t>Gross Profit</t>
  </si>
  <si>
    <t>R&amp;D</t>
  </si>
  <si>
    <t>SG&amp;A</t>
  </si>
  <si>
    <t>Interest</t>
  </si>
  <si>
    <t>Pretax</t>
  </si>
  <si>
    <t>Taxes</t>
  </si>
  <si>
    <t>Net Income</t>
  </si>
  <si>
    <t>EPS</t>
  </si>
  <si>
    <t>Brand</t>
  </si>
  <si>
    <t>Xdemvy</t>
  </si>
  <si>
    <t>Xdemvy (lotilaner)</t>
  </si>
  <si>
    <t>Indication</t>
  </si>
  <si>
    <t>Demodex blepharitis</t>
  </si>
  <si>
    <t>Approval</t>
  </si>
  <si>
    <t>Lyme Disease</t>
  </si>
  <si>
    <t>Papulopustular Rosacea</t>
  </si>
  <si>
    <t>TP-04 (lotilaner)</t>
  </si>
  <si>
    <t>TP-05 (lotilaner)</t>
  </si>
  <si>
    <t>Generic</t>
  </si>
  <si>
    <t>Lotilaner</t>
  </si>
  <si>
    <t>7/24/2023 FDA</t>
  </si>
  <si>
    <t>Clinical Trials</t>
  </si>
  <si>
    <t>IP</t>
  </si>
  <si>
    <t>8383659 - composition of matter from Elanco, expires 2030</t>
  </si>
  <si>
    <t>12/17/2009 - application date - 12/17/2029</t>
  </si>
  <si>
    <t>2/26/2013 - issue date - 2/26/2030</t>
  </si>
  <si>
    <t>Q125</t>
  </si>
  <si>
    <t>Q225</t>
  </si>
  <si>
    <t>Q325</t>
  </si>
  <si>
    <t>Q425</t>
  </si>
  <si>
    <t>Bottles</t>
  </si>
  <si>
    <t>Gross Margin</t>
  </si>
  <si>
    <t>Maturity</t>
  </si>
  <si>
    <t>Discount</t>
  </si>
  <si>
    <t>NPV</t>
  </si>
  <si>
    <t>Share</t>
  </si>
  <si>
    <t>US10835517B2 - obvious method of use</t>
  </si>
  <si>
    <t>11197847 - obvious method of use</t>
  </si>
  <si>
    <t>11690826 - obvious method of use</t>
  </si>
  <si>
    <t>11752137 - continuation</t>
  </si>
  <si>
    <t>ROIC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</si>
</sst>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"/>
    <numFmt numFmtId="165" formatCode="0.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 applyBorder="1"/>
    <xf numFmtId="0" fontId="0" fillId="0" borderId="0" xfId="0" quotePrefix="1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0" fillId="0" borderId="0" xfId="0" applyNumberFormat="1"/>
    <xf numFmtId="164" fontId="1" fillId="0" borderId="0" xfId="0" applyNumberFormat="1" applyFont="1"/>
    <xf numFmtId="9" fontId="0" fillId="0" borderId="0" xfId="0" applyNumberFormat="1"/>
    <xf numFmtId="0" fontId="2" fillId="0" borderId="4" xfId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AFF06BC2-8201-4710-A150-19EC95A54F0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604156</xdr:colOff>
      <xdr:row>0</xdr:row>
      <xdr:rowOff>0</xdr:rowOff>
    </xdr:from>
    <xdr:to>
      <xdr:col>7</xdr:col>
      <xdr:colOff>604156</xdr:colOff>
      <xdr:row>41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8DC7086-058A-6B70-6DDE-6A1EBB69A788}"/>
            </a:ext>
          </a:extLst>
        </xdr:cNvPr>
        <xdr:cNvCxnSpPr/>
      </xdr:nvCxnSpPr>
      <xdr:spPr>
        <a:xfrm>
          <a:off x="5192485" y="0"/>
          <a:ext cx="0" cy="624295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27214</xdr:colOff>
      <xdr:row>0</xdr:row>
      <xdr:rowOff>38100</xdr:rowOff>
    </xdr:from>
    <xdr:to>
      <xdr:col>18</xdr:col>
      <xdr:colOff>27214</xdr:colOff>
      <xdr:row>32</xdr:row>
      <xdr:rowOff>10886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13B1849-4FF8-426D-4B77-91A0FA2159D4}"/>
            </a:ext>
          </a:extLst>
        </xdr:cNvPr>
        <xdr:cNvCxnSpPr/>
      </xdr:nvCxnSpPr>
      <xdr:spPr>
        <a:xfrm>
          <a:off x="11321143" y="38100"/>
          <a:ext cx="0" cy="519792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81DF0-2EE8-4720-AFD4-9D099EA9A3C1}">
  <dimension ref="B2:K10"/>
  <sheetViews>
    <sheetView tabSelected="1" zoomScale="190" zoomScaleNormal="190" workbookViewId="0">
      <selection activeCell="J7" sqref="J7"/>
    </sheetView>
  </sheetViews>
  <sheetFormatPr defaultRowHeight="12.75" x14ac:dyDescent="0.2"/>
  <cols>
    <col min="1" max="1" width="3.7109375" customWidth="1"/>
    <col min="2" max="2" width="16.42578125" customWidth="1"/>
    <col min="3" max="3" width="19" customWidth="1"/>
  </cols>
  <sheetData>
    <row r="2" spans="2:11" x14ac:dyDescent="0.2">
      <c r="B2" s="6" t="s">
        <v>31</v>
      </c>
      <c r="C2" s="7" t="s">
        <v>34</v>
      </c>
      <c r="D2" s="7" t="s">
        <v>36</v>
      </c>
      <c r="E2" s="7"/>
      <c r="F2" s="7"/>
      <c r="G2" s="8"/>
      <c r="I2" t="s">
        <v>0</v>
      </c>
      <c r="J2" s="1">
        <v>25.93</v>
      </c>
    </row>
    <row r="3" spans="2:11" x14ac:dyDescent="0.2">
      <c r="B3" s="26" t="s">
        <v>33</v>
      </c>
      <c r="C3" s="10" t="s">
        <v>35</v>
      </c>
      <c r="D3" s="15">
        <v>45131</v>
      </c>
      <c r="E3" s="10"/>
      <c r="F3" s="10"/>
      <c r="G3" s="11"/>
      <c r="I3" t="s">
        <v>1</v>
      </c>
      <c r="J3" s="2">
        <v>37.781692999999997</v>
      </c>
      <c r="K3" s="3" t="s">
        <v>6</v>
      </c>
    </row>
    <row r="4" spans="2:11" x14ac:dyDescent="0.2">
      <c r="B4" s="6"/>
      <c r="C4" s="7"/>
      <c r="D4" s="7"/>
      <c r="E4" s="7"/>
      <c r="F4" s="7"/>
      <c r="G4" s="8"/>
      <c r="I4" t="s">
        <v>2</v>
      </c>
      <c r="J4" s="2">
        <f>+J2*J3</f>
        <v>979.67929948999995</v>
      </c>
    </row>
    <row r="5" spans="2:11" x14ac:dyDescent="0.2">
      <c r="B5" s="9" t="s">
        <v>39</v>
      </c>
      <c r="C5" s="10" t="s">
        <v>38</v>
      </c>
      <c r="D5" s="10"/>
      <c r="E5" s="10"/>
      <c r="F5" s="10"/>
      <c r="G5" s="11"/>
      <c r="I5" t="s">
        <v>3</v>
      </c>
      <c r="J5" s="2">
        <f>193.705+104.819</f>
        <v>298.524</v>
      </c>
      <c r="K5" s="3" t="s">
        <v>6</v>
      </c>
    </row>
    <row r="6" spans="2:11" x14ac:dyDescent="0.2">
      <c r="B6" s="12" t="s">
        <v>40</v>
      </c>
      <c r="C6" s="13" t="s">
        <v>37</v>
      </c>
      <c r="D6" s="13"/>
      <c r="E6" s="13"/>
      <c r="F6" s="13"/>
      <c r="G6" s="14"/>
      <c r="I6" t="s">
        <v>4</v>
      </c>
      <c r="J6" s="2">
        <v>29.933</v>
      </c>
      <c r="K6" s="3" t="s">
        <v>6</v>
      </c>
    </row>
    <row r="7" spans="2:11" x14ac:dyDescent="0.2">
      <c r="I7" t="s">
        <v>5</v>
      </c>
      <c r="J7" s="2">
        <f>+J4-J5+J6</f>
        <v>711.08829948999994</v>
      </c>
    </row>
    <row r="9" spans="2:11" x14ac:dyDescent="0.2">
      <c r="I9" t="s">
        <v>7</v>
      </c>
      <c r="J9" s="2">
        <v>555.65499999999997</v>
      </c>
    </row>
    <row r="10" spans="2:11" x14ac:dyDescent="0.2">
      <c r="I10" t="s">
        <v>8</v>
      </c>
      <c r="J10" s="2">
        <v>275.21100000000001</v>
      </c>
    </row>
  </sheetData>
  <hyperlinks>
    <hyperlink ref="B3" location="Xdemvy!A1" display="Xdemvy (lotilaner)" xr:uid="{858C0F3B-F623-41B7-BA1A-8D132FA53B2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4CC2C-021D-4F80-96F6-D85DE8C5C4B9}">
  <dimension ref="A1:AP26"/>
  <sheetViews>
    <sheetView zoomScale="175" zoomScaleNormal="175" workbookViewId="0">
      <pane xSplit="2" ySplit="2" topLeftCell="R3" activePane="bottomRight" state="frozen"/>
      <selection pane="topRight" activeCell="C1" sqref="C1"/>
      <selection pane="bottomLeft" activeCell="A3" sqref="A3"/>
      <selection pane="bottomRight" activeCell="V26" sqref="V26"/>
    </sheetView>
  </sheetViews>
  <sheetFormatPr defaultRowHeight="12.75" x14ac:dyDescent="0.2"/>
  <cols>
    <col min="1" max="1" width="5" bestFit="1" customWidth="1"/>
    <col min="2" max="2" width="18.140625" bestFit="1" customWidth="1"/>
    <col min="3" max="10" width="9.140625" style="3"/>
    <col min="28" max="28" width="10" bestFit="1" customWidth="1"/>
  </cols>
  <sheetData>
    <row r="1" spans="1:26" x14ac:dyDescent="0.2">
      <c r="A1" s="27" t="s">
        <v>9</v>
      </c>
    </row>
    <row r="2" spans="1:26" x14ac:dyDescent="0.2">
      <c r="C2" s="3" t="s">
        <v>13</v>
      </c>
      <c r="D2" s="3" t="s">
        <v>14</v>
      </c>
      <c r="E2" s="3" t="s">
        <v>15</v>
      </c>
      <c r="F2" s="3" t="s">
        <v>16</v>
      </c>
      <c r="G2" s="3" t="s">
        <v>6</v>
      </c>
      <c r="H2" s="3" t="s">
        <v>11</v>
      </c>
      <c r="I2" s="3" t="s">
        <v>12</v>
      </c>
      <c r="J2" s="3" t="s">
        <v>17</v>
      </c>
      <c r="K2" s="3" t="s">
        <v>49</v>
      </c>
      <c r="L2" s="3" t="s">
        <v>50</v>
      </c>
      <c r="M2" s="3" t="s">
        <v>51</v>
      </c>
      <c r="N2" s="3" t="s">
        <v>52</v>
      </c>
      <c r="Q2">
        <v>2022</v>
      </c>
      <c r="R2">
        <f>+Q2+1</f>
        <v>2023</v>
      </c>
      <c r="S2">
        <f>+R2+1</f>
        <v>2024</v>
      </c>
      <c r="T2">
        <f>+S2+1</f>
        <v>2025</v>
      </c>
      <c r="U2">
        <f>+T2+1</f>
        <v>2026</v>
      </c>
      <c r="V2">
        <f>+U2+1</f>
        <v>2027</v>
      </c>
      <c r="W2">
        <f>+V2+1</f>
        <v>2028</v>
      </c>
      <c r="X2">
        <f>+W2+1</f>
        <v>2029</v>
      </c>
      <c r="Y2">
        <f>+X2+1</f>
        <v>2030</v>
      </c>
      <c r="Z2">
        <f>+Y2+1</f>
        <v>2031</v>
      </c>
    </row>
    <row r="3" spans="1:26" x14ac:dyDescent="0.2">
      <c r="B3" t="s">
        <v>53</v>
      </c>
      <c r="E3" s="3">
        <v>1.7</v>
      </c>
      <c r="F3" s="3">
        <v>17.399999999999999</v>
      </c>
      <c r="G3" s="4">
        <v>26</v>
      </c>
      <c r="H3" s="4">
        <v>37</v>
      </c>
      <c r="I3" s="4">
        <f>+H3+10</f>
        <v>47</v>
      </c>
      <c r="J3" s="4">
        <f>+I3+10</f>
        <v>57</v>
      </c>
      <c r="K3" s="4">
        <f>+J3+10</f>
        <v>67</v>
      </c>
      <c r="L3" s="4">
        <f>+K3+10</f>
        <v>77</v>
      </c>
      <c r="M3" s="4">
        <f>+L3+10</f>
        <v>87</v>
      </c>
      <c r="N3" s="4">
        <f>+M3+10</f>
        <v>97</v>
      </c>
      <c r="S3" s="23">
        <f>SUM(G3:J3)</f>
        <v>167</v>
      </c>
      <c r="T3" s="23">
        <f>SUM(K3:N3)</f>
        <v>328</v>
      </c>
    </row>
    <row r="4" spans="1:26" x14ac:dyDescent="0.2">
      <c r="B4" t="s">
        <v>0</v>
      </c>
      <c r="E4" s="20">
        <f t="shared" ref="E4" si="0">+E6*1000/E3</f>
        <v>1000</v>
      </c>
      <c r="F4" s="20">
        <f>+F6*1000/F3</f>
        <v>752.87356321839081</v>
      </c>
      <c r="G4" s="20">
        <f>+G6*1000/G3</f>
        <v>950.76923076923072</v>
      </c>
      <c r="H4" s="20">
        <f>+H6*1000/H3</f>
        <v>1102.7027027027027</v>
      </c>
      <c r="I4" s="20">
        <f>+H4</f>
        <v>1102.7027027027027</v>
      </c>
      <c r="J4" s="20">
        <f>+I4</f>
        <v>1102.7027027027027</v>
      </c>
      <c r="K4" s="20">
        <f>+J4</f>
        <v>1102.7027027027027</v>
      </c>
      <c r="L4" s="20">
        <f>+K4</f>
        <v>1102.7027027027027</v>
      </c>
      <c r="M4" s="20">
        <f>+L4</f>
        <v>1102.7027027027027</v>
      </c>
      <c r="N4" s="20">
        <f>+M4</f>
        <v>1102.7027027027027</v>
      </c>
    </row>
    <row r="5" spans="1:26" x14ac:dyDescent="0.2">
      <c r="K5" s="3"/>
      <c r="L5" s="3"/>
      <c r="M5" s="3"/>
      <c r="N5" s="3"/>
    </row>
    <row r="6" spans="1:26" x14ac:dyDescent="0.2">
      <c r="B6" t="s">
        <v>18</v>
      </c>
      <c r="E6" s="3">
        <v>1.7</v>
      </c>
      <c r="F6" s="3">
        <v>13.1</v>
      </c>
      <c r="G6" s="4">
        <v>24.72</v>
      </c>
      <c r="H6" s="3">
        <v>40.799999999999997</v>
      </c>
    </row>
    <row r="7" spans="1:26" x14ac:dyDescent="0.2">
      <c r="B7" t="s">
        <v>19</v>
      </c>
      <c r="E7" s="4">
        <v>0.218</v>
      </c>
      <c r="G7" s="4">
        <v>2.8940000000000001</v>
      </c>
    </row>
    <row r="8" spans="1:26" s="17" customFormat="1" x14ac:dyDescent="0.2">
      <c r="B8" s="17" t="s">
        <v>10</v>
      </c>
      <c r="C8" s="18"/>
      <c r="D8" s="18"/>
      <c r="E8" s="19">
        <f t="shared" ref="E8" si="1">+E6+E7</f>
        <v>1.9179999999999999</v>
      </c>
      <c r="F8" s="19">
        <f>+F6+F7</f>
        <v>13.1</v>
      </c>
      <c r="G8" s="19">
        <f>+G6+G7</f>
        <v>27.613999999999997</v>
      </c>
      <c r="H8" s="19">
        <f>+H6+H7</f>
        <v>40.799999999999997</v>
      </c>
      <c r="I8" s="19">
        <f>+I4*I3/1000</f>
        <v>51.827027027027029</v>
      </c>
      <c r="J8" s="19">
        <f t="shared" ref="J8:N8" si="2">+J4*J3/1000</f>
        <v>62.854054054054053</v>
      </c>
      <c r="K8" s="19">
        <f t="shared" si="2"/>
        <v>73.881081081081078</v>
      </c>
      <c r="L8" s="19">
        <f t="shared" si="2"/>
        <v>84.908108108108109</v>
      </c>
      <c r="M8" s="19">
        <f t="shared" si="2"/>
        <v>95.935135135135127</v>
      </c>
      <c r="N8" s="19">
        <f t="shared" si="2"/>
        <v>106.96216216216216</v>
      </c>
      <c r="S8" s="24">
        <f>SUM(G8:J8)</f>
        <v>183.09508108108108</v>
      </c>
      <c r="T8" s="24">
        <f>SUM(K8:N8)</f>
        <v>361.68648648648644</v>
      </c>
      <c r="U8" s="24">
        <f>+T8*1.3</f>
        <v>470.19243243243238</v>
      </c>
      <c r="V8" s="24">
        <f>+U8*1.3</f>
        <v>611.25016216216216</v>
      </c>
      <c r="W8" s="24">
        <f>+V8*1.3</f>
        <v>794.62521081081081</v>
      </c>
      <c r="X8" s="24">
        <f>+W8*1.3</f>
        <v>1033.012774054054</v>
      </c>
      <c r="Y8" s="24">
        <f>+X8*1.2</f>
        <v>1239.6153288648648</v>
      </c>
    </row>
    <row r="9" spans="1:26" x14ac:dyDescent="0.2">
      <c r="B9" t="s">
        <v>22</v>
      </c>
      <c r="E9" s="4">
        <v>0.377</v>
      </c>
      <c r="F9" s="4">
        <v>1.216</v>
      </c>
      <c r="G9" s="4">
        <v>1.6539999999999999</v>
      </c>
      <c r="H9" s="4">
        <v>3.004</v>
      </c>
      <c r="I9" s="4">
        <f>+I8-I10</f>
        <v>3.6278918918918919</v>
      </c>
      <c r="J9" s="4">
        <f t="shared" ref="J9:N9" si="3">+J8-J10</f>
        <v>4.3997837837837821</v>
      </c>
      <c r="K9" s="4">
        <f t="shared" si="3"/>
        <v>5.1716756756756723</v>
      </c>
      <c r="L9" s="4">
        <f t="shared" si="3"/>
        <v>5.9435675675675697</v>
      </c>
      <c r="M9" s="4">
        <f t="shared" si="3"/>
        <v>6.7154594594594528</v>
      </c>
      <c r="N9" s="4">
        <f t="shared" si="3"/>
        <v>7.4873513513513501</v>
      </c>
      <c r="S9" s="23">
        <f>SUM(G9:J9)</f>
        <v>12.685675675675673</v>
      </c>
      <c r="T9" s="23">
        <f>SUM(K9:N9)</f>
        <v>25.318054054054045</v>
      </c>
      <c r="U9" s="23">
        <f>+U8-U10</f>
        <v>32.913470270270238</v>
      </c>
      <c r="V9" s="23">
        <f t="shared" ref="V9:Y9" si="4">+V8-V10</f>
        <v>42.787511351351327</v>
      </c>
      <c r="W9" s="23">
        <f t="shared" si="4"/>
        <v>55.623764756756714</v>
      </c>
      <c r="X9" s="23">
        <f t="shared" si="4"/>
        <v>72.310894183783716</v>
      </c>
      <c r="Y9" s="23">
        <f t="shared" si="4"/>
        <v>86.773073020540551</v>
      </c>
    </row>
    <row r="10" spans="1:26" x14ac:dyDescent="0.2">
      <c r="B10" t="s">
        <v>23</v>
      </c>
      <c r="E10" s="4">
        <f t="shared" ref="E10" si="5">+E8-E9</f>
        <v>1.5409999999999999</v>
      </c>
      <c r="F10" s="4">
        <f>+F8-F9</f>
        <v>11.884</v>
      </c>
      <c r="G10" s="4">
        <f>+G8-G9</f>
        <v>25.959999999999997</v>
      </c>
      <c r="H10" s="4">
        <f>+H8-H9</f>
        <v>37.795999999999999</v>
      </c>
      <c r="I10" s="4">
        <f>+I8*0.93</f>
        <v>48.199135135135137</v>
      </c>
      <c r="J10" s="4">
        <f t="shared" ref="J10:N10" si="6">+J8*0.93</f>
        <v>58.454270270270271</v>
      </c>
      <c r="K10" s="4">
        <f t="shared" si="6"/>
        <v>68.709405405405406</v>
      </c>
      <c r="L10" s="4">
        <f t="shared" si="6"/>
        <v>78.96454054054054</v>
      </c>
      <c r="M10" s="4">
        <f t="shared" si="6"/>
        <v>89.219675675675674</v>
      </c>
      <c r="N10" s="4">
        <f t="shared" si="6"/>
        <v>99.474810810810808</v>
      </c>
      <c r="S10" s="23">
        <f>+S8-S9</f>
        <v>170.40940540540541</v>
      </c>
      <c r="T10" s="23">
        <f>+T8-T9</f>
        <v>336.36843243243243</v>
      </c>
      <c r="U10" s="23">
        <f>+U8*0.93</f>
        <v>437.27896216216214</v>
      </c>
      <c r="V10" s="23">
        <f t="shared" ref="V10:Y10" si="7">+V8*0.93</f>
        <v>568.46265081081083</v>
      </c>
      <c r="W10" s="23">
        <f t="shared" si="7"/>
        <v>739.0014460540541</v>
      </c>
      <c r="X10" s="23">
        <f t="shared" si="7"/>
        <v>960.70187987027032</v>
      </c>
      <c r="Y10" s="23">
        <f t="shared" si="7"/>
        <v>1152.8422558443242</v>
      </c>
    </row>
    <row r="11" spans="1:26" x14ac:dyDescent="0.2">
      <c r="B11" t="s">
        <v>24</v>
      </c>
      <c r="E11" s="4">
        <v>12.105</v>
      </c>
      <c r="F11" s="4">
        <v>13.305</v>
      </c>
      <c r="G11" s="4">
        <v>12.066000000000001</v>
      </c>
      <c r="H11" s="4">
        <v>12.319000000000001</v>
      </c>
      <c r="S11" s="23">
        <f t="shared" ref="S11:S12" si="8">SUM(G11:J11)</f>
        <v>24.385000000000002</v>
      </c>
      <c r="T11" s="23">
        <f>SUM(K11:N11)</f>
        <v>0</v>
      </c>
    </row>
    <row r="12" spans="1:26" x14ac:dyDescent="0.2">
      <c r="B12" t="s">
        <v>25</v>
      </c>
      <c r="E12" s="4">
        <v>30.324000000000002</v>
      </c>
      <c r="F12" s="4">
        <v>43.005000000000003</v>
      </c>
      <c r="G12" s="4">
        <v>51.578000000000003</v>
      </c>
      <c r="H12" s="4">
        <v>58.792000000000002</v>
      </c>
      <c r="I12" s="22">
        <f>+I10*0.3</f>
        <v>14.45974054054054</v>
      </c>
      <c r="J12" s="22">
        <f t="shared" ref="J12:N12" si="9">+J10*0.3</f>
        <v>17.536281081081082</v>
      </c>
      <c r="K12" s="22">
        <f t="shared" si="9"/>
        <v>20.61282162162162</v>
      </c>
      <c r="L12" s="22">
        <f t="shared" si="9"/>
        <v>23.689362162162162</v>
      </c>
      <c r="M12" s="22">
        <f t="shared" si="9"/>
        <v>26.7659027027027</v>
      </c>
      <c r="N12" s="22">
        <f t="shared" si="9"/>
        <v>29.842443243243242</v>
      </c>
      <c r="S12" s="23">
        <f t="shared" si="8"/>
        <v>142.36602162162163</v>
      </c>
      <c r="T12" s="23">
        <f>SUM(K12:N12)</f>
        <v>100.91052972972972</v>
      </c>
      <c r="U12" s="23">
        <f>+U8*0.3</f>
        <v>141.05772972972972</v>
      </c>
      <c r="V12" s="23">
        <f>+V8*0.25</f>
        <v>152.81254054054054</v>
      </c>
      <c r="W12" s="23">
        <f>+W8*0.2</f>
        <v>158.92504216216219</v>
      </c>
      <c r="X12" s="23">
        <f>+X8*0.15</f>
        <v>154.95191610810809</v>
      </c>
      <c r="Y12" s="23">
        <f>+Y8*0.1</f>
        <v>123.96153288648648</v>
      </c>
    </row>
    <row r="13" spans="1:26" x14ac:dyDescent="0.2">
      <c r="B13" t="s">
        <v>20</v>
      </c>
      <c r="E13" s="4">
        <f t="shared" ref="E13" si="10">+E12+E11</f>
        <v>42.429000000000002</v>
      </c>
      <c r="F13" s="4">
        <f>+F12+F11</f>
        <v>56.31</v>
      </c>
      <c r="G13" s="4">
        <f>+G12+G11</f>
        <v>63.644000000000005</v>
      </c>
      <c r="H13" s="4">
        <f>+H12+H11</f>
        <v>71.111000000000004</v>
      </c>
      <c r="I13" s="4">
        <f t="shared" ref="I13:N13" si="11">+I12+I11</f>
        <v>14.45974054054054</v>
      </c>
      <c r="J13" s="4">
        <f t="shared" si="11"/>
        <v>17.536281081081082</v>
      </c>
      <c r="K13" s="4">
        <f t="shared" si="11"/>
        <v>20.61282162162162</v>
      </c>
      <c r="L13" s="4">
        <f t="shared" si="11"/>
        <v>23.689362162162162</v>
      </c>
      <c r="M13" s="4">
        <f t="shared" si="11"/>
        <v>26.7659027027027</v>
      </c>
      <c r="N13" s="4">
        <f t="shared" si="11"/>
        <v>29.842443243243242</v>
      </c>
      <c r="S13" s="23">
        <f t="shared" ref="S13" si="12">+S12+S11</f>
        <v>166.75102162162162</v>
      </c>
      <c r="T13" s="23">
        <f>+T12+T11</f>
        <v>100.91052972972972</v>
      </c>
      <c r="U13" s="23">
        <f t="shared" ref="U13:Y13" si="13">+U12+U11</f>
        <v>141.05772972972972</v>
      </c>
      <c r="V13" s="23">
        <f t="shared" si="13"/>
        <v>152.81254054054054</v>
      </c>
      <c r="W13" s="23">
        <f t="shared" si="13"/>
        <v>158.92504216216219</v>
      </c>
      <c r="X13" s="23">
        <f t="shared" si="13"/>
        <v>154.95191610810809</v>
      </c>
      <c r="Y13" s="23">
        <f t="shared" si="13"/>
        <v>123.96153288648648</v>
      </c>
    </row>
    <row r="14" spans="1:26" x14ac:dyDescent="0.2">
      <c r="B14" t="s">
        <v>21</v>
      </c>
      <c r="E14" s="4">
        <f t="shared" ref="E14" si="14">+E10-E13</f>
        <v>-40.888000000000005</v>
      </c>
      <c r="F14" s="4">
        <f>+F10-F13</f>
        <v>-44.426000000000002</v>
      </c>
      <c r="G14" s="4">
        <f>+G10-G13</f>
        <v>-37.684000000000012</v>
      </c>
      <c r="H14" s="4">
        <f>+H10-H13</f>
        <v>-33.315000000000005</v>
      </c>
      <c r="I14" s="4">
        <f t="shared" ref="I14:N14" si="15">+I10-I13</f>
        <v>33.7393945945946</v>
      </c>
      <c r="J14" s="4">
        <f t="shared" si="15"/>
        <v>40.917989189189186</v>
      </c>
      <c r="K14" s="4">
        <f t="shared" si="15"/>
        <v>48.096583783783785</v>
      </c>
      <c r="L14" s="4">
        <f t="shared" si="15"/>
        <v>55.275178378378378</v>
      </c>
      <c r="M14" s="4">
        <f t="shared" si="15"/>
        <v>62.45377297297297</v>
      </c>
      <c r="N14" s="4">
        <f t="shared" si="15"/>
        <v>69.63236756756757</v>
      </c>
      <c r="S14" s="23">
        <f t="shared" ref="S14" si="16">+S10-S13</f>
        <v>3.6583837837837905</v>
      </c>
      <c r="T14" s="23">
        <f>+T10-T13</f>
        <v>235.45790270270271</v>
      </c>
      <c r="U14" s="23">
        <f t="shared" ref="U14:Y14" si="17">+U10-U13</f>
        <v>296.22123243243243</v>
      </c>
      <c r="V14" s="23">
        <f t="shared" si="17"/>
        <v>415.65011027027026</v>
      </c>
      <c r="W14" s="23">
        <f t="shared" si="17"/>
        <v>580.07640389189191</v>
      </c>
      <c r="X14" s="23">
        <f t="shared" si="17"/>
        <v>805.74996376216222</v>
      </c>
      <c r="Y14" s="23">
        <f t="shared" si="17"/>
        <v>1028.8807229578376</v>
      </c>
    </row>
    <row r="15" spans="1:26" x14ac:dyDescent="0.2">
      <c r="B15" t="s">
        <v>26</v>
      </c>
      <c r="E15" s="4">
        <f>2.84-0.858-0.048</f>
        <v>1.9339999999999997</v>
      </c>
      <c r="F15" s="4">
        <f>2.978-0.989-0.013</f>
        <v>1.9760000000000004</v>
      </c>
      <c r="G15" s="4">
        <f>3.117-0.983+0.605</f>
        <v>2.7389999999999999</v>
      </c>
      <c r="H15" s="4">
        <f>4.13-2.109</f>
        <v>2.0209999999999999</v>
      </c>
      <c r="S15" s="23">
        <f t="shared" ref="S15:S17" si="18">SUM(G15:J15)</f>
        <v>4.76</v>
      </c>
      <c r="T15" s="23">
        <f>SUM(K15:N15)</f>
        <v>0</v>
      </c>
      <c r="U15" s="23">
        <f>+T24*$AB$24</f>
        <v>25.854611459459463</v>
      </c>
      <c r="V15" s="23">
        <f t="shared" ref="V15:Y15" si="19">+U24*$AB$24</f>
        <v>38.737645215135139</v>
      </c>
      <c r="W15" s="23">
        <f t="shared" si="19"/>
        <v>56.913155434551356</v>
      </c>
      <c r="X15" s="23">
        <f t="shared" si="19"/>
        <v>82.392737807609095</v>
      </c>
      <c r="Y15" s="23">
        <f t="shared" si="19"/>
        <v>117.91844587039996</v>
      </c>
    </row>
    <row r="16" spans="1:26" x14ac:dyDescent="0.2">
      <c r="B16" t="s">
        <v>27</v>
      </c>
      <c r="E16" s="4">
        <f t="shared" ref="E16" si="20">+E14+E15</f>
        <v>-38.954000000000008</v>
      </c>
      <c r="F16" s="4">
        <f>+F14+F15</f>
        <v>-42.45</v>
      </c>
      <c r="G16" s="4">
        <f>+G14+G15</f>
        <v>-34.945000000000014</v>
      </c>
      <c r="H16" s="4">
        <f>+H14+H15</f>
        <v>-31.294000000000004</v>
      </c>
      <c r="I16" s="4">
        <f>+I14+I15</f>
        <v>33.7393945945946</v>
      </c>
      <c r="J16" s="4">
        <f t="shared" ref="J16:N16" si="21">+J14+J15</f>
        <v>40.917989189189186</v>
      </c>
      <c r="K16" s="4">
        <f t="shared" si="21"/>
        <v>48.096583783783785</v>
      </c>
      <c r="L16" s="4">
        <f t="shared" si="21"/>
        <v>55.275178378378378</v>
      </c>
      <c r="M16" s="4">
        <f t="shared" si="21"/>
        <v>62.45377297297297</v>
      </c>
      <c r="N16" s="4">
        <f t="shared" si="21"/>
        <v>69.63236756756757</v>
      </c>
      <c r="S16" s="23">
        <f>+S14+S15</f>
        <v>8.4183837837837903</v>
      </c>
      <c r="T16" s="23">
        <f>+T14+T15</f>
        <v>235.45790270270271</v>
      </c>
      <c r="U16" s="23">
        <f t="shared" ref="U16:Y16" si="22">+U14+U15</f>
        <v>322.07584389189191</v>
      </c>
      <c r="V16" s="23">
        <f t="shared" si="22"/>
        <v>454.38775548540542</v>
      </c>
      <c r="W16" s="23">
        <f t="shared" si="22"/>
        <v>636.98955932644321</v>
      </c>
      <c r="X16" s="23">
        <f t="shared" si="22"/>
        <v>888.14270156977136</v>
      </c>
      <c r="Y16" s="23">
        <f t="shared" si="22"/>
        <v>1146.7991688282375</v>
      </c>
    </row>
    <row r="17" spans="2:42" x14ac:dyDescent="0.2">
      <c r="B17" t="s">
        <v>28</v>
      </c>
      <c r="E17" s="4">
        <v>0</v>
      </c>
      <c r="F17" s="4">
        <v>0</v>
      </c>
      <c r="G17" s="4">
        <v>-6.0999999999999999E-2</v>
      </c>
      <c r="H17" s="4">
        <v>0</v>
      </c>
      <c r="I17" s="22">
        <f>+I16*0.2</f>
        <v>6.7478789189189206</v>
      </c>
      <c r="J17" s="22">
        <f t="shared" ref="J17:N17" si="23">+J16*0.2</f>
        <v>8.1835978378378371</v>
      </c>
      <c r="K17" s="22">
        <f t="shared" si="23"/>
        <v>9.6193167567567581</v>
      </c>
      <c r="L17" s="22">
        <f t="shared" si="23"/>
        <v>11.055035675675676</v>
      </c>
      <c r="M17" s="22">
        <f t="shared" si="23"/>
        <v>12.490754594594595</v>
      </c>
      <c r="N17" s="22">
        <f t="shared" si="23"/>
        <v>13.926473513513514</v>
      </c>
      <c r="S17" s="23">
        <f t="shared" si="18"/>
        <v>14.870476756756759</v>
      </c>
      <c r="T17" s="23">
        <f>SUM(K17:N17)</f>
        <v>47.091580540540548</v>
      </c>
      <c r="U17" s="23">
        <f>+U16*0.2</f>
        <v>64.415168778378387</v>
      </c>
      <c r="V17" s="23">
        <f t="shared" ref="V17:Y17" si="24">+V16*0.2</f>
        <v>90.877551097081096</v>
      </c>
      <c r="W17" s="23">
        <f t="shared" si="24"/>
        <v>127.39791186528865</v>
      </c>
      <c r="X17" s="23">
        <f t="shared" si="24"/>
        <v>177.62854031395429</v>
      </c>
      <c r="Y17" s="23">
        <f t="shared" si="24"/>
        <v>229.35983376564752</v>
      </c>
    </row>
    <row r="18" spans="2:42" x14ac:dyDescent="0.2">
      <c r="B18" t="s">
        <v>29</v>
      </c>
      <c r="E18" s="4">
        <f t="shared" ref="E18" si="25">+E16-E17</f>
        <v>-38.954000000000008</v>
      </c>
      <c r="F18" s="4">
        <f>+F16-F17</f>
        <v>-42.45</v>
      </c>
      <c r="G18" s="4">
        <f>+G16-G17</f>
        <v>-34.884000000000015</v>
      </c>
      <c r="H18" s="4">
        <f>+H16-H17</f>
        <v>-31.294000000000004</v>
      </c>
      <c r="I18" s="4">
        <f>+I16-I17</f>
        <v>26.991515675675679</v>
      </c>
      <c r="J18" s="4">
        <f t="shared" ref="J18:N18" si="26">+J16-J17</f>
        <v>32.734391351351348</v>
      </c>
      <c r="K18" s="4">
        <f t="shared" si="26"/>
        <v>38.477267027027025</v>
      </c>
      <c r="L18" s="4">
        <f t="shared" si="26"/>
        <v>44.220142702702702</v>
      </c>
      <c r="M18" s="4">
        <f t="shared" si="26"/>
        <v>49.963018378378379</v>
      </c>
      <c r="N18" s="4">
        <f t="shared" si="26"/>
        <v>55.705894054054056</v>
      </c>
      <c r="S18" s="23">
        <f>+S16-S17</f>
        <v>-6.4520929729729684</v>
      </c>
      <c r="T18" s="23">
        <f>+T16-T17</f>
        <v>188.36632216216216</v>
      </c>
      <c r="U18" s="23">
        <f t="shared" ref="U18:Y18" si="27">+U16-U17</f>
        <v>257.66067511351355</v>
      </c>
      <c r="V18" s="23">
        <f t="shared" si="27"/>
        <v>363.51020438832433</v>
      </c>
      <c r="W18" s="23">
        <f t="shared" si="27"/>
        <v>509.59164746115459</v>
      </c>
      <c r="X18" s="23">
        <f t="shared" si="27"/>
        <v>710.51416125581704</v>
      </c>
      <c r="Y18" s="23">
        <f t="shared" si="27"/>
        <v>917.43933506258998</v>
      </c>
      <c r="Z18" s="23">
        <f>+Y18*(1+$AB$22)</f>
        <v>458.71966753129499</v>
      </c>
      <c r="AA18" s="23">
        <f t="shared" ref="AA18:AP18" si="28">+Z18*(1+$AB$22)</f>
        <v>229.35983376564749</v>
      </c>
      <c r="AB18" s="23">
        <f t="shared" si="28"/>
        <v>114.67991688282375</v>
      </c>
      <c r="AC18" s="23">
        <f t="shared" si="28"/>
        <v>57.339958441411873</v>
      </c>
      <c r="AD18" s="23">
        <f t="shared" si="28"/>
        <v>28.669979220705937</v>
      </c>
      <c r="AE18" s="23">
        <f t="shared" si="28"/>
        <v>14.334989610352968</v>
      </c>
      <c r="AF18" s="23">
        <f t="shared" si="28"/>
        <v>7.1674948051764842</v>
      </c>
      <c r="AG18" s="23">
        <f t="shared" si="28"/>
        <v>3.5837474025882421</v>
      </c>
      <c r="AH18" s="23">
        <f t="shared" si="28"/>
        <v>1.791873701294121</v>
      </c>
      <c r="AI18" s="23">
        <f t="shared" si="28"/>
        <v>0.89593685064706052</v>
      </c>
      <c r="AJ18" s="23">
        <f t="shared" si="28"/>
        <v>0.44796842532353026</v>
      </c>
      <c r="AK18" s="23">
        <f t="shared" si="28"/>
        <v>0.22398421266176513</v>
      </c>
      <c r="AL18" s="23">
        <f t="shared" si="28"/>
        <v>0.11199210633088257</v>
      </c>
      <c r="AM18" s="23">
        <f t="shared" si="28"/>
        <v>5.5996053165441283E-2</v>
      </c>
      <c r="AN18" s="23">
        <f t="shared" si="28"/>
        <v>2.7998026582720641E-2</v>
      </c>
      <c r="AO18" s="23">
        <f t="shared" si="28"/>
        <v>1.3999013291360321E-2</v>
      </c>
      <c r="AP18" s="23">
        <f t="shared" si="28"/>
        <v>6.9995066456801603E-3</v>
      </c>
    </row>
    <row r="19" spans="2:42" x14ac:dyDescent="0.2">
      <c r="B19" t="s">
        <v>30</v>
      </c>
      <c r="E19" s="5">
        <f t="shared" ref="E19" si="29">+E18/E20</f>
        <v>-1.2720736819143088</v>
      </c>
      <c r="F19" s="5">
        <f>+F18/F20</f>
        <v>-1.328878194836834</v>
      </c>
      <c r="G19" s="5">
        <f>+G18/G20</f>
        <v>-0.98819696121785883</v>
      </c>
      <c r="H19" s="5">
        <f>+H18/H20</f>
        <v>-0.82737506865158783</v>
      </c>
      <c r="I19" s="5">
        <f>+I18/I20</f>
        <v>0.71362264763764849</v>
      </c>
      <c r="J19" s="5">
        <f t="shared" ref="J19:N19" si="30">+J18/J20</f>
        <v>0.86545725351799907</v>
      </c>
      <c r="K19" s="5">
        <f t="shared" si="30"/>
        <v>1.0172918593983498</v>
      </c>
      <c r="L19" s="5">
        <f t="shared" si="30"/>
        <v>1.1691264652787006</v>
      </c>
      <c r="M19" s="5">
        <f t="shared" si="30"/>
        <v>1.3209610711590514</v>
      </c>
      <c r="N19" s="5">
        <f t="shared" si="30"/>
        <v>1.472795677039402</v>
      </c>
      <c r="S19" s="1">
        <f>+S18/S20</f>
        <v>-0.17347792216648134</v>
      </c>
      <c r="T19" s="1">
        <f>+T18/T20</f>
        <v>4.9801750728755039</v>
      </c>
      <c r="U19" s="1">
        <f>+U18/U20</f>
        <v>6.8122329763167926</v>
      </c>
      <c r="V19" s="1">
        <f>+V18/V20</f>
        <v>9.6107650128249027</v>
      </c>
      <c r="W19" s="1">
        <f>+W18/W20</f>
        <v>13.472979622370055</v>
      </c>
      <c r="X19" s="1">
        <f>+X18/X20</f>
        <v>18.785125038248765</v>
      </c>
      <c r="Y19" s="1">
        <f>+Y18/Y20</f>
        <v>24.255973439990967</v>
      </c>
    </row>
    <row r="20" spans="2:42" x14ac:dyDescent="0.2">
      <c r="B20" t="s">
        <v>1</v>
      </c>
      <c r="E20" s="4">
        <v>30.622440000000001</v>
      </c>
      <c r="F20" s="4">
        <v>31.944237000000001</v>
      </c>
      <c r="G20" s="4">
        <v>35.300654999999999</v>
      </c>
      <c r="H20" s="4">
        <v>37.823233000000002</v>
      </c>
      <c r="I20" s="4">
        <f>+H20</f>
        <v>37.823233000000002</v>
      </c>
      <c r="J20" s="4">
        <f>+I20</f>
        <v>37.823233000000002</v>
      </c>
      <c r="K20" s="4">
        <f t="shared" ref="K20:N20" si="31">+J20</f>
        <v>37.823233000000002</v>
      </c>
      <c r="L20" s="4">
        <f t="shared" si="31"/>
        <v>37.823233000000002</v>
      </c>
      <c r="M20" s="4">
        <f t="shared" si="31"/>
        <v>37.823233000000002</v>
      </c>
      <c r="N20" s="4">
        <f t="shared" si="31"/>
        <v>37.823233000000002</v>
      </c>
      <c r="S20" s="23">
        <f>AVERAGE(G20:J20)</f>
        <v>37.192588499999999</v>
      </c>
      <c r="T20" s="23">
        <f>AVERAGE(K20:N20)</f>
        <v>37.823233000000002</v>
      </c>
      <c r="U20" s="23">
        <f>+T20</f>
        <v>37.823233000000002</v>
      </c>
      <c r="V20" s="23">
        <f t="shared" ref="V20:Y20" si="32">+U20</f>
        <v>37.823233000000002</v>
      </c>
      <c r="W20" s="23">
        <f t="shared" si="32"/>
        <v>37.823233000000002</v>
      </c>
      <c r="X20" s="23">
        <f t="shared" si="32"/>
        <v>37.823233000000002</v>
      </c>
      <c r="Y20" s="23">
        <f t="shared" si="32"/>
        <v>37.823233000000002</v>
      </c>
    </row>
    <row r="22" spans="2:42" x14ac:dyDescent="0.2">
      <c r="B22" t="s">
        <v>54</v>
      </c>
      <c r="E22" s="21">
        <f>+E10/E8</f>
        <v>0.80344108446298224</v>
      </c>
      <c r="F22" s="21">
        <f t="shared" ref="F22:N22" si="33">+F10/F8</f>
        <v>0.90717557251908398</v>
      </c>
      <c r="G22" s="21">
        <f t="shared" si="33"/>
        <v>0.94010284638226982</v>
      </c>
      <c r="H22" s="21">
        <f t="shared" si="33"/>
        <v>0.92637254901960786</v>
      </c>
      <c r="I22" s="21">
        <f t="shared" si="33"/>
        <v>0.93</v>
      </c>
      <c r="J22" s="21">
        <f t="shared" si="33"/>
        <v>0.93</v>
      </c>
      <c r="K22" s="21">
        <f t="shared" si="33"/>
        <v>0.93</v>
      </c>
      <c r="L22" s="21">
        <f t="shared" si="33"/>
        <v>0.92999999999999994</v>
      </c>
      <c r="M22" s="21">
        <f t="shared" si="33"/>
        <v>0.93</v>
      </c>
      <c r="N22" s="21">
        <f t="shared" si="33"/>
        <v>0.93</v>
      </c>
      <c r="S22" s="21">
        <f t="shared" ref="S22:Y22" si="34">+S10/S8</f>
        <v>0.93071536602308835</v>
      </c>
      <c r="T22" s="21">
        <f t="shared" si="34"/>
        <v>0.93</v>
      </c>
      <c r="U22" s="21">
        <f t="shared" si="34"/>
        <v>0.93</v>
      </c>
      <c r="V22" s="21">
        <f t="shared" si="34"/>
        <v>0.93</v>
      </c>
      <c r="W22" s="21">
        <f t="shared" si="34"/>
        <v>0.93</v>
      </c>
      <c r="X22" s="21">
        <f t="shared" si="34"/>
        <v>0.93</v>
      </c>
      <c r="Y22" s="21">
        <f t="shared" si="34"/>
        <v>0.92999999999999994</v>
      </c>
      <c r="AA22" t="s">
        <v>55</v>
      </c>
      <c r="AB22" s="25">
        <v>-0.5</v>
      </c>
    </row>
    <row r="23" spans="2:42" x14ac:dyDescent="0.2">
      <c r="AA23" t="s">
        <v>56</v>
      </c>
      <c r="AB23" s="25">
        <v>0.08</v>
      </c>
    </row>
    <row r="24" spans="2:42" x14ac:dyDescent="0.2">
      <c r="B24" t="s">
        <v>3</v>
      </c>
      <c r="H24" s="3">
        <f>299-30</f>
        <v>269</v>
      </c>
      <c r="I24" s="20">
        <f>+H24+I18</f>
        <v>295.99151567567566</v>
      </c>
      <c r="J24" s="20">
        <f t="shared" ref="J24:N24" si="35">+I24+J18</f>
        <v>328.72590702702701</v>
      </c>
      <c r="K24" s="20">
        <f t="shared" si="35"/>
        <v>367.20317405405405</v>
      </c>
      <c r="L24" s="20">
        <f t="shared" si="35"/>
        <v>411.42331675675678</v>
      </c>
      <c r="M24" s="20">
        <f t="shared" si="35"/>
        <v>461.38633513513514</v>
      </c>
      <c r="N24" s="20">
        <f t="shared" si="35"/>
        <v>517.0922291891892</v>
      </c>
      <c r="T24" s="2">
        <f>+N24</f>
        <v>517.0922291891892</v>
      </c>
      <c r="U24" s="2">
        <f>+T24+U18</f>
        <v>774.75290430270275</v>
      </c>
      <c r="V24" s="2">
        <f t="shared" ref="V24:Y24" si="36">+U24+V18</f>
        <v>1138.2631086910271</v>
      </c>
      <c r="W24" s="2">
        <f t="shared" si="36"/>
        <v>1647.8547561521818</v>
      </c>
      <c r="X24" s="2">
        <f t="shared" si="36"/>
        <v>2358.3689174079991</v>
      </c>
      <c r="Y24" s="2">
        <f t="shared" si="36"/>
        <v>3275.8082524705892</v>
      </c>
      <c r="AA24" t="s">
        <v>63</v>
      </c>
      <c r="AB24" s="25">
        <v>0.05</v>
      </c>
    </row>
    <row r="25" spans="2:42" x14ac:dyDescent="0.2">
      <c r="AA25" t="s">
        <v>57</v>
      </c>
      <c r="AB25" s="2">
        <f>NPV(AB23,T18:AP18)+Main!J5-Main!J6</f>
        <v>2887.1419531576039</v>
      </c>
    </row>
    <row r="26" spans="2:42" x14ac:dyDescent="0.2">
      <c r="AA26" t="s">
        <v>58</v>
      </c>
      <c r="AB26" s="1">
        <f>AB25/Main!J3</f>
        <v>76.416426155323535</v>
      </c>
    </row>
  </sheetData>
  <hyperlinks>
    <hyperlink ref="A1" location="Main!A1" display="Main" xr:uid="{F4DA5126-D91D-4714-A92F-23221F7D35AB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5D65F-7F40-4576-99AF-8C5DC611D955}">
  <dimension ref="A1:C12"/>
  <sheetViews>
    <sheetView zoomScale="205" zoomScaleNormal="205" workbookViewId="0">
      <selection activeCell="C12" sqref="C12"/>
    </sheetView>
  </sheetViews>
  <sheetFormatPr defaultRowHeight="12.75" x14ac:dyDescent="0.2"/>
  <cols>
    <col min="1" max="1" width="5" bestFit="1" customWidth="1"/>
    <col min="2" max="2" width="12.140625" bestFit="1" customWidth="1"/>
  </cols>
  <sheetData>
    <row r="1" spans="1:3" x14ac:dyDescent="0.2">
      <c r="A1" t="s">
        <v>9</v>
      </c>
    </row>
    <row r="2" spans="1:3" x14ac:dyDescent="0.2">
      <c r="B2" t="s">
        <v>31</v>
      </c>
      <c r="C2" t="s">
        <v>32</v>
      </c>
    </row>
    <row r="3" spans="1:3" x14ac:dyDescent="0.2">
      <c r="B3" t="s">
        <v>41</v>
      </c>
      <c r="C3" t="s">
        <v>42</v>
      </c>
    </row>
    <row r="4" spans="1:3" x14ac:dyDescent="0.2">
      <c r="B4" t="s">
        <v>36</v>
      </c>
      <c r="C4" t="s">
        <v>43</v>
      </c>
    </row>
    <row r="5" spans="1:3" x14ac:dyDescent="0.2">
      <c r="B5" t="s">
        <v>45</v>
      </c>
      <c r="C5" s="16" t="s">
        <v>46</v>
      </c>
    </row>
    <row r="6" spans="1:3" x14ac:dyDescent="0.2">
      <c r="C6" s="16" t="s">
        <v>47</v>
      </c>
    </row>
    <row r="7" spans="1:3" x14ac:dyDescent="0.2">
      <c r="C7" s="16" t="s">
        <v>48</v>
      </c>
    </row>
    <row r="8" spans="1:3" x14ac:dyDescent="0.2">
      <c r="C8" s="16" t="s">
        <v>59</v>
      </c>
    </row>
    <row r="9" spans="1:3" x14ac:dyDescent="0.2">
      <c r="C9" t="s">
        <v>60</v>
      </c>
    </row>
    <row r="10" spans="1:3" x14ac:dyDescent="0.2">
      <c r="C10" t="s">
        <v>61</v>
      </c>
    </row>
    <row r="11" spans="1:3" x14ac:dyDescent="0.2">
      <c r="C11" t="s">
        <v>62</v>
      </c>
    </row>
    <row r="12" spans="1:3" x14ac:dyDescent="0.2">
      <c r="B12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Xdemvy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2024-08-26T13:51:15Z</dcterms:created>
  <dcterms:modified xsi:type="dcterms:W3CDTF">2024-08-26T15:02:38Z</dcterms:modified>
</cp:coreProperties>
</file>