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CDA3AC6-19CF-4DE4-9771-0F018903D80A}" xr6:coauthVersionLast="47" xr6:coauthVersionMax="47" xr10:uidLastSave="{00000000-0000-0000-0000-000000000000}"/>
  <bookViews>
    <workbookView xWindow="-27015" yWindow="750" windowWidth="26490" windowHeight="19650" xr2:uid="{00000000-000D-0000-FFFF-FFFF00000000}"/>
  </bookViews>
  <sheets>
    <sheet name="Main" sheetId="1" r:id="rId1"/>
    <sheet name="Model" sheetId="2" r:id="rId2"/>
    <sheet name="Remodulin" sheetId="5" r:id="rId3"/>
    <sheet name="Tyvaso" sheetId="3" r:id="rId4"/>
    <sheet name="Oral" sheetId="4" r:id="rId5"/>
    <sheet name="Adcirc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D22" i="2" l="1"/>
  <c r="CE22" i="2"/>
  <c r="CF22" i="2"/>
  <c r="CG22" i="2"/>
  <c r="CH22" i="2"/>
  <c r="CC22" i="2"/>
  <c r="CD20" i="2"/>
  <c r="CE20" i="2"/>
  <c r="CF20" i="2"/>
  <c r="CG20" i="2"/>
  <c r="CH20" i="2"/>
  <c r="CC20" i="2"/>
  <c r="CD17" i="2"/>
  <c r="CE17" i="2"/>
  <c r="CF17" i="2"/>
  <c r="CG17" i="2"/>
  <c r="CH17" i="2"/>
  <c r="CD18" i="2"/>
  <c r="CE18" i="2"/>
  <c r="CF18" i="2"/>
  <c r="CG18" i="2"/>
  <c r="CH18" i="2"/>
  <c r="CC17" i="2"/>
  <c r="CC18" i="2" s="1"/>
  <c r="CH11" i="2"/>
  <c r="CG11" i="2"/>
  <c r="CF11" i="2"/>
  <c r="CE11" i="2"/>
  <c r="CD11" i="2"/>
  <c r="CC11" i="2"/>
  <c r="BY19" i="2"/>
  <c r="BZ19" i="2"/>
  <c r="CA19" i="2"/>
  <c r="CA4" i="2"/>
  <c r="CA30" i="2" s="1"/>
  <c r="BX19" i="2"/>
  <c r="CB29" i="2"/>
  <c r="CA29" i="2"/>
  <c r="CB17" i="2"/>
  <c r="CA17" i="2"/>
  <c r="CB4" i="2"/>
  <c r="BX4" i="2"/>
  <c r="BX30" i="2" s="1"/>
  <c r="K6" i="1"/>
  <c r="K5" i="1"/>
  <c r="BY29" i="2"/>
  <c r="BX29" i="2"/>
  <c r="BZ30" i="2"/>
  <c r="BY30" i="2"/>
  <c r="BV19" i="2"/>
  <c r="BV14" i="2"/>
  <c r="BZ17" i="2" s="1"/>
  <c r="BW19" i="2"/>
  <c r="BY17" i="2"/>
  <c r="BX17" i="2"/>
  <c r="BW17" i="2"/>
  <c r="BW11" i="2"/>
  <c r="BV11" i="2"/>
  <c r="BV13" i="2" s="1"/>
  <c r="BW30" i="2"/>
  <c r="BV30" i="2"/>
  <c r="BW29" i="2"/>
  <c r="BV29" i="2"/>
  <c r="BT19" i="2"/>
  <c r="BU30" i="2"/>
  <c r="BT30" i="2"/>
  <c r="BU29" i="2"/>
  <c r="BT29" i="2"/>
  <c r="BU19" i="2"/>
  <c r="BU17" i="2"/>
  <c r="BT17" i="2"/>
  <c r="BU11" i="2"/>
  <c r="BU13" i="2" s="1"/>
  <c r="BU33" i="2" s="1"/>
  <c r="BT11" i="2"/>
  <c r="BP30" i="2"/>
  <c r="BP29" i="2"/>
  <c r="BL19" i="2"/>
  <c r="BP19" i="2"/>
  <c r="BL17" i="2"/>
  <c r="BL11" i="2"/>
  <c r="BL13" i="2" s="1"/>
  <c r="BQ30" i="2"/>
  <c r="BQ29" i="2"/>
  <c r="BM19" i="2"/>
  <c r="BQ19" i="2"/>
  <c r="BM17" i="2"/>
  <c r="BQ11" i="2"/>
  <c r="BP11" i="2"/>
  <c r="BP13" i="2" s="1"/>
  <c r="BP33" i="2" s="1"/>
  <c r="BO11" i="2"/>
  <c r="BO13" i="2" s="1"/>
  <c r="BO33" i="2" s="1"/>
  <c r="BN11" i="2"/>
  <c r="BN13" i="2" s="1"/>
  <c r="BN33" i="2" s="1"/>
  <c r="BM11" i="2"/>
  <c r="BM13" i="2" s="1"/>
  <c r="BR30" i="2"/>
  <c r="BS30" i="2"/>
  <c r="BR29" i="2"/>
  <c r="BS29" i="2"/>
  <c r="BN19" i="2"/>
  <c r="BR19" i="2"/>
  <c r="BN14" i="2"/>
  <c r="BN17" i="2" s="1"/>
  <c r="BR14" i="2"/>
  <c r="BR17" i="2" s="1"/>
  <c r="BR11" i="2"/>
  <c r="BR13" i="2" s="1"/>
  <c r="BR33" i="2" s="1"/>
  <c r="BS58" i="2"/>
  <c r="BS61" i="2" s="1"/>
  <c r="BS47" i="2"/>
  <c r="BS41" i="2"/>
  <c r="BS51" i="2" s="1"/>
  <c r="BO15" i="2"/>
  <c r="BO17" i="2" s="1"/>
  <c r="BQ17" i="2"/>
  <c r="BP17" i="2"/>
  <c r="BS19" i="2"/>
  <c r="BS17" i="2"/>
  <c r="BS11" i="2"/>
  <c r="BS13" i="2" s="1"/>
  <c r="BS33" i="2" s="1"/>
  <c r="CU4" i="2"/>
  <c r="CV4" i="2" s="1"/>
  <c r="CW4" i="2" s="1"/>
  <c r="CX4" i="2" s="1"/>
  <c r="CY4" i="2" s="1"/>
  <c r="CZ4" i="2" s="1"/>
  <c r="AB14" i="2"/>
  <c r="CQ14" i="2" s="1"/>
  <c r="AC3" i="2"/>
  <c r="AD3" i="2" s="1"/>
  <c r="CQ3" i="2" s="1"/>
  <c r="CQ19" i="2"/>
  <c r="AD17" i="2"/>
  <c r="AC17" i="2"/>
  <c r="AA17" i="2"/>
  <c r="CQ15" i="2"/>
  <c r="AB11" i="2"/>
  <c r="AB12" i="2" s="1"/>
  <c r="AB13" i="2" s="1"/>
  <c r="AA11" i="2"/>
  <c r="AA12" i="2" s="1"/>
  <c r="CQ9" i="2"/>
  <c r="CQ8" i="2"/>
  <c r="CQ5" i="2"/>
  <c r="CR5" i="2" s="1"/>
  <c r="CS5" i="2" s="1"/>
  <c r="CT5" i="2" s="1"/>
  <c r="CU5" i="2" s="1"/>
  <c r="CV5" i="2" s="1"/>
  <c r="CW5" i="2" s="1"/>
  <c r="CX5" i="2" s="1"/>
  <c r="CY5" i="2" s="1"/>
  <c r="CZ5" i="2" s="1"/>
  <c r="CQ4" i="2"/>
  <c r="CQ31" i="2" s="1"/>
  <c r="Z19" i="2"/>
  <c r="Z12" i="2"/>
  <c r="Z77" i="2"/>
  <c r="CP60" i="2"/>
  <c r="CP57" i="2"/>
  <c r="CP56" i="2"/>
  <c r="CP54" i="2"/>
  <c r="CP53" i="2"/>
  <c r="CP50" i="2"/>
  <c r="CP49" i="2"/>
  <c r="CP48" i="2"/>
  <c r="CP47" i="2"/>
  <c r="CP46" i="2"/>
  <c r="CP45" i="2"/>
  <c r="CP44" i="2"/>
  <c r="CP43" i="2"/>
  <c r="CP42" i="2"/>
  <c r="CP19" i="2"/>
  <c r="CP12" i="2"/>
  <c r="Z58" i="2"/>
  <c r="CP58" i="2" s="1"/>
  <c r="Z41" i="2"/>
  <c r="Z51" i="2" s="1"/>
  <c r="CP51" i="2" s="1"/>
  <c r="Y58" i="2"/>
  <c r="Y59" i="2" s="1"/>
  <c r="Y61" i="2" s="1"/>
  <c r="Y48" i="2"/>
  <c r="Y41" i="2"/>
  <c r="Y38" i="2" s="1"/>
  <c r="Y29" i="2"/>
  <c r="Y12" i="2"/>
  <c r="Y8" i="2"/>
  <c r="Y11" i="2" s="1"/>
  <c r="CO24" i="2"/>
  <c r="X17" i="2"/>
  <c r="T16" i="2"/>
  <c r="X16" i="2"/>
  <c r="M32" i="2"/>
  <c r="N32" i="2"/>
  <c r="V72" i="2"/>
  <c r="T86" i="2"/>
  <c r="U86" i="2" s="1"/>
  <c r="V86" i="2" s="1"/>
  <c r="T84" i="2"/>
  <c r="U84" i="2" s="1"/>
  <c r="V84" i="2" s="1"/>
  <c r="T83" i="2"/>
  <c r="U83" i="2" s="1"/>
  <c r="V83" i="2" s="1"/>
  <c r="T82" i="2"/>
  <c r="U82" i="2" s="1"/>
  <c r="V82" i="2" s="1"/>
  <c r="T81" i="2"/>
  <c r="U81" i="2" s="1"/>
  <c r="V81" i="2" s="1"/>
  <c r="T80" i="2"/>
  <c r="U80" i="2" s="1"/>
  <c r="V80" i="2" s="1"/>
  <c r="T79" i="2"/>
  <c r="U79" i="2" s="1"/>
  <c r="V79" i="2" s="1"/>
  <c r="T78" i="2"/>
  <c r="U78" i="2" s="1"/>
  <c r="V78" i="2" s="1"/>
  <c r="T77" i="2"/>
  <c r="U77" i="2" s="1"/>
  <c r="V77" i="2" s="1"/>
  <c r="T76" i="2"/>
  <c r="U76" i="2" s="1"/>
  <c r="V76" i="2" s="1"/>
  <c r="T75" i="2"/>
  <c r="U75" i="2" s="1"/>
  <c r="V75" i="2" s="1"/>
  <c r="T74" i="2"/>
  <c r="U74" i="2" s="1"/>
  <c r="V74" i="2" s="1"/>
  <c r="T73" i="2"/>
  <c r="T71" i="2"/>
  <c r="U71" i="2" s="1"/>
  <c r="V71" i="2" s="1"/>
  <c r="T70" i="2"/>
  <c r="U70" i="2" s="1"/>
  <c r="V70" i="2" s="1"/>
  <c r="T69" i="2"/>
  <c r="U69" i="2" s="1"/>
  <c r="V69" i="2" s="1"/>
  <c r="T68" i="2"/>
  <c r="U68" i="2" s="1"/>
  <c r="V68" i="2" s="1"/>
  <c r="T67" i="2"/>
  <c r="U67" i="2" s="1"/>
  <c r="S85" i="2"/>
  <c r="S87" i="2" s="1"/>
  <c r="S64" i="2"/>
  <c r="S63" i="2"/>
  <c r="S60" i="2"/>
  <c r="S58" i="2"/>
  <c r="S59" i="2" s="1"/>
  <c r="S41" i="2"/>
  <c r="S38" i="2" s="1"/>
  <c r="T64" i="2"/>
  <c r="T63" i="2"/>
  <c r="T60" i="2"/>
  <c r="T58" i="2"/>
  <c r="T59" i="2" s="1"/>
  <c r="T41" i="2"/>
  <c r="T51" i="2" s="1"/>
  <c r="U60" i="2"/>
  <c r="U58" i="2"/>
  <c r="U59" i="2" s="1"/>
  <c r="U41" i="2"/>
  <c r="U38" i="2" s="1"/>
  <c r="V60" i="2"/>
  <c r="V58" i="2"/>
  <c r="V59" i="2" s="1"/>
  <c r="V43" i="2"/>
  <c r="V41" i="2"/>
  <c r="V38" i="2" s="1"/>
  <c r="CO38" i="2" s="1"/>
  <c r="CN8" i="2"/>
  <c r="CO9" i="2"/>
  <c r="CO8" i="2"/>
  <c r="CO5" i="2"/>
  <c r="CO4" i="2"/>
  <c r="X86" i="2"/>
  <c r="Y86" i="2" s="1"/>
  <c r="Z86" i="2" s="1"/>
  <c r="X84" i="2"/>
  <c r="X83" i="2"/>
  <c r="X82" i="2"/>
  <c r="Y82" i="2" s="1"/>
  <c r="Z82" i="2" s="1"/>
  <c r="X81" i="2"/>
  <c r="Y81" i="2" s="1"/>
  <c r="Z81" i="2" s="1"/>
  <c r="X80" i="2"/>
  <c r="Y80" i="2" s="1"/>
  <c r="X79" i="2"/>
  <c r="Y79" i="2" s="1"/>
  <c r="Z79" i="2" s="1"/>
  <c r="X78" i="2"/>
  <c r="Y78" i="2" s="1"/>
  <c r="X76" i="2"/>
  <c r="Y76" i="2" s="1"/>
  <c r="X75" i="2"/>
  <c r="Y75" i="2" s="1"/>
  <c r="X74" i="2"/>
  <c r="Y74" i="2" s="1"/>
  <c r="X73" i="2"/>
  <c r="Y73" i="2" s="1"/>
  <c r="X72" i="2"/>
  <c r="Z72" i="2" s="1"/>
  <c r="X71" i="2"/>
  <c r="X70" i="2"/>
  <c r="Y70" i="2" s="1"/>
  <c r="X69" i="2"/>
  <c r="Y69" i="2" s="1"/>
  <c r="Z69" i="2" s="1"/>
  <c r="X68" i="2"/>
  <c r="X67" i="2"/>
  <c r="Y67" i="2" s="1"/>
  <c r="W85" i="2"/>
  <c r="W87" i="2" s="1"/>
  <c r="W60" i="2"/>
  <c r="W58" i="2"/>
  <c r="W59" i="2" s="1"/>
  <c r="X60" i="2"/>
  <c r="X57" i="2"/>
  <c r="X58" i="2"/>
  <c r="X41" i="2"/>
  <c r="X51" i="2" s="1"/>
  <c r="X32" i="2"/>
  <c r="X29" i="2"/>
  <c r="X19" i="2"/>
  <c r="X12" i="2"/>
  <c r="X11" i="2"/>
  <c r="X34" i="2" s="1"/>
  <c r="W19" i="2"/>
  <c r="W17" i="2"/>
  <c r="W12" i="2"/>
  <c r="W11" i="2"/>
  <c r="W34" i="2" s="1"/>
  <c r="W41" i="2"/>
  <c r="W38" i="2" s="1"/>
  <c r="W32" i="2"/>
  <c r="W29" i="2"/>
  <c r="V19" i="2"/>
  <c r="V12" i="2"/>
  <c r="U19" i="2"/>
  <c r="U12" i="2"/>
  <c r="U11" i="2"/>
  <c r="U29" i="2"/>
  <c r="CN24" i="2"/>
  <c r="CM24" i="2"/>
  <c r="CO3" i="2"/>
  <c r="V32" i="2"/>
  <c r="U17" i="2"/>
  <c r="U32" i="2"/>
  <c r="T19" i="2"/>
  <c r="T12" i="2"/>
  <c r="T15" i="2"/>
  <c r="T14" i="2"/>
  <c r="T21" i="2"/>
  <c r="T32" i="2"/>
  <c r="T29" i="2"/>
  <c r="T11" i="2"/>
  <c r="CN3" i="2"/>
  <c r="R15" i="2"/>
  <c r="R17" i="2" s="1"/>
  <c r="R12" i="2"/>
  <c r="R9" i="2"/>
  <c r="S32" i="2"/>
  <c r="S29" i="2"/>
  <c r="S17" i="2"/>
  <c r="S12" i="2"/>
  <c r="S11" i="2"/>
  <c r="Q12" i="2"/>
  <c r="Q11" i="2"/>
  <c r="Q34" i="2" s="1"/>
  <c r="Q17" i="2"/>
  <c r="CM21" i="2"/>
  <c r="CM15" i="2"/>
  <c r="CM14" i="2"/>
  <c r="CM8" i="2"/>
  <c r="CM9" i="2"/>
  <c r="CM3" i="2"/>
  <c r="CM29" i="2" s="1"/>
  <c r="P15" i="2"/>
  <c r="P14" i="2"/>
  <c r="CN14" i="2" s="1"/>
  <c r="P11" i="2"/>
  <c r="P12" i="2"/>
  <c r="O11" i="2"/>
  <c r="O12" i="2"/>
  <c r="O17" i="2"/>
  <c r="N11" i="2"/>
  <c r="N12" i="2"/>
  <c r="N17" i="2"/>
  <c r="M11" i="2"/>
  <c r="M35" i="2" s="1"/>
  <c r="M12" i="2"/>
  <c r="M17" i="2"/>
  <c r="L11" i="2"/>
  <c r="L34" i="2" s="1"/>
  <c r="L12" i="2"/>
  <c r="L17" i="2"/>
  <c r="L19" i="2"/>
  <c r="CM19" i="2" s="1"/>
  <c r="K11" i="2"/>
  <c r="K34" i="2" s="1"/>
  <c r="K12" i="2"/>
  <c r="K17" i="2"/>
  <c r="J11" i="2"/>
  <c r="J12" i="2"/>
  <c r="J17" i="2"/>
  <c r="I11" i="2"/>
  <c r="I34" i="2" s="1"/>
  <c r="I12" i="2"/>
  <c r="I17" i="2"/>
  <c r="H11" i="2"/>
  <c r="H12" i="2"/>
  <c r="H17" i="2"/>
  <c r="H19" i="2"/>
  <c r="G11" i="2"/>
  <c r="G12" i="2"/>
  <c r="G14" i="2"/>
  <c r="G17" i="2" s="1"/>
  <c r="F11" i="2"/>
  <c r="F35" i="2" s="1"/>
  <c r="F12" i="2"/>
  <c r="F17" i="2"/>
  <c r="E11" i="2"/>
  <c r="E35" i="2" s="1"/>
  <c r="E12" i="2"/>
  <c r="E17" i="2"/>
  <c r="D11" i="2"/>
  <c r="D34" i="2" s="1"/>
  <c r="D12" i="2"/>
  <c r="D17" i="2"/>
  <c r="P32" i="2"/>
  <c r="O32" i="2"/>
  <c r="P29" i="2"/>
  <c r="O29" i="2"/>
  <c r="CK29" i="2"/>
  <c r="CJ12" i="2"/>
  <c r="CJ11" i="2"/>
  <c r="CK11" i="2"/>
  <c r="CJ17" i="2"/>
  <c r="CK17" i="2"/>
  <c r="CL29" i="2"/>
  <c r="L32" i="2"/>
  <c r="K4" i="1"/>
  <c r="CL11" i="2"/>
  <c r="CL35" i="2" s="1"/>
  <c r="G29" i="2"/>
  <c r="H29" i="2"/>
  <c r="I29" i="2"/>
  <c r="J29" i="2"/>
  <c r="K29" i="2"/>
  <c r="L29" i="2"/>
  <c r="M29" i="2"/>
  <c r="N29" i="2"/>
  <c r="C12" i="2"/>
  <c r="C11" i="2"/>
  <c r="C17" i="2"/>
  <c r="D32" i="2"/>
  <c r="E32" i="2"/>
  <c r="F32" i="2"/>
  <c r="G32" i="2"/>
  <c r="CL14" i="2"/>
  <c r="H32" i="2"/>
  <c r="I32" i="2"/>
  <c r="J32" i="2"/>
  <c r="K32" i="2"/>
  <c r="Q32" i="2"/>
  <c r="Q29" i="2"/>
  <c r="R32" i="2"/>
  <c r="R29" i="2"/>
  <c r="V17" i="2"/>
  <c r="V11" i="2"/>
  <c r="V35" i="2" s="1"/>
  <c r="V29" i="2"/>
  <c r="Y32" i="2"/>
  <c r="Z17" i="2"/>
  <c r="Z24" i="2"/>
  <c r="AA24" i="2" s="1"/>
  <c r="AB24" i="2" s="1"/>
  <c r="AC24" i="2" s="1"/>
  <c r="AD24" i="2" s="1"/>
  <c r="CQ24" i="2" s="1"/>
  <c r="CR24" i="2" s="1"/>
  <c r="CS24" i="2" s="1"/>
  <c r="CT24" i="2" s="1"/>
  <c r="CU24" i="2" s="1"/>
  <c r="CV24" i="2" s="1"/>
  <c r="CW24" i="2" s="1"/>
  <c r="CX24" i="2" s="1"/>
  <c r="Y17" i="2"/>
  <c r="CP11" i="2"/>
  <c r="Z11" i="2"/>
  <c r="Z29" i="2"/>
  <c r="Z32" i="2"/>
  <c r="CP17" i="2"/>
  <c r="CB30" i="2" l="1"/>
  <c r="CA11" i="2"/>
  <c r="CB11" i="2"/>
  <c r="BL18" i="2"/>
  <c r="CA13" i="2"/>
  <c r="CA33" i="2" s="1"/>
  <c r="CA27" i="2"/>
  <c r="K7" i="1"/>
  <c r="BW27" i="2"/>
  <c r="BL20" i="2"/>
  <c r="BL22" i="2" s="1"/>
  <c r="BL23" i="2" s="1"/>
  <c r="BV17" i="2"/>
  <c r="BV18" i="2" s="1"/>
  <c r="BV20" i="2" s="1"/>
  <c r="BV22" i="2" s="1"/>
  <c r="BV23" i="2" s="1"/>
  <c r="BY11" i="2"/>
  <c r="BQ27" i="2"/>
  <c r="BW13" i="2"/>
  <c r="BX11" i="2"/>
  <c r="BW18" i="2"/>
  <c r="BW20" i="2" s="1"/>
  <c r="BW22" i="2" s="1"/>
  <c r="BW23" i="2" s="1"/>
  <c r="BZ11" i="2"/>
  <c r="BZ29" i="2"/>
  <c r="BV27" i="2"/>
  <c r="BV33" i="2"/>
  <c r="BW33" i="2"/>
  <c r="BP27" i="2"/>
  <c r="BU27" i="2"/>
  <c r="BU18" i="2"/>
  <c r="BU20" i="2" s="1"/>
  <c r="BU22" i="2" s="1"/>
  <c r="BQ13" i="2"/>
  <c r="BQ33" i="2" s="1"/>
  <c r="BT13" i="2"/>
  <c r="BT33" i="2" s="1"/>
  <c r="BM18" i="2"/>
  <c r="BM20" i="2" s="1"/>
  <c r="BM22" i="2" s="1"/>
  <c r="BM23" i="2" s="1"/>
  <c r="BT27" i="2"/>
  <c r="BN18" i="2"/>
  <c r="BN20" i="2" s="1"/>
  <c r="BN22" i="2" s="1"/>
  <c r="BN23" i="2" s="1"/>
  <c r="BS38" i="2"/>
  <c r="BS27" i="2"/>
  <c r="BR27" i="2"/>
  <c r="BS18" i="2"/>
  <c r="BS20" i="2" s="1"/>
  <c r="BS22" i="2" s="1"/>
  <c r="BO18" i="2"/>
  <c r="BO20" i="2" s="1"/>
  <c r="BO22" i="2" s="1"/>
  <c r="BO23" i="2" s="1"/>
  <c r="BP18" i="2"/>
  <c r="BP20" i="2" s="1"/>
  <c r="BP22" i="2" s="1"/>
  <c r="BR18" i="2"/>
  <c r="BR20" i="2" s="1"/>
  <c r="BR22" i="2" s="1"/>
  <c r="CK27" i="2"/>
  <c r="I35" i="2"/>
  <c r="CK13" i="2"/>
  <c r="CK33" i="2" s="1"/>
  <c r="P34" i="2"/>
  <c r="AB17" i="2"/>
  <c r="AB18" i="2" s="1"/>
  <c r="AB20" i="2" s="1"/>
  <c r="AB21" i="2" s="1"/>
  <c r="CJ13" i="2"/>
  <c r="CJ33" i="2" s="1"/>
  <c r="Y51" i="2"/>
  <c r="V51" i="2"/>
  <c r="Y27" i="2"/>
  <c r="T38" i="2"/>
  <c r="U39" i="2" s="1"/>
  <c r="CP13" i="2"/>
  <c r="CP18" i="2" s="1"/>
  <c r="CP20" i="2" s="1"/>
  <c r="CP22" i="2" s="1"/>
  <c r="CP23" i="2" s="1"/>
  <c r="K13" i="2"/>
  <c r="K18" i="2" s="1"/>
  <c r="K20" i="2" s="1"/>
  <c r="K36" i="2" s="1"/>
  <c r="Q13" i="2"/>
  <c r="Q18" i="2" s="1"/>
  <c r="Q20" i="2" s="1"/>
  <c r="Q22" i="2" s="1"/>
  <c r="Q23" i="2" s="1"/>
  <c r="S51" i="2"/>
  <c r="AC11" i="2"/>
  <c r="AC12" i="2" s="1"/>
  <c r="Z13" i="2"/>
  <c r="Z33" i="2" s="1"/>
  <c r="S61" i="2"/>
  <c r="C13" i="2"/>
  <c r="C33" i="2" s="1"/>
  <c r="F34" i="2"/>
  <c r="K35" i="2"/>
  <c r="CM17" i="2"/>
  <c r="V34" i="2"/>
  <c r="L35" i="2"/>
  <c r="U13" i="2"/>
  <c r="U33" i="2" s="1"/>
  <c r="V61" i="2"/>
  <c r="N13" i="2"/>
  <c r="N33" i="2" s="1"/>
  <c r="Z78" i="2"/>
  <c r="CQ11" i="2"/>
  <c r="CQ35" i="2" s="1"/>
  <c r="H27" i="2"/>
  <c r="O27" i="2"/>
  <c r="T13" i="2"/>
  <c r="T33" i="2" s="1"/>
  <c r="P17" i="2"/>
  <c r="X13" i="2"/>
  <c r="CJ35" i="2"/>
  <c r="L27" i="2"/>
  <c r="T34" i="2"/>
  <c r="Z34" i="2"/>
  <c r="U51" i="2"/>
  <c r="H34" i="2"/>
  <c r="H35" i="2"/>
  <c r="G34" i="2"/>
  <c r="V13" i="2"/>
  <c r="V33" i="2" s="1"/>
  <c r="Z70" i="2"/>
  <c r="N35" i="2"/>
  <c r="H13" i="2"/>
  <c r="H18" i="2" s="1"/>
  <c r="H20" i="2" s="1"/>
  <c r="L13" i="2"/>
  <c r="L33" i="2" s="1"/>
  <c r="CM12" i="2"/>
  <c r="Y68" i="2"/>
  <c r="Z68" i="2" s="1"/>
  <c r="Z74" i="2"/>
  <c r="X35" i="2"/>
  <c r="W13" i="2"/>
  <c r="W33" i="2" s="1"/>
  <c r="P13" i="2"/>
  <c r="T61" i="2"/>
  <c r="CK35" i="2"/>
  <c r="CM11" i="2"/>
  <c r="CM34" i="2" s="1"/>
  <c r="G13" i="2"/>
  <c r="C34" i="2"/>
  <c r="Z76" i="2"/>
  <c r="G27" i="2"/>
  <c r="Q35" i="2"/>
  <c r="X59" i="2"/>
  <c r="X61" i="2" s="1"/>
  <c r="P35" i="2"/>
  <c r="K27" i="2"/>
  <c r="Z27" i="2"/>
  <c r="C35" i="2"/>
  <c r="CR4" i="2"/>
  <c r="Z59" i="2"/>
  <c r="X27" i="2"/>
  <c r="G35" i="2"/>
  <c r="M13" i="2"/>
  <c r="Z80" i="2"/>
  <c r="M34" i="2"/>
  <c r="CO14" i="2"/>
  <c r="Q27" i="2"/>
  <c r="CJ34" i="2"/>
  <c r="D35" i="2"/>
  <c r="I13" i="2"/>
  <c r="I18" i="2" s="1"/>
  <c r="I20" i="2" s="1"/>
  <c r="CK34" i="2"/>
  <c r="M27" i="2"/>
  <c r="CN15" i="2"/>
  <c r="CN17" i="2" s="1"/>
  <c r="W39" i="2"/>
  <c r="CP41" i="2"/>
  <c r="W61" i="2"/>
  <c r="CL27" i="2"/>
  <c r="CL13" i="2"/>
  <c r="W27" i="2"/>
  <c r="S13" i="2"/>
  <c r="S27" i="2"/>
  <c r="S35" i="2"/>
  <c r="X85" i="2"/>
  <c r="X87" i="2" s="1"/>
  <c r="Y71" i="2"/>
  <c r="Z71" i="2" s="1"/>
  <c r="T35" i="2"/>
  <c r="CO15" i="2"/>
  <c r="V39" i="2"/>
  <c r="CO11" i="2"/>
  <c r="CP29" i="2"/>
  <c r="CO29" i="2"/>
  <c r="J13" i="2"/>
  <c r="J27" i="2"/>
  <c r="J35" i="2"/>
  <c r="E34" i="2"/>
  <c r="E13" i="2"/>
  <c r="I27" i="2"/>
  <c r="CR3" i="2"/>
  <c r="S34" i="2"/>
  <c r="U61" i="2"/>
  <c r="T17" i="2"/>
  <c r="U73" i="2"/>
  <c r="V73" i="2" s="1"/>
  <c r="T85" i="2"/>
  <c r="T87" i="2" s="1"/>
  <c r="O35" i="2"/>
  <c r="O34" i="2"/>
  <c r="O13" i="2"/>
  <c r="CL34" i="2"/>
  <c r="CL17" i="2"/>
  <c r="AD11" i="2"/>
  <c r="N27" i="2"/>
  <c r="R11" i="2"/>
  <c r="CN9" i="2"/>
  <c r="CN11" i="2" s="1"/>
  <c r="Y83" i="2"/>
  <c r="Z83" i="2" s="1"/>
  <c r="CR14" i="2"/>
  <c r="CQ17" i="2"/>
  <c r="J34" i="2"/>
  <c r="CN29" i="2"/>
  <c r="AA13" i="2"/>
  <c r="AA18" i="2" s="1"/>
  <c r="AA20" i="2" s="1"/>
  <c r="W35" i="2"/>
  <c r="Y13" i="2"/>
  <c r="X38" i="2"/>
  <c r="X39" i="2" s="1"/>
  <c r="Y34" i="2"/>
  <c r="Y35" i="2"/>
  <c r="U27" i="2"/>
  <c r="V67" i="2"/>
  <c r="W51" i="2"/>
  <c r="P27" i="2"/>
  <c r="U35" i="2"/>
  <c r="T27" i="2"/>
  <c r="Z35" i="2"/>
  <c r="Y84" i="2"/>
  <c r="Z84" i="2" s="1"/>
  <c r="Z73" i="2"/>
  <c r="D13" i="2"/>
  <c r="N34" i="2"/>
  <c r="U34" i="2"/>
  <c r="F13" i="2"/>
  <c r="Z75" i="2"/>
  <c r="BZ27" i="2" l="1"/>
  <c r="BZ13" i="2"/>
  <c r="BX27" i="2"/>
  <c r="BX13" i="2"/>
  <c r="CB13" i="2"/>
  <c r="CB27" i="2"/>
  <c r="BY27" i="2"/>
  <c r="BY13" i="2"/>
  <c r="BY18" i="2" s="1"/>
  <c r="BY20" i="2" s="1"/>
  <c r="CA18" i="2"/>
  <c r="CA20" i="2" s="1"/>
  <c r="CA22" i="2" s="1"/>
  <c r="BW28" i="2"/>
  <c r="BV28" i="2"/>
  <c r="BQ18" i="2"/>
  <c r="BQ20" i="2" s="1"/>
  <c r="BQ22" i="2" s="1"/>
  <c r="BQ23" i="2" s="1"/>
  <c r="BZ18" i="2"/>
  <c r="BZ20" i="2" s="1"/>
  <c r="BX18" i="2"/>
  <c r="BX20" i="2" s="1"/>
  <c r="BQ28" i="2"/>
  <c r="BP28" i="2"/>
  <c r="BP23" i="2"/>
  <c r="BU28" i="2"/>
  <c r="BU23" i="2"/>
  <c r="BT18" i="2"/>
  <c r="BT20" i="2" s="1"/>
  <c r="BT22" i="2" s="1"/>
  <c r="BR23" i="2"/>
  <c r="BR28" i="2"/>
  <c r="BS23" i="2"/>
  <c r="BS28" i="2"/>
  <c r="Q36" i="2"/>
  <c r="CP66" i="2"/>
  <c r="CP67" i="2" s="1"/>
  <c r="CP85" i="2" s="1"/>
  <c r="CP87" i="2" s="1"/>
  <c r="K33" i="2"/>
  <c r="CK18" i="2"/>
  <c r="CK20" i="2" s="1"/>
  <c r="CK36" i="2" s="1"/>
  <c r="T39" i="2"/>
  <c r="CJ18" i="2"/>
  <c r="CJ20" i="2" s="1"/>
  <c r="CJ22" i="2" s="1"/>
  <c r="CJ23" i="2" s="1"/>
  <c r="Q33" i="2"/>
  <c r="CQ27" i="2"/>
  <c r="C18" i="2"/>
  <c r="C20" i="2" s="1"/>
  <c r="C36" i="2" s="1"/>
  <c r="U18" i="2"/>
  <c r="U20" i="2" s="1"/>
  <c r="U22" i="2" s="1"/>
  <c r="Z18" i="2"/>
  <c r="Z20" i="2" s="1"/>
  <c r="Z36" i="2" s="1"/>
  <c r="W18" i="2"/>
  <c r="W20" i="2" s="1"/>
  <c r="W22" i="2" s="1"/>
  <c r="W66" i="2" s="1"/>
  <c r="CO17" i="2"/>
  <c r="CQ34" i="2"/>
  <c r="T18" i="2"/>
  <c r="T20" i="2" s="1"/>
  <c r="T36" i="2" s="1"/>
  <c r="P18" i="2"/>
  <c r="P20" i="2" s="1"/>
  <c r="P22" i="2" s="1"/>
  <c r="P23" i="2" s="1"/>
  <c r="CM35" i="2"/>
  <c r="CM13" i="2"/>
  <c r="CM18" i="2" s="1"/>
  <c r="CM20" i="2" s="1"/>
  <c r="I33" i="2"/>
  <c r="N18" i="2"/>
  <c r="N20" i="2" s="1"/>
  <c r="N36" i="2" s="1"/>
  <c r="AB22" i="2"/>
  <c r="AB23" i="2" s="1"/>
  <c r="X18" i="2"/>
  <c r="X20" i="2" s="1"/>
  <c r="X33" i="2"/>
  <c r="P33" i="2"/>
  <c r="H33" i="2"/>
  <c r="CN35" i="2"/>
  <c r="V18" i="2"/>
  <c r="V20" i="2" s="1"/>
  <c r="V22" i="2" s="1"/>
  <c r="L18" i="2"/>
  <c r="L20" i="2" s="1"/>
  <c r="L36" i="2" s="1"/>
  <c r="M18" i="2"/>
  <c r="M20" i="2" s="1"/>
  <c r="M33" i="2"/>
  <c r="Z61" i="2"/>
  <c r="CP61" i="2" s="1"/>
  <c r="CP59" i="2"/>
  <c r="CM27" i="2"/>
  <c r="K22" i="2"/>
  <c r="K23" i="2" s="1"/>
  <c r="Y85" i="2"/>
  <c r="Y87" i="2" s="1"/>
  <c r="H36" i="2"/>
  <c r="H22" i="2"/>
  <c r="H23" i="2" s="1"/>
  <c r="G33" i="2"/>
  <c r="G18" i="2"/>
  <c r="G20" i="2" s="1"/>
  <c r="U85" i="2"/>
  <c r="U87" i="2" s="1"/>
  <c r="I22" i="2"/>
  <c r="I23" i="2" s="1"/>
  <c r="I36" i="2"/>
  <c r="CL33" i="2"/>
  <c r="CL18" i="2"/>
  <c r="CL20" i="2" s="1"/>
  <c r="O33" i="2"/>
  <c r="O18" i="2"/>
  <c r="O20" i="2" s="1"/>
  <c r="AC13" i="2"/>
  <c r="AC18" i="2" s="1"/>
  <c r="AC20" i="2" s="1"/>
  <c r="V27" i="2"/>
  <c r="R13" i="2"/>
  <c r="CN13" i="2" s="1"/>
  <c r="R27" i="2"/>
  <c r="R34" i="2"/>
  <c r="R35" i="2"/>
  <c r="CR29" i="2"/>
  <c r="CS3" i="2"/>
  <c r="CR11" i="2"/>
  <c r="F18" i="2"/>
  <c r="F20" i="2" s="1"/>
  <c r="F33" i="2"/>
  <c r="D18" i="2"/>
  <c r="D20" i="2" s="1"/>
  <c r="D33" i="2"/>
  <c r="Y39" i="2"/>
  <c r="AA21" i="2"/>
  <c r="AA22" i="2"/>
  <c r="AA23" i="2" s="1"/>
  <c r="AD12" i="2"/>
  <c r="CQ12" i="2" s="1"/>
  <c r="CQ13" i="2" s="1"/>
  <c r="E33" i="2"/>
  <c r="E18" i="2"/>
  <c r="E20" i="2" s="1"/>
  <c r="CN27" i="2"/>
  <c r="CP27" i="2"/>
  <c r="CO27" i="2"/>
  <c r="S18" i="2"/>
  <c r="S20" i="2" s="1"/>
  <c r="CO13" i="2"/>
  <c r="S33" i="2"/>
  <c r="J33" i="2"/>
  <c r="J18" i="2"/>
  <c r="J20" i="2" s="1"/>
  <c r="CR17" i="2"/>
  <c r="CS14" i="2"/>
  <c r="CN34" i="2"/>
  <c r="V85" i="2"/>
  <c r="V87" i="2" s="1"/>
  <c r="Y33" i="2"/>
  <c r="Y18" i="2"/>
  <c r="Y20" i="2" s="1"/>
  <c r="CA28" i="2" l="1"/>
  <c r="CA23" i="2"/>
  <c r="CB33" i="2"/>
  <c r="CB18" i="2"/>
  <c r="CB20" i="2" s="1"/>
  <c r="CB22" i="2" s="1"/>
  <c r="CB23" i="2" s="1"/>
  <c r="BY33" i="2"/>
  <c r="BX22" i="2"/>
  <c r="CB28" i="2" s="1"/>
  <c r="BX33" i="2"/>
  <c r="BZ22" i="2"/>
  <c r="BY22" i="2"/>
  <c r="BZ33" i="2"/>
  <c r="BT28" i="2"/>
  <c r="BT23" i="2"/>
  <c r="CM33" i="2"/>
  <c r="P36" i="2"/>
  <c r="Z22" i="2"/>
  <c r="Z23" i="2" s="1"/>
  <c r="CK22" i="2"/>
  <c r="CK23" i="2" s="1"/>
  <c r="CK28" i="2" s="1"/>
  <c r="U36" i="2"/>
  <c r="W23" i="2"/>
  <c r="C22" i="2"/>
  <c r="C23" i="2" s="1"/>
  <c r="N22" i="2"/>
  <c r="N23" i="2" s="1"/>
  <c r="CJ36" i="2"/>
  <c r="T22" i="2"/>
  <c r="T66" i="2" s="1"/>
  <c r="W36" i="2"/>
  <c r="Z38" i="2"/>
  <c r="CP38" i="2" s="1"/>
  <c r="CO18" i="2"/>
  <c r="CO20" i="2" s="1"/>
  <c r="CO21" i="2" s="1"/>
  <c r="CO22" i="2" s="1"/>
  <c r="CO23" i="2" s="1"/>
  <c r="L22" i="2"/>
  <c r="L23" i="2" s="1"/>
  <c r="V36" i="2"/>
  <c r="X36" i="2"/>
  <c r="X22" i="2"/>
  <c r="G22" i="2"/>
  <c r="G23" i="2" s="1"/>
  <c r="G36" i="2"/>
  <c r="CO12" i="2"/>
  <c r="M22" i="2"/>
  <c r="M23" i="2" s="1"/>
  <c r="M36" i="2"/>
  <c r="CN33" i="2"/>
  <c r="CN18" i="2"/>
  <c r="CN20" i="2" s="1"/>
  <c r="CN12" i="2"/>
  <c r="CQ18" i="2"/>
  <c r="CQ20" i="2" s="1"/>
  <c r="CQ33" i="2"/>
  <c r="CR13" i="2"/>
  <c r="CR18" i="2" s="1"/>
  <c r="CR27" i="2"/>
  <c r="O22" i="2"/>
  <c r="O23" i="2" s="1"/>
  <c r="O36" i="2"/>
  <c r="CS11" i="2"/>
  <c r="CT3" i="2"/>
  <c r="E22" i="2"/>
  <c r="E23" i="2" s="1"/>
  <c r="E36" i="2"/>
  <c r="AD13" i="2"/>
  <c r="AD18" i="2" s="1"/>
  <c r="AD20" i="2" s="1"/>
  <c r="J22" i="2"/>
  <c r="J23" i="2" s="1"/>
  <c r="J36" i="2"/>
  <c r="R18" i="2"/>
  <c r="R20" i="2" s="1"/>
  <c r="R33" i="2"/>
  <c r="V23" i="2"/>
  <c r="V66" i="2"/>
  <c r="CM22" i="2"/>
  <c r="CM23" i="2" s="1"/>
  <c r="CM36" i="2"/>
  <c r="AC21" i="2"/>
  <c r="AC22" i="2" s="1"/>
  <c r="AC23" i="2" s="1"/>
  <c r="CS17" i="2"/>
  <c r="CT14" i="2"/>
  <c r="CL36" i="2"/>
  <c r="CL22" i="2"/>
  <c r="CL23" i="2" s="1"/>
  <c r="D36" i="2"/>
  <c r="D22" i="2"/>
  <c r="D23" i="2" s="1"/>
  <c r="S36" i="2"/>
  <c r="S22" i="2"/>
  <c r="Y36" i="2"/>
  <c r="Y22" i="2"/>
  <c r="U23" i="2"/>
  <c r="U66" i="2"/>
  <c r="F36" i="2"/>
  <c r="F22" i="2"/>
  <c r="F23" i="2" s="1"/>
  <c r="BY23" i="2" l="1"/>
  <c r="BY28" i="2"/>
  <c r="BZ23" i="2"/>
  <c r="BZ28" i="2"/>
  <c r="BX23" i="2"/>
  <c r="BX28" i="2"/>
  <c r="Z66" i="2"/>
  <c r="Z67" i="2" s="1"/>
  <c r="Z85" i="2" s="1"/>
  <c r="Z87" i="2" s="1"/>
  <c r="Z39" i="2"/>
  <c r="CL28" i="2"/>
  <c r="T23" i="2"/>
  <c r="X23" i="2"/>
  <c r="X66" i="2"/>
  <c r="CR12" i="2"/>
  <c r="CP28" i="2"/>
  <c r="R21" i="2"/>
  <c r="AD21" i="2"/>
  <c r="CQ21" i="2" s="1"/>
  <c r="CQ36" i="2" s="1"/>
  <c r="CU3" i="2"/>
  <c r="CT11" i="2"/>
  <c r="S66" i="2"/>
  <c r="S23" i="2"/>
  <c r="CM28" i="2"/>
  <c r="Y23" i="2"/>
  <c r="Y66" i="2"/>
  <c r="CS13" i="2"/>
  <c r="CS18" i="2" s="1"/>
  <c r="CS27" i="2"/>
  <c r="CT17" i="2"/>
  <c r="CU14" i="2"/>
  <c r="CQ22" i="2" l="1"/>
  <c r="CQ23" i="2" s="1"/>
  <c r="CQ28" i="2" s="1"/>
  <c r="CS12" i="2"/>
  <c r="CV14" i="2"/>
  <c r="CU17" i="2"/>
  <c r="CT27" i="2"/>
  <c r="CT13" i="2"/>
  <c r="CT18" i="2" s="1"/>
  <c r="CV3" i="2"/>
  <c r="CU11" i="2"/>
  <c r="AD22" i="2"/>
  <c r="AD23" i="2" s="1"/>
  <c r="CN21" i="2"/>
  <c r="R36" i="2"/>
  <c r="R22" i="2"/>
  <c r="R23" i="2" s="1"/>
  <c r="CQ38" i="2" l="1"/>
  <c r="CT12" i="2"/>
  <c r="CU13" i="2"/>
  <c r="CU18" i="2" s="1"/>
  <c r="CU27" i="2"/>
  <c r="CN36" i="2"/>
  <c r="CN22" i="2"/>
  <c r="CN23" i="2" s="1"/>
  <c r="CR19" i="2"/>
  <c r="CR20" i="2" s="1"/>
  <c r="CW3" i="2"/>
  <c r="CV11" i="2"/>
  <c r="CV17" i="2"/>
  <c r="CW14" i="2"/>
  <c r="CU12" i="2" l="1"/>
  <c r="CW17" i="2"/>
  <c r="CX14" i="2"/>
  <c r="CX17" i="2" s="1"/>
  <c r="CR21" i="2"/>
  <c r="CR22" i="2" s="1"/>
  <c r="CV13" i="2"/>
  <c r="CV18" i="2" s="1"/>
  <c r="CV27" i="2"/>
  <c r="CW11" i="2"/>
  <c r="CX3" i="2"/>
  <c r="CN28" i="2"/>
  <c r="CO28" i="2"/>
  <c r="CY3" i="2" l="1"/>
  <c r="CX11" i="2"/>
  <c r="CW13" i="2"/>
  <c r="CW18" i="2" s="1"/>
  <c r="CW27" i="2"/>
  <c r="CV12" i="2"/>
  <c r="CR23" i="2"/>
  <c r="CR28" i="2" s="1"/>
  <c r="CR38" i="2"/>
  <c r="CW12" i="2" l="1"/>
  <c r="CS19" i="2"/>
  <c r="CS20" i="2" s="1"/>
  <c r="CX13" i="2"/>
  <c r="CX18" i="2" s="1"/>
  <c r="CY11" i="2"/>
  <c r="CZ3" i="2"/>
  <c r="CZ11" i="2" s="1"/>
  <c r="CX12" i="2" l="1"/>
  <c r="CS21" i="2"/>
  <c r="CS22" i="2" s="1"/>
  <c r="CS23" i="2" l="1"/>
  <c r="CS28" i="2" s="1"/>
  <c r="CS38" i="2"/>
  <c r="CT19" i="2" l="1"/>
  <c r="CT20" i="2" s="1"/>
  <c r="CT21" i="2" l="1"/>
  <c r="CT22" i="2" s="1"/>
  <c r="CT23" i="2" l="1"/>
  <c r="CT28" i="2" s="1"/>
  <c r="CT38" i="2"/>
  <c r="CU19" i="2" l="1"/>
  <c r="CU20" i="2" s="1"/>
  <c r="CU21" i="2" l="1"/>
  <c r="CU22" i="2" s="1"/>
  <c r="CU23" i="2" l="1"/>
  <c r="CU28" i="2" s="1"/>
  <c r="CU38" i="2"/>
  <c r="CV19" i="2" l="1"/>
  <c r="CV20" i="2" s="1"/>
  <c r="CV21" i="2" l="1"/>
  <c r="CV22" i="2" s="1"/>
  <c r="CV23" i="2" l="1"/>
  <c r="CV28" i="2" s="1"/>
  <c r="CV38" i="2"/>
  <c r="CW19" i="2" l="1"/>
  <c r="CW20" i="2" s="1"/>
  <c r="CW21" i="2" l="1"/>
  <c r="CW22" i="2" s="1"/>
  <c r="CX22" i="2" l="1"/>
  <c r="CW23" i="2"/>
  <c r="CW28" i="2" s="1"/>
  <c r="CW38" i="2"/>
  <c r="CX19" i="2" l="1"/>
  <c r="CX20" i="2" s="1"/>
  <c r="CX21" i="2" s="1"/>
  <c r="CX38" i="2"/>
  <c r="CX23" i="2"/>
  <c r="CX28" i="2" s="1"/>
  <c r="CY22" i="2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EF22" i="2" s="1"/>
  <c r="EG22" i="2" s="1"/>
  <c r="EH22" i="2" s="1"/>
  <c r="EI22" i="2" s="1"/>
  <c r="EJ22" i="2" s="1"/>
  <c r="EK22" i="2" s="1"/>
  <c r="EL22" i="2" s="1"/>
  <c r="EM22" i="2" s="1"/>
  <c r="EN22" i="2" s="1"/>
  <c r="EO22" i="2" s="1"/>
  <c r="EP22" i="2" s="1"/>
  <c r="EQ22" i="2" s="1"/>
  <c r="ER22" i="2" s="1"/>
  <c r="ES22" i="2" s="1"/>
  <c r="ET22" i="2" s="1"/>
  <c r="EU22" i="2" s="1"/>
  <c r="EV22" i="2" s="1"/>
  <c r="EW22" i="2" s="1"/>
  <c r="EX22" i="2" s="1"/>
  <c r="EY22" i="2" s="1"/>
  <c r="EZ22" i="2" s="1"/>
  <c r="FA22" i="2" s="1"/>
  <c r="FB22" i="2" s="1"/>
  <c r="FC22" i="2" s="1"/>
  <c r="FD22" i="2" s="1"/>
  <c r="FE22" i="2" s="1"/>
  <c r="FF22" i="2" s="1"/>
  <c r="FG22" i="2" s="1"/>
  <c r="FH22" i="2" s="1"/>
  <c r="FI22" i="2" s="1"/>
  <c r="FJ22" i="2" s="1"/>
  <c r="FK22" i="2" s="1"/>
  <c r="FL22" i="2" s="1"/>
  <c r="FM22" i="2" s="1"/>
  <c r="FN22" i="2" s="1"/>
  <c r="FO22" i="2" s="1"/>
  <c r="FP22" i="2" s="1"/>
  <c r="FQ22" i="2" s="1"/>
  <c r="FR22" i="2" s="1"/>
  <c r="FS22" i="2" s="1"/>
  <c r="DD31" i="2" s="1"/>
  <c r="DD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Laurie</author>
    <author>MSMB - Andre</author>
    <author>Caroline Stewart</author>
  </authors>
  <commentList>
    <comment ref="H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above consensus but somewhat driven by inventories</t>
        </r>
      </text>
    </comment>
    <comment ref="J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consensus 38</t>
        </r>
      </text>
    </comment>
    <comment ref="X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Consensus 99.4</t>
        </r>
      </text>
    </comment>
    <comment ref="CU3" authorId="2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patent expires 2014
</t>
        </r>
      </text>
    </comment>
    <comment ref="W4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Could come in at 30-35m</t>
        </r>
      </text>
    </comment>
    <comment ref="X4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Tyvaso 35.4m consensus</t>
        </r>
      </text>
    </comment>
    <comment ref="Z4" authorId="4" shapeId="0" xr:uid="{00000000-0006-0000-0100-00000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In Nov raised price by 4.9%</t>
        </r>
      </text>
    </comment>
    <comment ref="CO4" authorId="2" shapeId="0" xr:uid="{00000000-0006-0000-0100-000008000000}">
      <text>
        <r>
          <rPr>
            <sz val="8"/>
            <color indexed="81"/>
            <rFont val="Tahoma"/>
            <family val="2"/>
          </rPr>
          <t xml:space="preserve">Q407- Q109 Projected approval by the FDA ...
</t>
        </r>
      </text>
    </comment>
    <comment ref="X5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Consensus 7m</t>
        </r>
      </text>
    </comment>
    <comment ref="K15" authorId="2" shapeId="0" xr:uid="{00000000-0006-0000-0100-00000A000000}">
      <text>
        <r>
          <rPr>
            <b/>
            <sz val="8"/>
            <color indexed="81"/>
            <rFont val="Tahoma"/>
            <family val="2"/>
          </rPr>
          <t>Laurie:</t>
        </r>
        <r>
          <rPr>
            <sz val="8"/>
            <color indexed="81"/>
            <rFont val="Tahoma"/>
            <family val="2"/>
          </rPr>
          <t xml:space="preserve">
11M for R&amp;D expense related to issuance of stock</t>
        </r>
      </text>
    </comment>
    <comment ref="J22" authorId="2" shapeId="0" xr:uid="{00000000-0006-0000-0100-00000B000000}">
      <text>
        <r>
          <rPr>
            <b/>
            <sz val="8"/>
            <color indexed="81"/>
            <rFont val="Tahoma"/>
            <family val="2"/>
          </rPr>
          <t>Laurie:</t>
        </r>
        <r>
          <rPr>
            <sz val="8"/>
            <color indexed="81"/>
            <rFont val="Tahoma"/>
            <family val="2"/>
          </rPr>
          <t xml:space="preserve">
negative tax from tax benefit</t>
        </r>
      </text>
    </comment>
    <comment ref="J34" authorId="2" shapeId="0" xr:uid="{00000000-0006-0000-0100-00000C000000}">
      <text>
        <r>
          <rPr>
            <b/>
            <sz val="8"/>
            <color indexed="81"/>
            <rFont val="Tahoma"/>
            <family val="2"/>
          </rPr>
          <t>Laurie:</t>
        </r>
        <r>
          <rPr>
            <sz val="8"/>
            <color indexed="81"/>
            <rFont val="Tahoma"/>
            <family val="2"/>
          </rPr>
          <t xml:space="preserve">
20 person sales force as dec 2006
</t>
        </r>
      </text>
    </comment>
  </commentList>
</comments>
</file>

<file path=xl/sharedStrings.xml><?xml version="1.0" encoding="utf-8"?>
<sst xmlns="http://schemas.openxmlformats.org/spreadsheetml/2006/main" count="312" uniqueCount="269">
  <si>
    <t>Name</t>
  </si>
  <si>
    <t>Indication</t>
  </si>
  <si>
    <t>PAH</t>
  </si>
  <si>
    <t>Phase</t>
  </si>
  <si>
    <t>IV Remodulin</t>
  </si>
  <si>
    <t>Remodulin</t>
  </si>
  <si>
    <t>Other</t>
  </si>
  <si>
    <t>COGS</t>
  </si>
  <si>
    <t>SG&amp;A</t>
  </si>
  <si>
    <t>R&amp;D</t>
  </si>
  <si>
    <t>Pretax</t>
  </si>
  <si>
    <t>Taxes</t>
  </si>
  <si>
    <t>Net</t>
  </si>
  <si>
    <t>EPS</t>
  </si>
  <si>
    <t>Shares</t>
  </si>
  <si>
    <t>Gross Margin</t>
  </si>
  <si>
    <t>SG&amp;A %</t>
  </si>
  <si>
    <t>R&amp;D%</t>
  </si>
  <si>
    <t>Tax Rate</t>
  </si>
  <si>
    <t>Consensus</t>
  </si>
  <si>
    <t>Main</t>
  </si>
  <si>
    <t>Brand Name</t>
  </si>
  <si>
    <t>Generic Name</t>
  </si>
  <si>
    <t>Clinical Trials</t>
  </si>
  <si>
    <t>mid-2007: complete TRIUMPH-1 enrollment</t>
  </si>
  <si>
    <t>Competition</t>
  </si>
  <si>
    <t>Mechanism</t>
  </si>
  <si>
    <t>Market</t>
  </si>
  <si>
    <t>Flolan transition patients start on higher doses of IV Remodulin</t>
  </si>
  <si>
    <t>Price</t>
  </si>
  <si>
    <t>October 2006 - begin the study - n=150 monotherapy and n=300 combination, interim analysis at 150 patients</t>
  </si>
  <si>
    <t>Pricing</t>
  </si>
  <si>
    <t>Safety</t>
  </si>
  <si>
    <t>Q1 2007: CDC reports on Remodulin sepsis issue</t>
  </si>
  <si>
    <t xml:space="preserve">Sepsis investigation ongoing by CDC. Report issued on 2/23/2007. </t>
  </si>
  <si>
    <t xml:space="preserve">  Remodulin shoewd a higher rate of BSI and gram- sepsis compared to Flolan. The CDC did not make recommendations.</t>
  </si>
  <si>
    <t xml:space="preserve">  2.6 higher BSI and 12.7 higher risk of sepsis. It is still very rare.</t>
  </si>
  <si>
    <t>Admin</t>
  </si>
  <si>
    <t>IP</t>
  </si>
  <si>
    <t>IV/SQ</t>
  </si>
  <si>
    <t>October-November: TRIUMPH-1 data</t>
  </si>
  <si>
    <t>Telemedicine</t>
  </si>
  <si>
    <t>Distr. Fee</t>
  </si>
  <si>
    <t>Total Revenue</t>
  </si>
  <si>
    <t>Remodulin q/q %</t>
  </si>
  <si>
    <t>Remodulin y/y %</t>
  </si>
  <si>
    <t>MC</t>
  </si>
  <si>
    <t>Cash</t>
  </si>
  <si>
    <t>Debt</t>
  </si>
  <si>
    <t>EV</t>
  </si>
  <si>
    <t>3% on July 1st, Flolan charges 75-80K annualy, because remodulin will have a higher efficacy rate, 80K + premium= 90K a year</t>
  </si>
  <si>
    <t>inhaled treprostinil</t>
  </si>
  <si>
    <t>Generic:</t>
  </si>
  <si>
    <t>treprostinil</t>
  </si>
  <si>
    <t>Administration</t>
  </si>
  <si>
    <t>Economics</t>
  </si>
  <si>
    <t>Flolan, Revatio or Tracleer have about 20,000 users combined</t>
  </si>
  <si>
    <t>PAH  (pulmonary arterial hypertension)</t>
  </si>
  <si>
    <t>Indications:</t>
  </si>
  <si>
    <t>PAH (Pulmonary Arterial Hypertension)</t>
  </si>
  <si>
    <t>2. Dose escalation Study (31 patients)</t>
  </si>
  <si>
    <t>3. study of reduction of inhalation time while keeping the dose fixed (48 patients).</t>
  </si>
  <si>
    <t>average mm hg - dosed at 7.5 μg</t>
  </si>
  <si>
    <t xml:space="preserve">comparable PVR decrease, with a significantly different time course (p &lt; 0.001), </t>
  </si>
  <si>
    <t>treprostinil showing a more sustained effect on PVR (p &lt; 0.0001) and fewer systemic side effects</t>
  </si>
  <si>
    <t xml:space="preserve">3 H duration - A near-maximal acute PVR decrease was observed at 30 μg treprostinil </t>
  </si>
  <si>
    <t xml:space="preserve">A dose of 15 μg treprostinil was inhaled with 18, 9, 3, 2 pulses, or 1 pulse, each mode achieving comparable, </t>
  </si>
  <si>
    <t>sustained pulmonary vasodilation without significant side effects.</t>
  </si>
  <si>
    <t>n= 123 broken up into three groups -- Primary endpoint - change in PVR (pulmonary vascular resistance)</t>
  </si>
  <si>
    <t>Benefits of inhaled remodulin: intravenous therapy is prone to catheter-related infections, drug tolerance, and major systemic side effects.</t>
  </si>
  <si>
    <t>effect of PAH on exertion</t>
  </si>
  <si>
    <t>increase of CO when walking + remodulen increase of output</t>
  </si>
  <si>
    <t>whn will this walk take place (right after administration)?</t>
  </si>
  <si>
    <t>1. randomized crossover-design study (44 patients) vs iloprost</t>
  </si>
  <si>
    <t>Favorable Effects of Inhaled Treprostinil in Severe Pulmonary Hypertension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</si>
  <si>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</si>
  <si>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</si>
  <si>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</si>
  <si>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</si>
  <si>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</si>
  <si>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</si>
  <si>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</si>
  <si>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</si>
  <si>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</si>
  <si>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</si>
  <si>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</si>
  <si>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</si>
  <si>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Q108</t>
  </si>
  <si>
    <t>Inhaled</t>
  </si>
  <si>
    <t>Q2 2008: File Viveta NDA.</t>
  </si>
  <si>
    <t>TRIUMPH I - n=235 - Successful outcome presented at ATS 2008</t>
  </si>
  <si>
    <t>SS benefit in 6MWD at week 12 p&lt;0.0006. 20m change from baseline. If mean improvement was used, p=0.09 (+14m at 12 weeks).</t>
  </si>
  <si>
    <t>p2a data in oral remodulin - pushed back due to manufacturing issues - one dose more variable than the others</t>
  </si>
  <si>
    <t>Phase 1 PK data - ATS 2008</t>
  </si>
  <si>
    <t>Oral</t>
  </si>
  <si>
    <t>Q208</t>
  </si>
  <si>
    <t>Q308</t>
  </si>
  <si>
    <t>Q408</t>
  </si>
  <si>
    <t>Mid-November 2008: FREEDOM-C oral Remodulin data.</t>
  </si>
  <si>
    <t>Viveta y/y %</t>
  </si>
  <si>
    <t>PV</t>
  </si>
  <si>
    <t>Mat</t>
  </si>
  <si>
    <t>Dis</t>
  </si>
  <si>
    <t>Monotherapy showed 25-30M improvement in 6MW</t>
  </si>
  <si>
    <t>Citigroup expectation is &lt;20M.</t>
  </si>
  <si>
    <t>Adcirca (tadalafil)</t>
  </si>
  <si>
    <t>Approved</t>
  </si>
  <si>
    <t>Q109</t>
  </si>
  <si>
    <t>Q209</t>
  </si>
  <si>
    <t>Q309</t>
  </si>
  <si>
    <t>Q409</t>
  </si>
  <si>
    <t>Revatio</t>
  </si>
  <si>
    <t>Thelin, Ambrisentan, Ventavis, Tracleer, Flolan, NS-304</t>
  </si>
  <si>
    <t>tadalafil</t>
  </si>
  <si>
    <t>$12,000/year at 40mg, $6,000/year at 20mg.</t>
  </si>
  <si>
    <t>Dosing</t>
  </si>
  <si>
    <t>Oral qd vs tid for Revatio</t>
  </si>
  <si>
    <t>Tyvaso (Inhaled Remodulin, fka Viveta)</t>
  </si>
  <si>
    <t>Tyvaso</t>
  </si>
  <si>
    <t>PK</t>
  </si>
  <si>
    <t>Less D/D vs Revatio.</t>
  </si>
  <si>
    <t>Adcirca</t>
  </si>
  <si>
    <t>Revenue y/y</t>
  </si>
  <si>
    <t>Gross Profit</t>
  </si>
  <si>
    <t>Operating Expenses</t>
  </si>
  <si>
    <t>Operating Income</t>
  </si>
  <si>
    <t>7/30/2009: Tyvaso/Viveta PDUFA</t>
  </si>
  <si>
    <t>Ventavis</t>
  </si>
  <si>
    <t>ROIC</t>
  </si>
  <si>
    <t>90%, LLY 10%</t>
  </si>
  <si>
    <t>Earnings y/y</t>
  </si>
  <si>
    <t>Actelion's room-temperature stable Flolan?</t>
  </si>
  <si>
    <t>5,153,222 (method of use) expires 2014. May 2009 orphan status expiry. Schoenebaum: "Tough to make, why hasn't anyone filed ANDA?"</t>
  </si>
  <si>
    <t>Q110</t>
  </si>
  <si>
    <t>Q210</t>
  </si>
  <si>
    <t>Q310</t>
  </si>
  <si>
    <t>Q410</t>
  </si>
  <si>
    <t>Assigned to Burroughs Wellcome</t>
  </si>
  <si>
    <t>2017 COM: 5859006 ???, 5153222, 6521212, 6756033, 6765117.</t>
  </si>
  <si>
    <t>?: Had antibiotic project?</t>
  </si>
  <si>
    <t>IV</t>
  </si>
  <si>
    <t>A/R</t>
  </si>
  <si>
    <t>OCA</t>
  </si>
  <si>
    <t>Prepaids</t>
  </si>
  <si>
    <t>Inventories</t>
  </si>
  <si>
    <t>Goodwill</t>
  </si>
  <si>
    <t>PP&amp;E</t>
  </si>
  <si>
    <t>Assets</t>
  </si>
  <si>
    <t>A/P</t>
  </si>
  <si>
    <t>A/E</t>
  </si>
  <si>
    <t>Lease</t>
  </si>
  <si>
    <t>Liabilities</t>
  </si>
  <si>
    <t>S/E</t>
  </si>
  <si>
    <t>L+SE</t>
  </si>
  <si>
    <t>Net Cash</t>
  </si>
  <si>
    <t>CIC</t>
  </si>
  <si>
    <t>Model NI</t>
  </si>
  <si>
    <t>Reported NI</t>
  </si>
  <si>
    <t>D&amp;A</t>
  </si>
  <si>
    <t>Bad Debt</t>
  </si>
  <si>
    <t>SBC</t>
  </si>
  <si>
    <t>Deferred Taxes</t>
  </si>
  <si>
    <t>Issued Shares</t>
  </si>
  <si>
    <t>Outstanding Shares</t>
  </si>
  <si>
    <t>Unrealized gains</t>
  </si>
  <si>
    <t>Amortization of DD</t>
  </si>
  <si>
    <t>Amortization of discount</t>
  </si>
  <si>
    <t>Equity loss</t>
  </si>
  <si>
    <t>Excess tax from SBC</t>
  </si>
  <si>
    <t>Prepaid expenses</t>
  </si>
  <si>
    <t>OL</t>
  </si>
  <si>
    <t>CFFO</t>
  </si>
  <si>
    <t>Capex</t>
  </si>
  <si>
    <t>FCF</t>
  </si>
  <si>
    <t>3.5% increase on 7/1/2006 to 100K a year. North of 100k in Q1 2009. 3/25/10 price increase of 9.6%.</t>
  </si>
  <si>
    <t>Restrictions in Cash</t>
  </si>
  <si>
    <t>FREEDOM-C n=354</t>
  </si>
  <si>
    <t>6MW at week 16 showed a 11 meter change, p=0.072.</t>
  </si>
  <si>
    <t>6MW at week 12 showed a 13 meter change, p=0.015.</t>
  </si>
  <si>
    <t>Change in 6MW from baseline to week 16 is primary endpoint.</t>
  </si>
  <si>
    <t>FREEDOM-C2 - Results in 2011.</t>
  </si>
  <si>
    <t>FREEDOM-M - Patients on background oral therapies - 16 week study n=350 Data in 2010 - delayed to 2011.</t>
  </si>
  <si>
    <t>2001: beraprost failure.</t>
  </si>
  <si>
    <t>Failed to meet primary endpoint.</t>
  </si>
  <si>
    <t>Placebo declined by 6 meters from baseline at week 8.</t>
  </si>
  <si>
    <t>UT-15 (Remodulin) increased by 37-39m at week 8.</t>
  </si>
  <si>
    <t>Phase II n=25 enrolled during 1998</t>
  </si>
  <si>
    <t>Phase III P01:04 n=224</t>
  </si>
  <si>
    <t>Median improvement in 6MW was 1 meter for placebo and 3 meters for Remodulin, p=0.06.</t>
  </si>
  <si>
    <t>Phase III P01:05 n=244</t>
  </si>
  <si>
    <t>Median decline in 6MW was 3 meters for placebo versus an improvement in 16 meters for Remodulin, p=0.06.</t>
  </si>
  <si>
    <t>Rx</t>
  </si>
  <si>
    <t>Date</t>
  </si>
  <si>
    <t>TRX</t>
  </si>
  <si>
    <t>NRX</t>
  </si>
  <si>
    <t>Adcirca, aka Cialis</t>
  </si>
  <si>
    <t>beraprost</t>
  </si>
  <si>
    <t>Type V Collagen</t>
  </si>
  <si>
    <t>Gleevec, riociguat, macitentan</t>
  </si>
  <si>
    <t>Q111</t>
  </si>
  <si>
    <t>Q211</t>
  </si>
  <si>
    <t>Q311</t>
  </si>
  <si>
    <t>Q411</t>
  </si>
  <si>
    <t>Expired</t>
  </si>
  <si>
    <t>January 31 2011: FREEDOM-M completes enrollment.</t>
  </si>
  <si>
    <t>May 2011: FREEDOM-M Phase III study reports.</t>
  </si>
  <si>
    <t>April 2011: begin 50-pt US safety trial of implantable pump</t>
  </si>
  <si>
    <t>June 2011: FREEDOM-M results</t>
  </si>
  <si>
    <t>Sept 2011: FREEDOM-C2 results</t>
  </si>
  <si>
    <t>Q214</t>
  </si>
  <si>
    <t>Q412</t>
  </si>
  <si>
    <t>Q112</t>
  </si>
  <si>
    <t>Q212</t>
  </si>
  <si>
    <t>Q312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</si>
  <si>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</si>
  <si>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</si>
  <si>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</si>
  <si>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</si>
  <si>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</si>
  <si>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</si>
  <si>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</si>
  <si>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</si>
  <si>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</si>
  <si>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</si>
  <si>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</si>
  <si>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</si>
  <si>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</si>
  <si>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</si>
  <si>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</si>
  <si>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</si>
  <si>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</si>
  <si>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</si>
  <si>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</si>
  <si>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</si>
  <si>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</si>
  <si>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</si>
  <si>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</si>
  <si>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</si>
  <si>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</si>
  <si>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</si>
  <si>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</si>
  <si>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</si>
  <si>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</si>
  <si>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</si>
  <si>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</si>
  <si>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</si>
  <si>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</si>
  <si>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</si>
  <si>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</si>
  <si>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</si>
  <si>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</si>
  <si>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</si>
  <si>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</si>
  <si>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Orenitram</t>
  </si>
  <si>
    <t>Unituxin</t>
  </si>
  <si>
    <t>Stock</t>
  </si>
  <si>
    <t>Tyvaso y/y %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</si>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</sst>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_);\(0.00\)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3" fillId="2" borderId="0" xfId="1" applyFill="1" applyAlignment="1" applyProtection="1"/>
    <xf numFmtId="0" fontId="6" fillId="2" borderId="0" xfId="0" applyFont="1" applyFill="1"/>
    <xf numFmtId="164" fontId="0" fillId="2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/>
    <xf numFmtId="164" fontId="1" fillId="2" borderId="0" xfId="0" applyNumberFormat="1" applyFont="1" applyFill="1"/>
    <xf numFmtId="9" fontId="0" fillId="2" borderId="0" xfId="0" applyNumberFormat="1" applyFill="1"/>
    <xf numFmtId="9" fontId="1" fillId="2" borderId="0" xfId="0" applyNumberFormat="1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3" fontId="0" fillId="2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9" fontId="6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9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9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9" fontId="6" fillId="2" borderId="0" xfId="0" applyNumberFormat="1" applyFont="1" applyFill="1"/>
    <xf numFmtId="3" fontId="6" fillId="2" borderId="0" xfId="0" applyNumberFormat="1" applyFont="1" applyFill="1"/>
    <xf numFmtId="3" fontId="1" fillId="2" borderId="0" xfId="0" applyNumberFormat="1" applyFont="1" applyFill="1"/>
    <xf numFmtId="14" fontId="0" fillId="2" borderId="0" xfId="0" applyNumberFormat="1" applyFill="1"/>
    <xf numFmtId="164" fontId="6" fillId="2" borderId="0" xfId="0" applyNumberFormat="1" applyFont="1" applyFill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6" fillId="0" borderId="0" xfId="0" applyNumberFormat="1" applyFont="1" applyAlignment="1">
      <alignment horizontal="right"/>
    </xf>
    <xf numFmtId="9" fontId="1" fillId="2" borderId="0" xfId="0" applyNumberFormat="1" applyFont="1" applyFill="1"/>
    <xf numFmtId="164" fontId="6" fillId="2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164" fontId="0" fillId="0" borderId="0" xfId="0" applyNumberFormat="1" applyAlignment="1">
      <alignment horizontal="right"/>
    </xf>
    <xf numFmtId="0" fontId="6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4" fontId="0" fillId="0" borderId="0" xfId="0" applyNumberFormat="1"/>
    <xf numFmtId="0" fontId="3" fillId="0" borderId="4" xfId="1" applyFill="1" applyBorder="1" applyAlignment="1" applyProtection="1"/>
    <xf numFmtId="14" fontId="0" fillId="0" borderId="0" xfId="0" applyNumberForma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3" fillId="0" borderId="8" xfId="1" applyFill="1" applyBorder="1" applyAlignment="1" applyProtection="1"/>
    <xf numFmtId="0" fontId="0" fillId="0" borderId="9" xfId="0" applyBorder="1" applyAlignment="1">
      <alignment horizontal="center"/>
    </xf>
    <xf numFmtId="0" fontId="6" fillId="0" borderId="9" xfId="0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0" xfId="0" applyFont="1"/>
    <xf numFmtId="0" fontId="9" fillId="0" borderId="0" xfId="0" applyFont="1"/>
    <xf numFmtId="0" fontId="6" fillId="0" borderId="0" xfId="0" applyFont="1" applyAlignment="1">
      <alignment horizontal="left"/>
    </xf>
    <xf numFmtId="0" fontId="6" fillId="0" borderId="4" xfId="1" applyFont="1" applyFill="1" applyBorder="1" applyAlignment="1" applyProtection="1"/>
    <xf numFmtId="0" fontId="6" fillId="0" borderId="11" xfId="1" applyFont="1" applyFill="1" applyBorder="1" applyAlignment="1" applyProtecti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57D12384-6688-44FE-8920-9B16698483D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22006</xdr:colOff>
      <xdr:row>0</xdr:row>
      <xdr:rowOff>0</xdr:rowOff>
    </xdr:from>
    <xdr:to>
      <xdr:col>80</xdr:col>
      <xdr:colOff>22006</xdr:colOff>
      <xdr:row>106</xdr:row>
      <xdr:rowOff>28575</xdr:rowOff>
    </xdr:to>
    <xdr:sp macro="" textlink="">
      <xdr:nvSpPr>
        <xdr:cNvPr id="1888" name="Line 340">
          <a:extLst>
            <a:ext uri="{FF2B5EF4-FFF2-40B4-BE49-F238E27FC236}">
              <a16:creationId xmlns:a16="http://schemas.microsoft.com/office/drawing/2014/main" id="{9ACC475A-127A-2524-698D-13FA1A6EAC42}"/>
            </a:ext>
          </a:extLst>
        </xdr:cNvPr>
        <xdr:cNvSpPr>
          <a:spLocks noChangeShapeType="1"/>
        </xdr:cNvSpPr>
      </xdr:nvSpPr>
      <xdr:spPr bwMode="auto">
        <a:xfrm flipH="1">
          <a:off x="28978006" y="0"/>
          <a:ext cx="0" cy="1743633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94</xdr:col>
      <xdr:colOff>57150</xdr:colOff>
      <xdr:row>0</xdr:row>
      <xdr:rowOff>28575</xdr:rowOff>
    </xdr:from>
    <xdr:to>
      <xdr:col>94</xdr:col>
      <xdr:colOff>57150</xdr:colOff>
      <xdr:row>47</xdr:row>
      <xdr:rowOff>9525</xdr:rowOff>
    </xdr:to>
    <xdr:sp macro="" textlink="">
      <xdr:nvSpPr>
        <xdr:cNvPr id="1889" name="Line 341">
          <a:extLst>
            <a:ext uri="{FF2B5EF4-FFF2-40B4-BE49-F238E27FC236}">
              <a16:creationId xmlns:a16="http://schemas.microsoft.com/office/drawing/2014/main" id="{405D7C55-3758-3A5D-FCB4-D34D61AE3BF4}"/>
            </a:ext>
          </a:extLst>
        </xdr:cNvPr>
        <xdr:cNvSpPr>
          <a:spLocks noChangeShapeType="1"/>
        </xdr:cNvSpPr>
      </xdr:nvSpPr>
      <xdr:spPr bwMode="auto">
        <a:xfrm flipH="1">
          <a:off x="10058400" y="28575"/>
          <a:ext cx="0" cy="10182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zoomScale="145" zoomScaleNormal="145" workbookViewId="0"/>
  </sheetViews>
  <sheetFormatPr defaultRowHeight="12.75" x14ac:dyDescent="0.2"/>
  <cols>
    <col min="1" max="1" width="3.28515625" customWidth="1"/>
    <col min="2" max="2" width="16.28515625" bestFit="1" customWidth="1"/>
    <col min="4" max="4" width="9.7109375" style="46" customWidth="1"/>
    <col min="5" max="5" width="48" style="46" bestFit="1" customWidth="1"/>
    <col min="6" max="6" width="14.42578125" style="46" customWidth="1"/>
    <col min="7" max="8" width="9.140625" style="46"/>
    <col min="9" max="9" width="4.85546875" customWidth="1"/>
    <col min="10" max="10" width="7.140625" customWidth="1"/>
    <col min="11" max="11" width="7.42578125" customWidth="1"/>
    <col min="12" max="12" width="7.5703125" customWidth="1"/>
  </cols>
  <sheetData>
    <row r="1" spans="1:13" x14ac:dyDescent="0.2">
      <c r="A1" s="58"/>
    </row>
    <row r="2" spans="1:13" x14ac:dyDescent="0.2">
      <c r="B2" s="59" t="s">
        <v>0</v>
      </c>
      <c r="C2" s="60" t="s">
        <v>1</v>
      </c>
      <c r="D2" s="60" t="s">
        <v>106</v>
      </c>
      <c r="E2" s="60" t="s">
        <v>25</v>
      </c>
      <c r="F2" s="61" t="s">
        <v>55</v>
      </c>
      <c r="G2" s="60" t="s">
        <v>37</v>
      </c>
      <c r="H2" s="62" t="s">
        <v>38</v>
      </c>
      <c r="J2" t="s">
        <v>29</v>
      </c>
      <c r="K2" s="63">
        <v>363</v>
      </c>
    </row>
    <row r="3" spans="1:13" x14ac:dyDescent="0.2">
      <c r="B3" s="64" t="s">
        <v>4</v>
      </c>
      <c r="C3" s="46" t="s">
        <v>2</v>
      </c>
      <c r="D3" s="65">
        <v>37397</v>
      </c>
      <c r="E3" s="46" t="s">
        <v>112</v>
      </c>
      <c r="F3" s="54">
        <v>1</v>
      </c>
      <c r="G3" s="46" t="s">
        <v>39</v>
      </c>
      <c r="H3" s="66" t="s">
        <v>203</v>
      </c>
      <c r="J3" t="s">
        <v>14</v>
      </c>
      <c r="K3" s="55">
        <v>44.491176000000003</v>
      </c>
      <c r="L3" s="34" t="s">
        <v>262</v>
      </c>
    </row>
    <row r="4" spans="1:13" x14ac:dyDescent="0.2">
      <c r="B4" s="64" t="s">
        <v>118</v>
      </c>
      <c r="C4" s="46" t="s">
        <v>2</v>
      </c>
      <c r="D4" s="65">
        <v>40024</v>
      </c>
      <c r="E4" s="67" t="s">
        <v>127</v>
      </c>
      <c r="F4" s="52">
        <v>1</v>
      </c>
      <c r="G4" s="46" t="s">
        <v>88</v>
      </c>
      <c r="H4" s="68"/>
      <c r="J4" t="s">
        <v>46</v>
      </c>
      <c r="K4" s="55">
        <f>K2*K3</f>
        <v>16150.296888000001</v>
      </c>
      <c r="L4" s="58"/>
    </row>
    <row r="5" spans="1:13" x14ac:dyDescent="0.2">
      <c r="B5" s="64" t="s">
        <v>105</v>
      </c>
      <c r="C5" s="46" t="s">
        <v>2</v>
      </c>
      <c r="D5" s="65">
        <v>39959</v>
      </c>
      <c r="E5" s="46" t="s">
        <v>111</v>
      </c>
      <c r="F5" s="67" t="s">
        <v>129</v>
      </c>
      <c r="G5" s="46" t="s">
        <v>94</v>
      </c>
      <c r="H5" s="68"/>
      <c r="J5" t="s">
        <v>47</v>
      </c>
      <c r="K5" s="55">
        <f>1355.7+1615.8+1330.4</f>
        <v>4301.8999999999996</v>
      </c>
      <c r="L5" s="34" t="s">
        <v>262</v>
      </c>
    </row>
    <row r="6" spans="1:13" x14ac:dyDescent="0.2">
      <c r="B6" s="59"/>
      <c r="C6" s="69"/>
      <c r="D6" s="60" t="s">
        <v>3</v>
      </c>
      <c r="E6" s="60"/>
      <c r="F6" s="60"/>
      <c r="G6" s="60"/>
      <c r="H6" s="62"/>
      <c r="J6" t="s">
        <v>48</v>
      </c>
      <c r="K6" s="55">
        <f>400+100</f>
        <v>500</v>
      </c>
      <c r="L6" s="34" t="s">
        <v>262</v>
      </c>
    </row>
    <row r="7" spans="1:13" x14ac:dyDescent="0.2">
      <c r="B7" s="70"/>
      <c r="C7" s="71"/>
      <c r="D7" s="72"/>
      <c r="E7" s="72"/>
      <c r="F7" s="73"/>
      <c r="G7" s="71"/>
      <c r="H7" s="74"/>
      <c r="J7" t="s">
        <v>49</v>
      </c>
      <c r="K7" s="55">
        <f>K4-K5+K6</f>
        <v>12348.396888000001</v>
      </c>
      <c r="M7" s="58"/>
    </row>
    <row r="8" spans="1:13" x14ac:dyDescent="0.2">
      <c r="C8" s="46"/>
      <c r="D8" s="67"/>
      <c r="E8" s="67"/>
      <c r="F8" s="54"/>
      <c r="H8" s="68"/>
      <c r="K8" s="55"/>
      <c r="M8" s="58"/>
    </row>
    <row r="9" spans="1:13" x14ac:dyDescent="0.2">
      <c r="C9" s="75"/>
      <c r="D9" s="76"/>
      <c r="E9" s="76"/>
      <c r="F9" s="77"/>
      <c r="G9" s="75"/>
      <c r="H9" s="78"/>
      <c r="K9" s="55"/>
      <c r="M9" s="58"/>
    </row>
    <row r="10" spans="1:13" x14ac:dyDescent="0.2">
      <c r="K10" s="55"/>
    </row>
    <row r="11" spans="1:13" x14ac:dyDescent="0.2">
      <c r="F11" s="79" t="s">
        <v>182</v>
      </c>
    </row>
    <row r="12" spans="1:13" x14ac:dyDescent="0.2">
      <c r="F12" s="79" t="s">
        <v>33</v>
      </c>
    </row>
    <row r="13" spans="1:13" x14ac:dyDescent="0.2">
      <c r="F13" s="79" t="s">
        <v>24</v>
      </c>
    </row>
    <row r="14" spans="1:13" x14ac:dyDescent="0.2">
      <c r="B14" s="58"/>
      <c r="F14" s="79" t="s">
        <v>40</v>
      </c>
    </row>
    <row r="15" spans="1:13" x14ac:dyDescent="0.2">
      <c r="F15" s="79" t="s">
        <v>89</v>
      </c>
    </row>
    <row r="16" spans="1:13" x14ac:dyDescent="0.2">
      <c r="F16" s="79" t="s">
        <v>98</v>
      </c>
    </row>
    <row r="17" spans="6:6" x14ac:dyDescent="0.2">
      <c r="F17" s="80" t="s">
        <v>126</v>
      </c>
    </row>
    <row r="18" spans="6:6" x14ac:dyDescent="0.2">
      <c r="F18" s="79" t="s">
        <v>139</v>
      </c>
    </row>
    <row r="19" spans="6:6" x14ac:dyDescent="0.2">
      <c r="F19" s="79" t="s">
        <v>204</v>
      </c>
    </row>
    <row r="20" spans="6:6" x14ac:dyDescent="0.2">
      <c r="F20" s="81" t="s">
        <v>206</v>
      </c>
    </row>
    <row r="21" spans="6:6" x14ac:dyDescent="0.2">
      <c r="F21" s="81" t="s">
        <v>207</v>
      </c>
    </row>
    <row r="22" spans="6:6" x14ac:dyDescent="0.2">
      <c r="F22" s="81" t="s">
        <v>208</v>
      </c>
    </row>
    <row r="23" spans="6:6" x14ac:dyDescent="0.2">
      <c r="F23" s="79" t="s">
        <v>205</v>
      </c>
    </row>
    <row r="24" spans="6:6" x14ac:dyDescent="0.2">
      <c r="F24" s="82" t="s">
        <v>196</v>
      </c>
    </row>
    <row r="25" spans="6:6" x14ac:dyDescent="0.2">
      <c r="F25" s="83" t="s">
        <v>197</v>
      </c>
    </row>
    <row r="26" spans="6:6" x14ac:dyDescent="0.2">
      <c r="F26" s="84"/>
    </row>
    <row r="27" spans="6:6" x14ac:dyDescent="0.2">
      <c r="F27" s="84"/>
    </row>
    <row r="28" spans="6:6" x14ac:dyDescent="0.2">
      <c r="F28" s="84"/>
    </row>
    <row r="29" spans="6:6" x14ac:dyDescent="0.2">
      <c r="F29" s="84"/>
    </row>
    <row r="30" spans="6:6" x14ac:dyDescent="0.2">
      <c r="F30" s="84"/>
    </row>
    <row r="31" spans="6:6" x14ac:dyDescent="0.2">
      <c r="F31" s="84"/>
    </row>
    <row r="32" spans="6:6" x14ac:dyDescent="0.2">
      <c r="F32" s="84"/>
    </row>
    <row r="33" spans="6:6" x14ac:dyDescent="0.2">
      <c r="F33" s="84"/>
    </row>
    <row r="34" spans="6:6" x14ac:dyDescent="0.2">
      <c r="F34" s="84"/>
    </row>
    <row r="35" spans="6:6" x14ac:dyDescent="0.2">
      <c r="F35" s="84"/>
    </row>
    <row r="36" spans="6:6" x14ac:dyDescent="0.2">
      <c r="F36" s="84"/>
    </row>
  </sheetData>
  <phoneticPr fontId="0" type="noConversion"/>
  <hyperlinks>
    <hyperlink ref="B3" location="Remodulin!A1" display="IV Remodulin" xr:uid="{00000000-0004-0000-0000-000000000000}"/>
    <hyperlink ref="B4" location="Tyvaso!A1" display="Tyvaso" xr:uid="{00000000-0004-0000-0000-000001000000}"/>
    <hyperlink ref="B5" location="Adcirca!A1" display="Adcirca (tadalafil)" xr:uid="{00000000-0004-0000-0000-000003000000}"/>
  </hyperlinks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S87"/>
  <sheetViews>
    <sheetView zoomScale="145" zoomScaleNormal="145" workbookViewId="0">
      <pane xSplit="2" ySplit="2" topLeftCell="BR15" activePane="bottomRight" state="frozen"/>
      <selection pane="topRight" activeCell="C1" sqref="C1"/>
      <selection pane="bottomLeft" activeCell="A4" sqref="A4"/>
      <selection pane="bottomRight" activeCell="BV33" sqref="BV33"/>
    </sheetView>
  </sheetViews>
  <sheetFormatPr defaultRowHeight="12.75" x14ac:dyDescent="0.2"/>
  <cols>
    <col min="1" max="1" width="5" style="1" bestFit="1" customWidth="1"/>
    <col min="2" max="2" width="24.5703125" style="1" customWidth="1"/>
    <col min="3" max="10" width="7" style="14" hidden="1" customWidth="1"/>
    <col min="11" max="18" width="6.28515625" style="14" hidden="1" customWidth="1"/>
    <col min="19" max="61" width="6.28515625" style="14" customWidth="1"/>
    <col min="62" max="70" width="6.28515625" style="33" customWidth="1"/>
    <col min="71" max="86" width="7.7109375" style="33" customWidth="1"/>
    <col min="87" max="87" width="8" customWidth="1"/>
    <col min="88" max="88" width="5" style="33" bestFit="1" customWidth="1"/>
    <col min="89" max="89" width="5.42578125" style="33" bestFit="1" customWidth="1"/>
    <col min="90" max="90" width="5.28515625" style="33" bestFit="1" customWidth="1"/>
    <col min="91" max="93" width="5" style="33" bestFit="1" customWidth="1"/>
    <col min="94" max="100" width="6.28515625" style="33" customWidth="1"/>
    <col min="101" max="101" width="6.28515625" style="14" customWidth="1"/>
    <col min="102" max="106" width="5.85546875" style="14" customWidth="1"/>
    <col min="107" max="175" width="5.85546875" style="1" customWidth="1"/>
    <col min="176" max="16384" width="9.140625" style="1"/>
  </cols>
  <sheetData>
    <row r="1" spans="1:115" x14ac:dyDescent="0.2">
      <c r="A1" s="4" t="s">
        <v>20</v>
      </c>
    </row>
    <row r="2" spans="1:115" s="2" customFormat="1" x14ac:dyDescent="0.2">
      <c r="C2" s="14" t="s">
        <v>86</v>
      </c>
      <c r="D2" s="14" t="s">
        <v>85</v>
      </c>
      <c r="E2" s="14" t="s">
        <v>84</v>
      </c>
      <c r="F2" s="14" t="s">
        <v>83</v>
      </c>
      <c r="G2" s="14" t="s">
        <v>82</v>
      </c>
      <c r="H2" s="14" t="s">
        <v>81</v>
      </c>
      <c r="I2" s="14" t="s">
        <v>80</v>
      </c>
      <c r="J2" s="14" t="s">
        <v>79</v>
      </c>
      <c r="K2" s="14" t="s">
        <v>78</v>
      </c>
      <c r="L2" s="14" t="s">
        <v>77</v>
      </c>
      <c r="M2" s="14" t="s">
        <v>76</v>
      </c>
      <c r="N2" s="14" t="s">
        <v>75</v>
      </c>
      <c r="O2" s="14" t="s">
        <v>87</v>
      </c>
      <c r="P2" s="14" t="s">
        <v>95</v>
      </c>
      <c r="Q2" s="14" t="s">
        <v>96</v>
      </c>
      <c r="R2" s="14" t="s">
        <v>97</v>
      </c>
      <c r="S2" s="14" t="s">
        <v>107</v>
      </c>
      <c r="T2" s="14" t="s">
        <v>108</v>
      </c>
      <c r="U2" s="14" t="s">
        <v>109</v>
      </c>
      <c r="V2" s="14" t="s">
        <v>110</v>
      </c>
      <c r="W2" s="27" t="s">
        <v>133</v>
      </c>
      <c r="X2" s="27" t="s">
        <v>134</v>
      </c>
      <c r="Y2" s="27" t="s">
        <v>135</v>
      </c>
      <c r="Z2" s="27" t="s">
        <v>136</v>
      </c>
      <c r="AA2" s="27" t="s">
        <v>199</v>
      </c>
      <c r="AB2" s="27" t="s">
        <v>200</v>
      </c>
      <c r="AC2" s="27" t="s">
        <v>201</v>
      </c>
      <c r="AD2" s="27" t="s">
        <v>202</v>
      </c>
      <c r="AE2" s="27" t="s">
        <v>211</v>
      </c>
      <c r="AF2" s="27" t="s">
        <v>212</v>
      </c>
      <c r="AG2" s="27" t="s">
        <v>213</v>
      </c>
      <c r="AH2" s="27" t="s">
        <v>210</v>
      </c>
      <c r="AI2" s="27" t="s">
        <v>214</v>
      </c>
      <c r="AJ2" s="27" t="s">
        <v>215</v>
      </c>
      <c r="AK2" s="27" t="s">
        <v>216</v>
      </c>
      <c r="AL2" s="27" t="s">
        <v>217</v>
      </c>
      <c r="AM2" s="27" t="s">
        <v>218</v>
      </c>
      <c r="AN2" s="27" t="s">
        <v>209</v>
      </c>
      <c r="AO2" s="27" t="s">
        <v>219</v>
      </c>
      <c r="AP2" s="27" t="s">
        <v>220</v>
      </c>
      <c r="AQ2" s="27" t="s">
        <v>221</v>
      </c>
      <c r="AR2" s="27" t="s">
        <v>222</v>
      </c>
      <c r="AS2" s="27" t="s">
        <v>223</v>
      </c>
      <c r="AT2" s="27" t="s">
        <v>224</v>
      </c>
      <c r="AU2" s="27" t="s">
        <v>225</v>
      </c>
      <c r="AV2" s="27" t="s">
        <v>226</v>
      </c>
      <c r="AW2" s="27" t="s">
        <v>227</v>
      </c>
      <c r="AX2" s="27" t="s">
        <v>228</v>
      </c>
      <c r="AY2" s="27" t="s">
        <v>229</v>
      </c>
      <c r="AZ2" s="27" t="s">
        <v>230</v>
      </c>
      <c r="BA2" s="27" t="s">
        <v>231</v>
      </c>
      <c r="BB2" s="27" t="s">
        <v>232</v>
      </c>
      <c r="BC2" s="27" t="s">
        <v>233</v>
      </c>
      <c r="BD2" s="27" t="s">
        <v>234</v>
      </c>
      <c r="BE2" s="27" t="s">
        <v>235</v>
      </c>
      <c r="BF2" s="27" t="s">
        <v>236</v>
      </c>
      <c r="BG2" s="27" t="s">
        <v>237</v>
      </c>
      <c r="BH2" s="27" t="s">
        <v>238</v>
      </c>
      <c r="BI2" s="27" t="s">
        <v>239</v>
      </c>
      <c r="BJ2" s="34" t="s">
        <v>240</v>
      </c>
      <c r="BK2" s="34" t="s">
        <v>241</v>
      </c>
      <c r="BL2" s="34" t="s">
        <v>242</v>
      </c>
      <c r="BM2" s="34" t="s">
        <v>243</v>
      </c>
      <c r="BN2" s="34" t="s">
        <v>244</v>
      </c>
      <c r="BO2" s="34" t="s">
        <v>245</v>
      </c>
      <c r="BP2" s="34" t="s">
        <v>246</v>
      </c>
      <c r="BQ2" s="34" t="s">
        <v>247</v>
      </c>
      <c r="BR2" s="34" t="s">
        <v>248</v>
      </c>
      <c r="BS2" s="34" t="s">
        <v>249</v>
      </c>
      <c r="BT2" s="34" t="s">
        <v>250</v>
      </c>
      <c r="BU2" s="34" t="s">
        <v>251</v>
      </c>
      <c r="BV2" s="34" t="s">
        <v>252</v>
      </c>
      <c r="BW2" s="34" t="s">
        <v>257</v>
      </c>
      <c r="BX2" s="34" t="s">
        <v>258</v>
      </c>
      <c r="BY2" s="34" t="s">
        <v>259</v>
      </c>
      <c r="BZ2" s="34" t="s">
        <v>260</v>
      </c>
      <c r="CA2" s="34" t="s">
        <v>261</v>
      </c>
      <c r="CB2" s="34" t="s">
        <v>262</v>
      </c>
      <c r="CC2" s="34" t="s">
        <v>263</v>
      </c>
      <c r="CD2" s="34" t="s">
        <v>264</v>
      </c>
      <c r="CE2" s="34" t="s">
        <v>265</v>
      </c>
      <c r="CF2" s="34" t="s">
        <v>266</v>
      </c>
      <c r="CG2" s="34" t="s">
        <v>267</v>
      </c>
      <c r="CH2" s="34" t="s">
        <v>268</v>
      </c>
      <c r="CI2" s="46"/>
      <c r="CJ2" s="47">
        <v>2004</v>
      </c>
      <c r="CK2" s="47">
        <v>2005</v>
      </c>
      <c r="CL2" s="47">
        <v>2006</v>
      </c>
      <c r="CM2" s="47">
        <v>2007</v>
      </c>
      <c r="CN2" s="47">
        <v>2008</v>
      </c>
      <c r="CO2" s="47">
        <v>2009</v>
      </c>
      <c r="CP2" s="47">
        <v>2010</v>
      </c>
      <c r="CQ2" s="47">
        <v>2011</v>
      </c>
      <c r="CR2" s="47">
        <v>2012</v>
      </c>
      <c r="CS2" s="47">
        <v>2013</v>
      </c>
      <c r="CT2" s="47">
        <v>2014</v>
      </c>
      <c r="CU2" s="47">
        <v>2015</v>
      </c>
      <c r="CV2" s="47">
        <v>2016</v>
      </c>
      <c r="CW2" s="25">
        <v>2017</v>
      </c>
      <c r="CX2" s="25">
        <v>2018</v>
      </c>
      <c r="CY2" s="14">
        <v>2019</v>
      </c>
      <c r="CZ2" s="14">
        <v>2020</v>
      </c>
      <c r="DA2" s="14"/>
      <c r="DB2" s="14"/>
    </row>
    <row r="3" spans="1:115" s="8" customFormat="1" x14ac:dyDescent="0.2">
      <c r="B3" s="8" t="s">
        <v>5</v>
      </c>
      <c r="C3" s="16">
        <v>21.465</v>
      </c>
      <c r="D3" s="16">
        <v>28.456</v>
      </c>
      <c r="E3" s="16">
        <v>31.352</v>
      </c>
      <c r="F3" s="16">
        <v>28.27</v>
      </c>
      <c r="G3" s="16">
        <v>31.303999999999998</v>
      </c>
      <c r="H3" s="16">
        <v>38.53</v>
      </c>
      <c r="I3" s="16">
        <v>38.817</v>
      </c>
      <c r="J3" s="16">
        <v>44.146999999999998</v>
      </c>
      <c r="K3" s="16">
        <v>38.15</v>
      </c>
      <c r="L3" s="16">
        <v>49.177</v>
      </c>
      <c r="M3" s="16">
        <v>56.661000000000001</v>
      </c>
      <c r="N3" s="16">
        <v>56.899000000000001</v>
      </c>
      <c r="O3" s="16">
        <v>59.152999999999999</v>
      </c>
      <c r="P3" s="16">
        <v>65.497</v>
      </c>
      <c r="Q3" s="16">
        <v>72.149000000000001</v>
      </c>
      <c r="R3" s="16">
        <v>73.137</v>
      </c>
      <c r="S3" s="16">
        <v>76.858000000000004</v>
      </c>
      <c r="T3" s="16">
        <v>81.009</v>
      </c>
      <c r="U3" s="16">
        <v>87.4</v>
      </c>
      <c r="V3" s="16">
        <v>86.415000000000006</v>
      </c>
      <c r="W3" s="16">
        <v>95.769000000000005</v>
      </c>
      <c r="X3" s="16">
        <v>96.367000000000004</v>
      </c>
      <c r="Y3" s="16">
        <v>109.584</v>
      </c>
      <c r="Z3" s="16">
        <v>101.879</v>
      </c>
      <c r="AA3" s="16">
        <v>100</v>
      </c>
      <c r="AB3" s="16">
        <v>104.89400000000001</v>
      </c>
      <c r="AC3" s="16">
        <f>AB3</f>
        <v>104.89400000000001</v>
      </c>
      <c r="AD3" s="16">
        <f>AC3</f>
        <v>104.89400000000001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35"/>
      <c r="BK3" s="35"/>
      <c r="BL3" s="35">
        <v>119</v>
      </c>
      <c r="BM3" s="35">
        <v>124.5</v>
      </c>
      <c r="BN3" s="35">
        <v>127.9</v>
      </c>
      <c r="BO3" s="35">
        <v>130.19999999999999</v>
      </c>
      <c r="BP3" s="35">
        <v>139.80000000000001</v>
      </c>
      <c r="BQ3" s="35">
        <v>125.4</v>
      </c>
      <c r="BR3" s="35">
        <v>118.3</v>
      </c>
      <c r="BS3" s="35">
        <v>131.69999999999999</v>
      </c>
      <c r="BT3" s="35">
        <v>132</v>
      </c>
      <c r="BU3" s="35">
        <v>114</v>
      </c>
      <c r="BV3" s="35">
        <v>122.5</v>
      </c>
      <c r="BW3" s="35">
        <v>121.4</v>
      </c>
      <c r="BX3" s="35">
        <v>127.2</v>
      </c>
      <c r="BY3" s="35">
        <v>131.1</v>
      </c>
      <c r="BZ3" s="35">
        <v>115.1</v>
      </c>
      <c r="CA3" s="35">
        <v>128</v>
      </c>
      <c r="CB3" s="35">
        <v>147.30000000000001</v>
      </c>
      <c r="CC3" s="35"/>
      <c r="CD3" s="35"/>
      <c r="CE3" s="35"/>
      <c r="CF3" s="35"/>
      <c r="CG3" s="35"/>
      <c r="CH3" s="35"/>
      <c r="CI3" s="48"/>
      <c r="CJ3" s="35">
        <v>66.05</v>
      </c>
      <c r="CK3" s="35">
        <v>109.191</v>
      </c>
      <c r="CL3" s="35">
        <v>152.47800000000001</v>
      </c>
      <c r="CM3" s="35">
        <f>SUM(K3:N3)</f>
        <v>200.887</v>
      </c>
      <c r="CN3" s="35">
        <f>SUM(O3:R3)</f>
        <v>269.93600000000004</v>
      </c>
      <c r="CO3" s="35">
        <f>SUM(S3:V3)</f>
        <v>331.68200000000002</v>
      </c>
      <c r="CP3" s="35">
        <v>403.59800000000001</v>
      </c>
      <c r="CQ3" s="35">
        <f>SUM(AA3:AD3)</f>
        <v>414.68200000000002</v>
      </c>
      <c r="CR3" s="35">
        <f>SUM(AA3:AD3)</f>
        <v>414.68200000000002</v>
      </c>
      <c r="CS3" s="35">
        <f>CR3</f>
        <v>414.68200000000002</v>
      </c>
      <c r="CT3" s="35">
        <f>CS3</f>
        <v>414.68200000000002</v>
      </c>
      <c r="CU3" s="35">
        <f>CT3</f>
        <v>414.68200000000002</v>
      </c>
      <c r="CV3" s="35">
        <f>CU3</f>
        <v>414.68200000000002</v>
      </c>
      <c r="CW3" s="16">
        <f>CV3*(1+CW29)</f>
        <v>331.74560000000002</v>
      </c>
      <c r="CX3" s="16">
        <f>CW3*(1+CX29)</f>
        <v>265.39648000000005</v>
      </c>
      <c r="CY3" s="16">
        <f>CX3*(1+CY29)</f>
        <v>212.31718400000005</v>
      </c>
      <c r="CZ3" s="16">
        <f>CY3*(1+CZ29)</f>
        <v>169.85374720000004</v>
      </c>
      <c r="DA3" s="24"/>
      <c r="DB3" s="24"/>
      <c r="DC3" s="6"/>
      <c r="DD3" s="6"/>
      <c r="DE3" s="6"/>
      <c r="DF3" s="6"/>
      <c r="DG3" s="6"/>
      <c r="DH3" s="6"/>
      <c r="DI3" s="6"/>
      <c r="DJ3" s="6"/>
      <c r="DK3" s="6"/>
    </row>
    <row r="4" spans="1:115" s="8" customFormat="1" x14ac:dyDescent="0.2">
      <c r="B4" s="8" t="s">
        <v>118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>
        <v>5.1130000000000004</v>
      </c>
      <c r="V4" s="16">
        <v>15.154999999999999</v>
      </c>
      <c r="W4" s="16">
        <v>24.884</v>
      </c>
      <c r="X4" s="16">
        <v>29.483000000000001</v>
      </c>
      <c r="Y4" s="16">
        <v>48.716999999999999</v>
      </c>
      <c r="Z4" s="16">
        <v>48.713999999999999</v>
      </c>
      <c r="AA4" s="16">
        <v>50</v>
      </c>
      <c r="AB4" s="16">
        <v>61.808999999999997</v>
      </c>
      <c r="AC4" s="16">
        <v>52</v>
      </c>
      <c r="AD4" s="16">
        <v>52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35"/>
      <c r="BK4" s="35">
        <v>102.9</v>
      </c>
      <c r="BL4" s="35">
        <v>119.2</v>
      </c>
      <c r="BM4" s="35">
        <v>129.5</v>
      </c>
      <c r="BN4" s="35">
        <v>131.69999999999999</v>
      </c>
      <c r="BO4" s="35">
        <v>123</v>
      </c>
      <c r="BP4" s="35">
        <v>153.80000000000001</v>
      </c>
      <c r="BQ4" s="35">
        <v>164.2</v>
      </c>
      <c r="BR4" s="35">
        <v>166.5</v>
      </c>
      <c r="BS4" s="35">
        <v>172</v>
      </c>
      <c r="BT4" s="35">
        <v>201</v>
      </c>
      <c r="BU4" s="35">
        <v>257.7</v>
      </c>
      <c r="BV4" s="35">
        <v>242.3</v>
      </c>
      <c r="BW4" s="35">
        <v>238.4</v>
      </c>
      <c r="BX4" s="35">
        <f>125.3+193.6</f>
        <v>318.89999999999998</v>
      </c>
      <c r="BY4" s="35">
        <v>325.8</v>
      </c>
      <c r="BZ4" s="35">
        <v>350.6</v>
      </c>
      <c r="CA4" s="35">
        <f>227.5+145</f>
        <v>372.5</v>
      </c>
      <c r="CB4" s="35">
        <f>258.3+139.9</f>
        <v>398.20000000000005</v>
      </c>
      <c r="CC4" s="35"/>
      <c r="CD4" s="35"/>
      <c r="CE4" s="35"/>
      <c r="CF4" s="35"/>
      <c r="CG4" s="35"/>
      <c r="CH4" s="35"/>
      <c r="CI4" s="48"/>
      <c r="CJ4" s="35"/>
      <c r="CK4" s="35"/>
      <c r="CL4" s="35"/>
      <c r="CM4" s="35"/>
      <c r="CN4" s="35"/>
      <c r="CO4" s="35">
        <f>SUM(S4:V4)</f>
        <v>20.268000000000001</v>
      </c>
      <c r="CP4" s="35">
        <v>151.797</v>
      </c>
      <c r="CQ4" s="35">
        <f>SUM(AA4:AD4)</f>
        <v>215.809</v>
      </c>
      <c r="CR4" s="35">
        <f>CQ4*(1+CR31)</f>
        <v>291.34215</v>
      </c>
      <c r="CS4" s="35">
        <v>300</v>
      </c>
      <c r="CT4" s="35">
        <v>325</v>
      </c>
      <c r="CU4" s="35">
        <f>CT4</f>
        <v>325</v>
      </c>
      <c r="CV4" s="35">
        <f>CU4</f>
        <v>325</v>
      </c>
      <c r="CW4" s="16">
        <f>+CV4*0.5</f>
        <v>162.5</v>
      </c>
      <c r="CX4" s="16">
        <f>+CW4*0.5</f>
        <v>81.25</v>
      </c>
      <c r="CY4" s="16">
        <f>+CX4*0.5</f>
        <v>40.625</v>
      </c>
      <c r="CZ4" s="16">
        <f>+CY4*0.5</f>
        <v>20.3125</v>
      </c>
      <c r="DA4" s="24"/>
      <c r="DB4" s="24"/>
      <c r="DC4" s="6"/>
      <c r="DD4" s="6"/>
      <c r="DE4" s="6"/>
      <c r="DF4" s="6"/>
      <c r="DG4" s="6"/>
      <c r="DH4" s="6"/>
      <c r="DI4" s="6"/>
      <c r="DJ4" s="6"/>
      <c r="DK4" s="6"/>
    </row>
    <row r="5" spans="1:115" s="8" customFormat="1" x14ac:dyDescent="0.2">
      <c r="B5" s="8" t="s">
        <v>121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1.514</v>
      </c>
      <c r="V5" s="16">
        <v>4.2750000000000004</v>
      </c>
      <c r="W5" s="16">
        <v>4.9790000000000001</v>
      </c>
      <c r="X5" s="16">
        <v>8.5890000000000004</v>
      </c>
      <c r="Y5" s="16">
        <v>9.9350000000000005</v>
      </c>
      <c r="Z5" s="16">
        <v>12.804</v>
      </c>
      <c r="AA5" s="16">
        <v>14</v>
      </c>
      <c r="AB5" s="16">
        <v>16.843</v>
      </c>
      <c r="AC5" s="16">
        <v>16</v>
      </c>
      <c r="AD5" s="16">
        <v>17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35"/>
      <c r="BK5" s="35"/>
      <c r="BL5" s="35">
        <v>19.399999999999999</v>
      </c>
      <c r="BM5" s="35">
        <v>13.8</v>
      </c>
      <c r="BN5" s="35">
        <v>21.6</v>
      </c>
      <c r="BO5" s="35">
        <v>9.6</v>
      </c>
      <c r="BP5" s="35">
        <v>23.6</v>
      </c>
      <c r="BQ5" s="35">
        <v>14.6</v>
      </c>
      <c r="BR5" s="35">
        <v>8.1</v>
      </c>
      <c r="BS5" s="35">
        <v>9.8000000000000007</v>
      </c>
      <c r="BT5" s="35">
        <v>10.4</v>
      </c>
      <c r="BU5" s="35">
        <v>10.7</v>
      </c>
      <c r="BV5" s="35">
        <v>10.4</v>
      </c>
      <c r="BW5" s="35">
        <v>7.3</v>
      </c>
      <c r="BX5" s="35">
        <v>7.5</v>
      </c>
      <c r="BY5" s="35">
        <v>7.3</v>
      </c>
      <c r="BZ5" s="35">
        <v>6.8</v>
      </c>
      <c r="CA5" s="35">
        <v>6.4</v>
      </c>
      <c r="CB5" s="35">
        <v>5.7</v>
      </c>
      <c r="CC5" s="35"/>
      <c r="CD5" s="35"/>
      <c r="CE5" s="35"/>
      <c r="CF5" s="35"/>
      <c r="CG5" s="35"/>
      <c r="CH5" s="35"/>
      <c r="CI5" s="48"/>
      <c r="CJ5" s="35"/>
      <c r="CK5" s="35"/>
      <c r="CL5" s="35"/>
      <c r="CM5" s="35"/>
      <c r="CN5" s="35"/>
      <c r="CO5" s="35">
        <f>SUM(S5:V5)</f>
        <v>5.7890000000000006</v>
      </c>
      <c r="CP5" s="35">
        <v>36.307000000000002</v>
      </c>
      <c r="CQ5" s="35">
        <f>SUM(AA5:AD5)</f>
        <v>63.843000000000004</v>
      </c>
      <c r="CR5" s="35">
        <f>CQ5*1.1</f>
        <v>70.227300000000014</v>
      </c>
      <c r="CS5" s="35">
        <f>CR5*1.1</f>
        <v>77.250030000000024</v>
      </c>
      <c r="CT5" s="35">
        <f>CS5*1.1</f>
        <v>84.975033000000039</v>
      </c>
      <c r="CU5" s="35">
        <f t="shared" ref="CU5:CZ5" si="0">+CT5*0.5</f>
        <v>42.487516500000019</v>
      </c>
      <c r="CV5" s="35">
        <f t="shared" si="0"/>
        <v>21.24375825000001</v>
      </c>
      <c r="CW5" s="16">
        <f t="shared" si="0"/>
        <v>10.621879125000005</v>
      </c>
      <c r="CX5" s="16">
        <f t="shared" si="0"/>
        <v>5.3109395625000024</v>
      </c>
      <c r="CY5" s="16">
        <f t="shared" si="0"/>
        <v>2.6554697812500012</v>
      </c>
      <c r="CZ5" s="16">
        <f t="shared" si="0"/>
        <v>1.3277348906250006</v>
      </c>
      <c r="DA5" s="24"/>
      <c r="DB5" s="24"/>
      <c r="DC5" s="6"/>
      <c r="DD5" s="6"/>
      <c r="DE5" s="6"/>
      <c r="DF5" s="6"/>
      <c r="DG5" s="6"/>
      <c r="DH5" s="6"/>
      <c r="DI5" s="6"/>
      <c r="DJ5" s="6"/>
      <c r="DK5" s="6"/>
    </row>
    <row r="6" spans="1:115" s="8" customFormat="1" x14ac:dyDescent="0.2">
      <c r="B6" s="32" t="s">
        <v>253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35"/>
      <c r="BK6" s="35"/>
      <c r="BL6" s="35">
        <v>75.400000000000006</v>
      </c>
      <c r="BM6" s="35">
        <v>74.7</v>
      </c>
      <c r="BN6" s="35">
        <v>74</v>
      </c>
      <c r="BO6" s="35">
        <v>72.400000000000006</v>
      </c>
      <c r="BP6" s="35">
        <v>76.2</v>
      </c>
      <c r="BQ6" s="35">
        <v>85.2</v>
      </c>
      <c r="BR6" s="35">
        <v>72.3</v>
      </c>
      <c r="BS6" s="35">
        <v>82.8</v>
      </c>
      <c r="BT6" s="35">
        <v>79</v>
      </c>
      <c r="BU6" s="35">
        <v>87.5</v>
      </c>
      <c r="BV6" s="35">
        <v>75.8</v>
      </c>
      <c r="BW6" s="35">
        <v>88.2</v>
      </c>
      <c r="BX6" s="35">
        <v>95.1</v>
      </c>
      <c r="BY6" s="35">
        <v>92</v>
      </c>
      <c r="BZ6" s="35">
        <v>84.1</v>
      </c>
      <c r="CA6" s="35">
        <v>106.2</v>
      </c>
      <c r="CB6" s="35">
        <v>107.1</v>
      </c>
      <c r="CC6" s="35"/>
      <c r="CD6" s="35"/>
      <c r="CE6" s="35"/>
      <c r="CF6" s="35"/>
      <c r="CG6" s="35"/>
      <c r="CH6" s="35"/>
      <c r="CI6" s="48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16"/>
      <c r="CX6" s="16"/>
      <c r="CY6" s="16"/>
      <c r="CZ6" s="16"/>
      <c r="DA6" s="24"/>
      <c r="DB6" s="24"/>
      <c r="DC6" s="6"/>
      <c r="DD6" s="6"/>
      <c r="DE6" s="6"/>
      <c r="DF6" s="6"/>
      <c r="DG6" s="6"/>
      <c r="DH6" s="6"/>
      <c r="DI6" s="6"/>
      <c r="DJ6" s="6"/>
      <c r="DK6" s="6"/>
    </row>
    <row r="7" spans="1:115" s="8" customFormat="1" x14ac:dyDescent="0.2">
      <c r="B7" s="32" t="s">
        <v>254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35"/>
      <c r="BK7" s="35"/>
      <c r="BL7" s="35">
        <v>29</v>
      </c>
      <c r="BM7" s="35">
        <v>37.6</v>
      </c>
      <c r="BN7" s="35">
        <v>29.7</v>
      </c>
      <c r="BO7" s="35">
        <v>43.9</v>
      </c>
      <c r="BP7" s="35">
        <v>53.1</v>
      </c>
      <c r="BQ7" s="35">
        <v>55.3</v>
      </c>
      <c r="BR7" s="35">
        <v>50</v>
      </c>
      <c r="BS7" s="35">
        <v>55.6</v>
      </c>
      <c r="BT7" s="35">
        <v>44.5</v>
      </c>
      <c r="BU7" s="35">
        <v>46.1</v>
      </c>
      <c r="BV7" s="35">
        <v>36.700000000000003</v>
      </c>
      <c r="BW7" s="35">
        <v>49.1</v>
      </c>
      <c r="BX7" s="35">
        <v>44.3</v>
      </c>
      <c r="BY7" s="35">
        <v>51.3</v>
      </c>
      <c r="BZ7" s="35">
        <v>54.2</v>
      </c>
      <c r="CA7" s="35">
        <v>58.4</v>
      </c>
      <c r="CB7" s="35">
        <v>51.7</v>
      </c>
      <c r="CC7" s="35"/>
      <c r="CD7" s="35"/>
      <c r="CE7" s="35"/>
      <c r="CF7" s="35"/>
      <c r="CG7" s="35"/>
      <c r="CH7" s="35"/>
      <c r="CI7" s="48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16"/>
      <c r="CX7" s="16"/>
      <c r="CY7" s="16"/>
      <c r="CZ7" s="16"/>
      <c r="DA7" s="24"/>
      <c r="DB7" s="24"/>
      <c r="DC7" s="6"/>
      <c r="DD7" s="6"/>
      <c r="DE7" s="6"/>
      <c r="DF7" s="6"/>
      <c r="DG7" s="6"/>
      <c r="DH7" s="6"/>
      <c r="DI7" s="6"/>
      <c r="DJ7" s="6"/>
      <c r="DK7" s="6"/>
    </row>
    <row r="8" spans="1:115" s="8" customFormat="1" x14ac:dyDescent="0.2">
      <c r="B8" s="8" t="s">
        <v>41</v>
      </c>
      <c r="C8" s="16">
        <v>1.38</v>
      </c>
      <c r="D8" s="16">
        <v>1.385</v>
      </c>
      <c r="E8" s="16">
        <v>1.484</v>
      </c>
      <c r="F8" s="16">
        <v>1.371</v>
      </c>
      <c r="G8" s="16">
        <v>1.7490000000000001</v>
      </c>
      <c r="H8" s="16">
        <v>1.5629999999999999</v>
      </c>
      <c r="I8" s="16">
        <v>1.5109999999999999</v>
      </c>
      <c r="J8" s="16">
        <v>1.679</v>
      </c>
      <c r="K8" s="16">
        <v>1.8859999999999999</v>
      </c>
      <c r="L8" s="16">
        <v>1.839</v>
      </c>
      <c r="M8" s="16">
        <v>1.718</v>
      </c>
      <c r="N8" s="16">
        <v>2.1720000000000002</v>
      </c>
      <c r="O8" s="16">
        <v>2.2269999999999999</v>
      </c>
      <c r="P8" s="16">
        <v>2.3929999999999998</v>
      </c>
      <c r="Q8" s="16">
        <v>2.3239999999999998</v>
      </c>
      <c r="R8" s="16">
        <v>2.37</v>
      </c>
      <c r="S8" s="16">
        <v>2.5299999999999998</v>
      </c>
      <c r="T8" s="16">
        <v>2.6480000000000001</v>
      </c>
      <c r="U8" s="16">
        <v>2.9039999999999999</v>
      </c>
      <c r="V8" s="16">
        <v>2.7949999999999999</v>
      </c>
      <c r="W8" s="16">
        <v>2.9660000000000002</v>
      </c>
      <c r="X8" s="16">
        <v>2.77</v>
      </c>
      <c r="Y8" s="16">
        <f>2.408</f>
        <v>2.4079999999999999</v>
      </c>
      <c r="Z8" s="16">
        <v>2.7869999999999999</v>
      </c>
      <c r="AA8" s="16">
        <v>3</v>
      </c>
      <c r="AB8" s="16">
        <v>0.20499999999999999</v>
      </c>
      <c r="AC8" s="16">
        <v>3</v>
      </c>
      <c r="AD8" s="16">
        <v>3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35"/>
      <c r="BK8" s="35"/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0</v>
      </c>
      <c r="BT8" s="35">
        <v>0</v>
      </c>
      <c r="BU8" s="35">
        <v>0</v>
      </c>
      <c r="BV8" s="35">
        <v>0</v>
      </c>
      <c r="BW8" s="35">
        <v>0</v>
      </c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48"/>
      <c r="CJ8" s="35">
        <v>5.3460000000000001</v>
      </c>
      <c r="CK8" s="35">
        <v>5.7729999999999997</v>
      </c>
      <c r="CL8" s="35">
        <v>6.5970000000000004</v>
      </c>
      <c r="CM8" s="35">
        <f>SUM(K8:N8)</f>
        <v>7.6150000000000002</v>
      </c>
      <c r="CN8" s="35">
        <f>SUM(O8:R8)</f>
        <v>9.3140000000000001</v>
      </c>
      <c r="CO8" s="35">
        <f>SUM(S8:V8)</f>
        <v>10.877000000000001</v>
      </c>
      <c r="CP8" s="35">
        <v>10.932</v>
      </c>
      <c r="CQ8" s="35">
        <f>SUM(AA8:AD8)</f>
        <v>9.2050000000000001</v>
      </c>
      <c r="CR8" s="35"/>
      <c r="CS8" s="35"/>
      <c r="CT8" s="35"/>
      <c r="CU8" s="35"/>
      <c r="CV8" s="35"/>
      <c r="CW8" s="16"/>
      <c r="CX8" s="24"/>
      <c r="CY8" s="24"/>
      <c r="CZ8" s="24"/>
      <c r="DA8" s="24"/>
      <c r="DB8" s="24"/>
      <c r="DC8" s="6"/>
      <c r="DD8" s="6"/>
      <c r="DE8" s="6"/>
      <c r="DF8" s="6"/>
      <c r="DG8" s="6"/>
      <c r="DH8" s="6"/>
      <c r="DI8" s="6"/>
      <c r="DJ8" s="6"/>
      <c r="DK8" s="6"/>
    </row>
    <row r="9" spans="1:115" s="8" customFormat="1" x14ac:dyDescent="0.2">
      <c r="B9" s="8" t="s">
        <v>6</v>
      </c>
      <c r="C9" s="16">
        <v>0.22900000000000001</v>
      </c>
      <c r="D9" s="16">
        <v>0.151</v>
      </c>
      <c r="E9" s="16">
        <v>0.109</v>
      </c>
      <c r="F9" s="16"/>
      <c r="G9" s="16">
        <v>0.111</v>
      </c>
      <c r="H9" s="16">
        <v>0.152</v>
      </c>
      <c r="I9" s="16">
        <v>6.9000000000000006E-2</v>
      </c>
      <c r="J9" s="16"/>
      <c r="K9" s="16">
        <v>0.13300000000000001</v>
      </c>
      <c r="L9" s="16">
        <v>0.14799999999999999</v>
      </c>
      <c r="M9" s="16">
        <v>0.66600000000000004</v>
      </c>
      <c r="N9" s="16">
        <v>0.82699999999999996</v>
      </c>
      <c r="O9" s="16">
        <v>0.66700000000000004</v>
      </c>
      <c r="P9" s="16">
        <v>0.66600000000000004</v>
      </c>
      <c r="Q9" s="16">
        <v>0.55900000000000005</v>
      </c>
      <c r="R9" s="16">
        <f>0.342+0.013</f>
        <v>0.35500000000000004</v>
      </c>
      <c r="S9" s="16">
        <v>0.34200000000000003</v>
      </c>
      <c r="T9" s="16">
        <v>0.32300000000000001</v>
      </c>
      <c r="U9" s="16">
        <v>0.28399999999999997</v>
      </c>
      <c r="V9" s="16">
        <v>0.28299999999999997</v>
      </c>
      <c r="W9" s="16">
        <v>0.28199999999999997</v>
      </c>
      <c r="X9" s="16">
        <v>0.28199999999999997</v>
      </c>
      <c r="Y9" s="16">
        <v>0.33900000000000002</v>
      </c>
      <c r="Z9" s="16">
        <v>0.29299999999999998</v>
      </c>
      <c r="AA9" s="16">
        <v>0</v>
      </c>
      <c r="AB9" s="16">
        <v>0</v>
      </c>
      <c r="AC9" s="16">
        <v>0</v>
      </c>
      <c r="AD9" s="16">
        <v>0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35"/>
      <c r="BK9" s="35"/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0</v>
      </c>
      <c r="BR9" s="35">
        <v>0</v>
      </c>
      <c r="BS9" s="35">
        <v>10</v>
      </c>
      <c r="BT9" s="35">
        <v>0</v>
      </c>
      <c r="BU9" s="35">
        <v>0</v>
      </c>
      <c r="BV9" s="35">
        <v>3.8</v>
      </c>
      <c r="BW9" s="35">
        <v>2.5</v>
      </c>
      <c r="BX9" s="35">
        <v>3.5</v>
      </c>
      <c r="BY9" s="35">
        <v>1.9</v>
      </c>
      <c r="BZ9" s="35">
        <v>3.9</v>
      </c>
      <c r="CA9" s="35">
        <v>6.2</v>
      </c>
      <c r="CB9" s="35">
        <v>4.9000000000000004</v>
      </c>
      <c r="CC9" s="35"/>
      <c r="CD9" s="35"/>
      <c r="CE9" s="35"/>
      <c r="CF9" s="35"/>
      <c r="CG9" s="35"/>
      <c r="CH9" s="35"/>
      <c r="CI9" s="48"/>
      <c r="CJ9" s="35">
        <v>2.1949999999999998</v>
      </c>
      <c r="CK9" s="35">
        <v>0.68899999999999995</v>
      </c>
      <c r="CL9" s="35">
        <v>0.55700000000000005</v>
      </c>
      <c r="CM9" s="35">
        <f>SUM(K9:N9)</f>
        <v>1.774</v>
      </c>
      <c r="CN9" s="35">
        <f>SUM(O9:R9)</f>
        <v>2.2470000000000003</v>
      </c>
      <c r="CO9" s="35">
        <f>SUM(S9:V9)</f>
        <v>1.232</v>
      </c>
      <c r="CP9" s="35">
        <v>1.1970000000000001</v>
      </c>
      <c r="CQ9" s="35">
        <f>SUM(AA9:AD9)</f>
        <v>0</v>
      </c>
      <c r="CR9" s="35"/>
      <c r="CS9" s="35"/>
      <c r="CT9" s="35"/>
      <c r="CU9" s="35"/>
      <c r="CV9" s="35"/>
      <c r="CW9" s="16"/>
      <c r="CX9" s="24"/>
      <c r="CY9" s="24"/>
      <c r="CZ9" s="24"/>
      <c r="DA9" s="24"/>
      <c r="DB9" s="24"/>
      <c r="DC9" s="6"/>
      <c r="DD9" s="6"/>
      <c r="DE9" s="6"/>
      <c r="DF9" s="6"/>
      <c r="DG9" s="6"/>
      <c r="DH9" s="6"/>
      <c r="DI9" s="6"/>
      <c r="DJ9" s="6"/>
      <c r="DK9" s="6"/>
    </row>
    <row r="10" spans="1:115" s="8" customFormat="1" x14ac:dyDescent="0.2">
      <c r="B10" s="8" t="s">
        <v>42</v>
      </c>
      <c r="C10" s="16">
        <v>0.13300000000000001</v>
      </c>
      <c r="D10" s="16">
        <v>6.5000000000000002E-2</v>
      </c>
      <c r="E10" s="16">
        <v>6.5000000000000002E-2</v>
      </c>
      <c r="F10" s="16"/>
      <c r="G10" s="16"/>
      <c r="H10" s="16"/>
      <c r="I10" s="16"/>
      <c r="J10" s="16"/>
      <c r="K10" s="16"/>
      <c r="L10" s="16">
        <v>0.66700000000000004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35"/>
      <c r="BK10" s="35"/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>
        <v>0</v>
      </c>
      <c r="BU10" s="35">
        <v>0</v>
      </c>
      <c r="BV10" s="35">
        <v>0</v>
      </c>
      <c r="BW10" s="35">
        <v>0</v>
      </c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48"/>
      <c r="CJ10" s="35"/>
      <c r="CK10" s="35">
        <v>0.26200000000000001</v>
      </c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16"/>
      <c r="CX10" s="24"/>
      <c r="CY10" s="24"/>
      <c r="CZ10" s="24"/>
      <c r="DA10" s="24"/>
      <c r="DB10" s="24"/>
      <c r="DC10" s="6"/>
      <c r="DD10" s="6"/>
      <c r="DE10" s="6"/>
      <c r="DF10" s="6"/>
      <c r="DG10" s="6"/>
      <c r="DH10" s="6"/>
      <c r="DI10" s="6"/>
      <c r="DJ10" s="6"/>
      <c r="DK10" s="6"/>
    </row>
    <row r="11" spans="1:115" s="9" customFormat="1" x14ac:dyDescent="0.2">
      <c r="B11" s="9" t="s">
        <v>43</v>
      </c>
      <c r="C11" s="20">
        <f>SUM(C3:C10)</f>
        <v>23.206999999999997</v>
      </c>
      <c r="D11" s="20">
        <f>SUM(D3:D10)</f>
        <v>30.057000000000002</v>
      </c>
      <c r="E11" s="20">
        <f t="shared" ref="E11:L11" si="1">SUM(E3:E10)</f>
        <v>33.01</v>
      </c>
      <c r="F11" s="20">
        <f t="shared" si="1"/>
        <v>29.640999999999998</v>
      </c>
      <c r="G11" s="20">
        <f t="shared" si="1"/>
        <v>33.163999999999994</v>
      </c>
      <c r="H11" s="20">
        <f t="shared" si="1"/>
        <v>40.245000000000005</v>
      </c>
      <c r="I11" s="20">
        <f t="shared" si="1"/>
        <v>40.397000000000006</v>
      </c>
      <c r="J11" s="20">
        <f t="shared" si="1"/>
        <v>45.826000000000001</v>
      </c>
      <c r="K11" s="20">
        <f t="shared" si="1"/>
        <v>40.169000000000004</v>
      </c>
      <c r="L11" s="20">
        <f t="shared" si="1"/>
        <v>51.831000000000003</v>
      </c>
      <c r="M11" s="20">
        <f t="shared" ref="M11:T11" si="2">SUM(M3:M10)</f>
        <v>59.045000000000002</v>
      </c>
      <c r="N11" s="20">
        <f t="shared" si="2"/>
        <v>59.897999999999996</v>
      </c>
      <c r="O11" s="20">
        <f t="shared" si="2"/>
        <v>62.046999999999997</v>
      </c>
      <c r="P11" s="20">
        <f t="shared" si="2"/>
        <v>68.555999999999997</v>
      </c>
      <c r="Q11" s="20">
        <f t="shared" si="2"/>
        <v>75.031999999999996</v>
      </c>
      <c r="R11" s="20">
        <f t="shared" si="2"/>
        <v>75.862000000000009</v>
      </c>
      <c r="S11" s="20">
        <f t="shared" si="2"/>
        <v>79.73</v>
      </c>
      <c r="T11" s="20">
        <f t="shared" si="2"/>
        <v>83.97999999999999</v>
      </c>
      <c r="U11" s="20">
        <f t="shared" ref="U11:AD11" si="3">SUM(U3:U10)</f>
        <v>97.215000000000003</v>
      </c>
      <c r="V11" s="20">
        <f t="shared" si="3"/>
        <v>108.92300000000002</v>
      </c>
      <c r="W11" s="20">
        <f t="shared" si="3"/>
        <v>128.88000000000002</v>
      </c>
      <c r="X11" s="20">
        <f t="shared" si="3"/>
        <v>137.49100000000004</v>
      </c>
      <c r="Y11" s="20">
        <f>SUM(Y3:Y10)</f>
        <v>170.98299999999998</v>
      </c>
      <c r="Z11" s="20">
        <f t="shared" si="3"/>
        <v>166.47700000000003</v>
      </c>
      <c r="AA11" s="20">
        <f t="shared" si="3"/>
        <v>167</v>
      </c>
      <c r="AB11" s="20">
        <f t="shared" si="3"/>
        <v>183.751</v>
      </c>
      <c r="AC11" s="20">
        <f t="shared" si="3"/>
        <v>175.89400000000001</v>
      </c>
      <c r="AD11" s="20">
        <f t="shared" si="3"/>
        <v>176.89400000000001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36"/>
      <c r="BK11" s="36"/>
      <c r="BL11" s="36">
        <f t="shared" ref="BL11:BQ11" si="4">SUM(BL3:BL10)</f>
        <v>362</v>
      </c>
      <c r="BM11" s="36">
        <f t="shared" si="4"/>
        <v>380.1</v>
      </c>
      <c r="BN11" s="36">
        <f t="shared" si="4"/>
        <v>384.90000000000003</v>
      </c>
      <c r="BO11" s="36">
        <f t="shared" si="4"/>
        <v>379.1</v>
      </c>
      <c r="BP11" s="36">
        <f t="shared" si="4"/>
        <v>446.50000000000006</v>
      </c>
      <c r="BQ11" s="36">
        <f t="shared" si="4"/>
        <v>444.70000000000005</v>
      </c>
      <c r="BR11" s="36">
        <f>SUM(BR3:BR10)</f>
        <v>415.20000000000005</v>
      </c>
      <c r="BS11" s="36">
        <f>SUM(BS3:BS10)</f>
        <v>461.90000000000003</v>
      </c>
      <c r="BT11" s="36">
        <f>SUM(BT3:BT10)</f>
        <v>466.9</v>
      </c>
      <c r="BU11" s="36">
        <f>SUM(BU3:BU10)</f>
        <v>516</v>
      </c>
      <c r="BV11" s="36">
        <f t="shared" ref="BV11:CH11" si="5">SUM(BV3:BV10)</f>
        <v>491.5</v>
      </c>
      <c r="BW11" s="36">
        <f t="shared" si="5"/>
        <v>506.90000000000003</v>
      </c>
      <c r="BX11" s="36">
        <f t="shared" si="5"/>
        <v>596.49999999999989</v>
      </c>
      <c r="BY11" s="36">
        <f t="shared" si="5"/>
        <v>609.4</v>
      </c>
      <c r="BZ11" s="36">
        <f t="shared" si="5"/>
        <v>614.70000000000005</v>
      </c>
      <c r="CA11" s="36">
        <f t="shared" si="5"/>
        <v>677.7</v>
      </c>
      <c r="CB11" s="36">
        <f t="shared" si="5"/>
        <v>714.90000000000009</v>
      </c>
      <c r="CC11" s="36">
        <f t="shared" si="5"/>
        <v>0</v>
      </c>
      <c r="CD11" s="36">
        <f t="shared" si="5"/>
        <v>0</v>
      </c>
      <c r="CE11" s="36">
        <f t="shared" si="5"/>
        <v>0</v>
      </c>
      <c r="CF11" s="36">
        <f t="shared" si="5"/>
        <v>0</v>
      </c>
      <c r="CG11" s="36">
        <f t="shared" si="5"/>
        <v>0</v>
      </c>
      <c r="CH11" s="36">
        <f t="shared" si="5"/>
        <v>0</v>
      </c>
      <c r="CI11" s="49"/>
      <c r="CJ11" s="36">
        <f>SUM(CJ3:CJ10)</f>
        <v>73.590999999999994</v>
      </c>
      <c r="CK11" s="36">
        <f>SUM(CK3:CK10)</f>
        <v>115.91499999999999</v>
      </c>
      <c r="CL11" s="36">
        <f>SUM(CL3:CL9)</f>
        <v>159.63200000000001</v>
      </c>
      <c r="CM11" s="36">
        <f>SUM(CM3:CM9)</f>
        <v>210.27600000000001</v>
      </c>
      <c r="CN11" s="36">
        <f>SUM(CN3:CN9)</f>
        <v>281.49700000000007</v>
      </c>
      <c r="CO11" s="36">
        <f>SUM(CO3:CO9)</f>
        <v>369.84800000000007</v>
      </c>
      <c r="CP11" s="36">
        <f>SUM(CP3:CP9)</f>
        <v>603.83100000000002</v>
      </c>
      <c r="CQ11" s="36">
        <f t="shared" ref="CQ11:CW11" si="6">SUM(CQ3:CQ9)</f>
        <v>703.53899999999999</v>
      </c>
      <c r="CR11" s="36">
        <f t="shared" si="6"/>
        <v>776.25144999999998</v>
      </c>
      <c r="CS11" s="36">
        <f t="shared" si="6"/>
        <v>791.93203000000005</v>
      </c>
      <c r="CT11" s="36">
        <f t="shared" si="6"/>
        <v>824.65703300000007</v>
      </c>
      <c r="CU11" s="36">
        <f t="shared" si="6"/>
        <v>782.16951649999999</v>
      </c>
      <c r="CV11" s="36">
        <f t="shared" si="6"/>
        <v>760.92575825000006</v>
      </c>
      <c r="CW11" s="20">
        <f t="shared" si="6"/>
        <v>504.86747912500005</v>
      </c>
      <c r="CX11" s="20">
        <f>SUM(CX3:CX9)</f>
        <v>351.95741956250004</v>
      </c>
      <c r="CY11" s="20">
        <f>SUM(CY3:CY9)</f>
        <v>255.59765378125005</v>
      </c>
      <c r="CZ11" s="20">
        <f>SUM(CZ3:CZ9)</f>
        <v>191.49398209062505</v>
      </c>
      <c r="DA11" s="22"/>
      <c r="DB11" s="22"/>
      <c r="DC11" s="7"/>
      <c r="DD11" s="7"/>
      <c r="DE11" s="7"/>
      <c r="DF11" s="7"/>
      <c r="DG11" s="7"/>
      <c r="DH11" s="7"/>
      <c r="DI11" s="7"/>
      <c r="DJ11" s="7"/>
      <c r="DK11" s="7"/>
    </row>
    <row r="12" spans="1:115" s="8" customFormat="1" x14ac:dyDescent="0.2">
      <c r="B12" s="8" t="s">
        <v>7</v>
      </c>
      <c r="C12" s="16">
        <f>2.02+0.535</f>
        <v>2.5550000000000002</v>
      </c>
      <c r="D12" s="16">
        <f>2.653+0.522</f>
        <v>3.1749999999999998</v>
      </c>
      <c r="E12" s="16">
        <f>2.936+0.496</f>
        <v>3.4319999999999999</v>
      </c>
      <c r="F12" s="16">
        <f>2.633+0.52</f>
        <v>3.153</v>
      </c>
      <c r="G12" s="16">
        <f>3.346+0.531</f>
        <v>3.8770000000000002</v>
      </c>
      <c r="H12" s="16">
        <f>3.745+0.499</f>
        <v>4.2439999999999998</v>
      </c>
      <c r="I12" s="16">
        <f>3.631+0.523</f>
        <v>4.1539999999999999</v>
      </c>
      <c r="J12" s="16">
        <f>4.251+0.502</f>
        <v>4.7530000000000001</v>
      </c>
      <c r="K12" s="16">
        <f>3.815+0.581</f>
        <v>4.3959999999999999</v>
      </c>
      <c r="L12" s="16">
        <f>4.791+0.551</f>
        <v>5.3420000000000005</v>
      </c>
      <c r="M12" s="16">
        <f>5.568+0.598</f>
        <v>6.1659999999999995</v>
      </c>
      <c r="N12" s="16">
        <f>5.745+0.612</f>
        <v>6.3570000000000002</v>
      </c>
      <c r="O12" s="16">
        <f>6.175+0.711</f>
        <v>6.8860000000000001</v>
      </c>
      <c r="P12" s="16">
        <f>6.564+0.768</f>
        <v>7.3319999999999999</v>
      </c>
      <c r="Q12" s="16">
        <f>6.95+0.791</f>
        <v>7.7410000000000005</v>
      </c>
      <c r="R12" s="16">
        <f>7.267+0.839</f>
        <v>8.1059999999999999</v>
      </c>
      <c r="S12" s="16">
        <f>8.066+0.92</f>
        <v>8.9860000000000007</v>
      </c>
      <c r="T12" s="16">
        <f>9.015+1.069-2.403</f>
        <v>7.6809999999999992</v>
      </c>
      <c r="U12" s="16">
        <f>11.576+1.179</f>
        <v>12.755000000000001</v>
      </c>
      <c r="V12" s="16">
        <f>12.223+1.263</f>
        <v>13.486000000000001</v>
      </c>
      <c r="W12" s="16">
        <f>13.736+1.15</f>
        <v>14.886000000000001</v>
      </c>
      <c r="X12" s="16">
        <f>15.275+1.409</f>
        <v>16.684000000000001</v>
      </c>
      <c r="Y12" s="16">
        <f>20.169+1.553</f>
        <v>21.722000000000001</v>
      </c>
      <c r="Z12" s="16">
        <f>18.536</f>
        <v>18.536000000000001</v>
      </c>
      <c r="AA12" s="16">
        <f>AA11-AA11*AA33</f>
        <v>20.039999999999992</v>
      </c>
      <c r="AB12" s="16">
        <f>AB11-AB11*AB33</f>
        <v>22.050119999999993</v>
      </c>
      <c r="AC12" s="16">
        <f>AC11-AC11*AC33</f>
        <v>21.107280000000003</v>
      </c>
      <c r="AD12" s="16">
        <f>AD11-AD11*AD33</f>
        <v>21.227280000000007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35"/>
      <c r="BK12" s="35"/>
      <c r="BL12" s="35">
        <v>25.9</v>
      </c>
      <c r="BM12" s="35">
        <v>24</v>
      </c>
      <c r="BN12" s="35">
        <v>34.799999999999997</v>
      </c>
      <c r="BO12" s="35">
        <v>23</v>
      </c>
      <c r="BP12" s="35">
        <v>37.200000000000003</v>
      </c>
      <c r="BQ12" s="35">
        <v>27.7</v>
      </c>
      <c r="BR12" s="35">
        <v>34.6</v>
      </c>
      <c r="BS12" s="35">
        <v>25.9</v>
      </c>
      <c r="BT12" s="35">
        <v>29.7</v>
      </c>
      <c r="BU12" s="35">
        <v>37.200000000000003</v>
      </c>
      <c r="BV12" s="35">
        <v>58.8</v>
      </c>
      <c r="BW12" s="35">
        <v>52.3</v>
      </c>
      <c r="BX12" s="35">
        <v>64.099999999999994</v>
      </c>
      <c r="BY12" s="35">
        <v>70.099999999999994</v>
      </c>
      <c r="BZ12" s="35">
        <v>71</v>
      </c>
      <c r="CA12" s="35">
        <v>72.900000000000006</v>
      </c>
      <c r="CB12" s="35">
        <v>77.8</v>
      </c>
      <c r="CC12" s="35"/>
      <c r="CD12" s="35"/>
      <c r="CE12" s="35"/>
      <c r="CF12" s="35"/>
      <c r="CG12" s="35"/>
      <c r="CH12" s="35"/>
      <c r="CI12" s="48"/>
      <c r="CJ12" s="35">
        <f>6.347+1.903</f>
        <v>8.25</v>
      </c>
      <c r="CK12" s="35">
        <v>12.315</v>
      </c>
      <c r="CL12" s="35">
        <v>17.027999999999999</v>
      </c>
      <c r="CM12" s="35">
        <f>SUM(K12:N12)</f>
        <v>22.260999999999999</v>
      </c>
      <c r="CN12" s="35">
        <f>CN11-CN13</f>
        <v>30.065000000000055</v>
      </c>
      <c r="CO12" s="35">
        <f t="shared" ref="CO12:CW12" si="7">CO11-CO13</f>
        <v>42.908000000000015</v>
      </c>
      <c r="CP12" s="35">
        <f>67.716+5.749</f>
        <v>73.464999999999989</v>
      </c>
      <c r="CQ12" s="35">
        <f>SUM(AA12:AD12)</f>
        <v>84.424679999999995</v>
      </c>
      <c r="CR12" s="35">
        <f t="shared" si="7"/>
        <v>93.150173999999993</v>
      </c>
      <c r="CS12" s="35">
        <f t="shared" si="7"/>
        <v>95.031843600000002</v>
      </c>
      <c r="CT12" s="35">
        <f t="shared" si="7"/>
        <v>98.958843959999967</v>
      </c>
      <c r="CU12" s="35">
        <f t="shared" si="7"/>
        <v>93.860341980000044</v>
      </c>
      <c r="CV12" s="35">
        <f t="shared" si="7"/>
        <v>91.311090990000025</v>
      </c>
      <c r="CW12" s="16">
        <f t="shared" si="7"/>
        <v>60.58409749499998</v>
      </c>
      <c r="CX12" s="16">
        <f>CX11-CX13</f>
        <v>42.234890347500027</v>
      </c>
      <c r="CY12" s="24"/>
      <c r="CZ12" s="24"/>
      <c r="DA12" s="24"/>
      <c r="DB12" s="24"/>
      <c r="DC12" s="6"/>
      <c r="DD12" s="6"/>
      <c r="DE12" s="6"/>
      <c r="DF12" s="6"/>
      <c r="DG12" s="6"/>
      <c r="DH12" s="6"/>
      <c r="DI12" s="6"/>
      <c r="DJ12" s="6"/>
      <c r="DK12" s="6"/>
    </row>
    <row r="13" spans="1:115" s="8" customFormat="1" x14ac:dyDescent="0.2">
      <c r="B13" s="8" t="s">
        <v>123</v>
      </c>
      <c r="C13" s="16">
        <f>C11-C12</f>
        <v>20.651999999999997</v>
      </c>
      <c r="D13" s="16">
        <f>D11-D12</f>
        <v>26.882000000000001</v>
      </c>
      <c r="E13" s="16">
        <f>E11-E12</f>
        <v>29.577999999999999</v>
      </c>
      <c r="F13" s="16">
        <f t="shared" ref="F13:L13" si="8">F11-F12</f>
        <v>26.488</v>
      </c>
      <c r="G13" s="16">
        <f t="shared" si="8"/>
        <v>29.286999999999995</v>
      </c>
      <c r="H13" s="16">
        <f t="shared" si="8"/>
        <v>36.001000000000005</v>
      </c>
      <c r="I13" s="16">
        <f t="shared" si="8"/>
        <v>36.243000000000009</v>
      </c>
      <c r="J13" s="16">
        <f t="shared" si="8"/>
        <v>41.073</v>
      </c>
      <c r="K13" s="16">
        <f t="shared" si="8"/>
        <v>35.773000000000003</v>
      </c>
      <c r="L13" s="16">
        <f t="shared" si="8"/>
        <v>46.489000000000004</v>
      </c>
      <c r="M13" s="16">
        <f t="shared" ref="M13:U13" si="9">M11-M12</f>
        <v>52.879000000000005</v>
      </c>
      <c r="N13" s="16">
        <f t="shared" si="9"/>
        <v>53.540999999999997</v>
      </c>
      <c r="O13" s="16">
        <f t="shared" si="9"/>
        <v>55.160999999999994</v>
      </c>
      <c r="P13" s="16">
        <f t="shared" si="9"/>
        <v>61.223999999999997</v>
      </c>
      <c r="Q13" s="16">
        <f t="shared" si="9"/>
        <v>67.290999999999997</v>
      </c>
      <c r="R13" s="16">
        <f t="shared" si="9"/>
        <v>67.756000000000014</v>
      </c>
      <c r="S13" s="16">
        <f t="shared" si="9"/>
        <v>70.744</v>
      </c>
      <c r="T13" s="16">
        <f t="shared" si="9"/>
        <v>76.298999999999992</v>
      </c>
      <c r="U13" s="16">
        <f t="shared" si="9"/>
        <v>84.460000000000008</v>
      </c>
      <c r="V13" s="16">
        <f>+V11-V12</f>
        <v>95.437000000000012</v>
      </c>
      <c r="W13" s="16">
        <f>+W11-W12</f>
        <v>113.99400000000003</v>
      </c>
      <c r="X13" s="16">
        <f>+X11-X12</f>
        <v>120.80700000000004</v>
      </c>
      <c r="Y13" s="16">
        <f t="shared" ref="Y13:AD13" si="10">Y11-Y12</f>
        <v>149.26099999999997</v>
      </c>
      <c r="Z13" s="16">
        <f t="shared" si="10"/>
        <v>147.94100000000003</v>
      </c>
      <c r="AA13" s="16">
        <f t="shared" si="10"/>
        <v>146.96</v>
      </c>
      <c r="AB13" s="16">
        <f t="shared" si="10"/>
        <v>161.70088000000001</v>
      </c>
      <c r="AC13" s="16">
        <f t="shared" si="10"/>
        <v>154.78672</v>
      </c>
      <c r="AD13" s="16">
        <f t="shared" si="10"/>
        <v>155.66672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35"/>
      <c r="BK13" s="35"/>
      <c r="BL13" s="35">
        <f t="shared" ref="BL13:BR13" si="11">BL11-BL12</f>
        <v>336.1</v>
      </c>
      <c r="BM13" s="35">
        <f t="shared" si="11"/>
        <v>356.1</v>
      </c>
      <c r="BN13" s="35">
        <f t="shared" si="11"/>
        <v>350.1</v>
      </c>
      <c r="BO13" s="35">
        <f t="shared" si="11"/>
        <v>356.1</v>
      </c>
      <c r="BP13" s="35">
        <f t="shared" si="11"/>
        <v>409.30000000000007</v>
      </c>
      <c r="BQ13" s="35">
        <f t="shared" si="11"/>
        <v>417.00000000000006</v>
      </c>
      <c r="BR13" s="35">
        <f t="shared" si="11"/>
        <v>380.6</v>
      </c>
      <c r="BS13" s="35">
        <f>BS11-BS12</f>
        <v>436.00000000000006</v>
      </c>
      <c r="BT13" s="35">
        <f>BT11-BT12</f>
        <v>437.2</v>
      </c>
      <c r="BU13" s="35">
        <f>+BU11-BU12</f>
        <v>478.8</v>
      </c>
      <c r="BV13" s="35">
        <f>+BV11-BV12</f>
        <v>432.7</v>
      </c>
      <c r="BW13" s="35">
        <f>+BW11-BW12</f>
        <v>454.6</v>
      </c>
      <c r="BX13" s="35">
        <f>+BX11-BX12</f>
        <v>532.39999999999986</v>
      </c>
      <c r="BY13" s="35">
        <f>+BY11-BY12</f>
        <v>539.29999999999995</v>
      </c>
      <c r="BZ13" s="35">
        <f>+BZ11-BZ12</f>
        <v>543.70000000000005</v>
      </c>
      <c r="CA13" s="35">
        <f>+CA11-CA12</f>
        <v>604.80000000000007</v>
      </c>
      <c r="CB13" s="35">
        <f>+CB11-CB12</f>
        <v>637.10000000000014</v>
      </c>
      <c r="CC13" s="35"/>
      <c r="CD13" s="35"/>
      <c r="CE13" s="35"/>
      <c r="CF13" s="35"/>
      <c r="CG13" s="35"/>
      <c r="CH13" s="35"/>
      <c r="CI13" s="48"/>
      <c r="CJ13" s="35">
        <f>CJ11-CJ12</f>
        <v>65.340999999999994</v>
      </c>
      <c r="CK13" s="35">
        <f>CK11-CK12</f>
        <v>103.6</v>
      </c>
      <c r="CL13" s="35">
        <f>CL11-CL12</f>
        <v>142.60400000000001</v>
      </c>
      <c r="CM13" s="35">
        <f>CM11-CM12</f>
        <v>188.01500000000001</v>
      </c>
      <c r="CN13" s="35">
        <f>SUM(O13:R13)</f>
        <v>251.43200000000002</v>
      </c>
      <c r="CO13" s="35">
        <f>SUM(S13:V13)</f>
        <v>326.94000000000005</v>
      </c>
      <c r="CP13" s="35">
        <f>CP11-CP12</f>
        <v>530.36599999999999</v>
      </c>
      <c r="CQ13" s="35">
        <f>CQ11-CQ12</f>
        <v>619.11432000000002</v>
      </c>
      <c r="CR13" s="35">
        <f t="shared" ref="CR13:CW13" si="12">CR11*CR33</f>
        <v>683.10127599999998</v>
      </c>
      <c r="CS13" s="35">
        <f t="shared" si="12"/>
        <v>696.90018640000005</v>
      </c>
      <c r="CT13" s="35">
        <f t="shared" si="12"/>
        <v>725.6981890400001</v>
      </c>
      <c r="CU13" s="35">
        <f t="shared" si="12"/>
        <v>688.30917451999994</v>
      </c>
      <c r="CV13" s="35">
        <f t="shared" si="12"/>
        <v>669.61466726000003</v>
      </c>
      <c r="CW13" s="16">
        <f t="shared" si="12"/>
        <v>444.28338163000006</v>
      </c>
      <c r="CX13" s="16">
        <f>CX11*CX33</f>
        <v>309.72252921500001</v>
      </c>
      <c r="CY13" s="24"/>
      <c r="CZ13" s="24"/>
      <c r="DA13" s="24"/>
      <c r="DB13" s="24"/>
      <c r="DC13" s="6"/>
      <c r="DD13" s="6"/>
      <c r="DE13" s="6"/>
      <c r="DF13" s="6"/>
      <c r="DG13" s="6"/>
      <c r="DH13" s="6"/>
      <c r="DI13" s="6"/>
      <c r="DJ13" s="6"/>
      <c r="DK13" s="6"/>
    </row>
    <row r="14" spans="1:115" s="8" customFormat="1" x14ac:dyDescent="0.2">
      <c r="B14" s="8" t="s">
        <v>8</v>
      </c>
      <c r="C14" s="16">
        <v>5.34</v>
      </c>
      <c r="D14" s="16">
        <v>7.0250000000000004</v>
      </c>
      <c r="E14" s="16">
        <v>5.62</v>
      </c>
      <c r="F14" s="16">
        <v>6.67</v>
      </c>
      <c r="G14" s="16">
        <f>10.079+2.024</f>
        <v>12.103000000000002</v>
      </c>
      <c r="H14" s="16">
        <v>11.871</v>
      </c>
      <c r="I14" s="16">
        <v>12.891</v>
      </c>
      <c r="J14" s="16">
        <v>19.187000000000001</v>
      </c>
      <c r="K14" s="16">
        <v>15.164</v>
      </c>
      <c r="L14" s="16">
        <v>20.474</v>
      </c>
      <c r="M14" s="16">
        <v>19.163</v>
      </c>
      <c r="N14" s="16">
        <v>44.225999999999999</v>
      </c>
      <c r="O14" s="16">
        <v>19.331</v>
      </c>
      <c r="P14" s="16">
        <f>23.093-4.333</f>
        <v>18.759999999999998</v>
      </c>
      <c r="Q14" s="16">
        <v>30.018000000000001</v>
      </c>
      <c r="R14" s="16">
        <v>21.864999999999998</v>
      </c>
      <c r="S14" s="16">
        <v>29.218</v>
      </c>
      <c r="T14" s="16">
        <f>49.371-25.362</f>
        <v>24.009000000000004</v>
      </c>
      <c r="U14" s="16">
        <v>41.171999999999997</v>
      </c>
      <c r="V14" s="16">
        <v>56.576999999999998</v>
      </c>
      <c r="W14" s="16">
        <v>46.877000000000002</v>
      </c>
      <c r="X14" s="16">
        <v>31.036000000000001</v>
      </c>
      <c r="Y14" s="16">
        <v>46.689</v>
      </c>
      <c r="Z14" s="16">
        <v>74.998000000000005</v>
      </c>
      <c r="AA14" s="16">
        <v>60</v>
      </c>
      <c r="AB14" s="16">
        <f>24.268+17.072</f>
        <v>41.34</v>
      </c>
      <c r="AC14" s="16">
        <v>65</v>
      </c>
      <c r="AD14" s="16">
        <v>70</v>
      </c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35"/>
      <c r="BK14" s="35"/>
      <c r="BL14" s="35">
        <v>105.9</v>
      </c>
      <c r="BM14" s="35">
        <v>66.3</v>
      </c>
      <c r="BN14" s="35">
        <f>158.7-72.7</f>
        <v>85.999999999999986</v>
      </c>
      <c r="BO14" s="35">
        <v>117.2</v>
      </c>
      <c r="BP14" s="35">
        <v>112.8</v>
      </c>
      <c r="BQ14" s="35">
        <v>109.1</v>
      </c>
      <c r="BR14" s="35">
        <f>127.9-35.5</f>
        <v>92.4</v>
      </c>
      <c r="BS14" s="35">
        <v>79</v>
      </c>
      <c r="BT14" s="35">
        <v>141.5</v>
      </c>
      <c r="BU14" s="35">
        <v>98.4</v>
      </c>
      <c r="BV14" s="35">
        <f>163.2-50.9</f>
        <v>112.29999999999998</v>
      </c>
      <c r="BW14" s="35">
        <v>87.3</v>
      </c>
      <c r="BX14" s="35">
        <v>130</v>
      </c>
      <c r="BY14" s="35">
        <v>127.6</v>
      </c>
      <c r="BZ14" s="35">
        <v>132.19999999999999</v>
      </c>
      <c r="CA14" s="35">
        <v>144.4</v>
      </c>
      <c r="CB14" s="35">
        <v>177.6</v>
      </c>
      <c r="CC14" s="35"/>
      <c r="CD14" s="35"/>
      <c r="CE14" s="35"/>
      <c r="CF14" s="35"/>
      <c r="CG14" s="35"/>
      <c r="CH14" s="35"/>
      <c r="CI14" s="48"/>
      <c r="CJ14" s="35">
        <v>21.529</v>
      </c>
      <c r="CK14" s="35">
        <v>24.655000000000001</v>
      </c>
      <c r="CL14" s="35">
        <f>54.028+2.024</f>
        <v>56.052</v>
      </c>
      <c r="CM14" s="35">
        <f>SUM(K14:N14)</f>
        <v>99.027000000000001</v>
      </c>
      <c r="CN14" s="35">
        <f>SUM(O14:R14)</f>
        <v>89.97399999999999</v>
      </c>
      <c r="CO14" s="35">
        <f>SUM(S14:V14)</f>
        <v>150.976</v>
      </c>
      <c r="CP14" s="35">
        <v>199.6</v>
      </c>
      <c r="CQ14" s="35">
        <f>SUM(AA14:AD14)</f>
        <v>236.34</v>
      </c>
      <c r="CR14" s="35">
        <f>CQ14-50</f>
        <v>186.34</v>
      </c>
      <c r="CS14" s="35">
        <f>CR14</f>
        <v>186.34</v>
      </c>
      <c r="CT14" s="35">
        <f>CS14-25</f>
        <v>161.34</v>
      </c>
      <c r="CU14" s="35">
        <f>CT14-25</f>
        <v>136.34</v>
      </c>
      <c r="CV14" s="35">
        <f>CU14-25</f>
        <v>111.34</v>
      </c>
      <c r="CW14" s="16">
        <f>CV14-25</f>
        <v>86.34</v>
      </c>
      <c r="CX14" s="16">
        <f>CW14-25</f>
        <v>61.34</v>
      </c>
      <c r="CY14" s="24"/>
      <c r="CZ14" s="24"/>
      <c r="DA14" s="24"/>
      <c r="DB14" s="24"/>
      <c r="DC14" s="6"/>
      <c r="DD14" s="6"/>
      <c r="DE14" s="6"/>
      <c r="DF14" s="6"/>
      <c r="DG14" s="6"/>
      <c r="DH14" s="6"/>
      <c r="DI14" s="6"/>
      <c r="DJ14" s="6"/>
      <c r="DK14" s="6"/>
    </row>
    <row r="15" spans="1:115" s="8" customFormat="1" x14ac:dyDescent="0.2">
      <c r="B15" s="8" t="s">
        <v>9</v>
      </c>
      <c r="C15" s="16">
        <v>8.4730000000000008</v>
      </c>
      <c r="D15" s="16">
        <v>8.6940000000000008</v>
      </c>
      <c r="E15" s="16">
        <v>9.423</v>
      </c>
      <c r="F15" s="16">
        <v>9.4629999999999992</v>
      </c>
      <c r="G15" s="16">
        <v>14.7</v>
      </c>
      <c r="H15" s="16">
        <v>12.614000000000001</v>
      </c>
      <c r="I15" s="16">
        <v>11.919</v>
      </c>
      <c r="J15" s="16">
        <v>18.337</v>
      </c>
      <c r="K15" s="16">
        <v>17.100999999999999</v>
      </c>
      <c r="L15" s="16">
        <v>17.97</v>
      </c>
      <c r="M15" s="16">
        <v>19.559000000000001</v>
      </c>
      <c r="N15" s="16">
        <v>17.71</v>
      </c>
      <c r="O15" s="16">
        <v>21.076000000000001</v>
      </c>
      <c r="P15" s="16">
        <f>19.141-3.313</f>
        <v>15.827999999999998</v>
      </c>
      <c r="Q15" s="16">
        <v>19.213000000000001</v>
      </c>
      <c r="R15" s="16">
        <f>176.751-150</f>
        <v>26.751000000000005</v>
      </c>
      <c r="S15" s="16">
        <v>20.959</v>
      </c>
      <c r="T15" s="16">
        <f>28.646-8.933</f>
        <v>19.713000000000001</v>
      </c>
      <c r="U15" s="16">
        <v>31.550999999999998</v>
      </c>
      <c r="V15" s="16">
        <v>41.031999999999996</v>
      </c>
      <c r="W15" s="16">
        <v>34.871000000000002</v>
      </c>
      <c r="X15" s="16">
        <v>28.943999999999999</v>
      </c>
      <c r="Y15" s="16">
        <v>40.691000000000003</v>
      </c>
      <c r="Z15" s="16">
        <v>62.255000000000003</v>
      </c>
      <c r="AA15" s="16">
        <v>50</v>
      </c>
      <c r="AB15" s="16">
        <v>53</v>
      </c>
      <c r="AC15" s="16">
        <v>55</v>
      </c>
      <c r="AD15" s="16">
        <v>60</v>
      </c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35"/>
      <c r="BK15" s="35"/>
      <c r="BL15" s="35">
        <v>89.7</v>
      </c>
      <c r="BM15" s="35">
        <v>68.7</v>
      </c>
      <c r="BN15" s="35">
        <v>126.1</v>
      </c>
      <c r="BO15" s="35">
        <f>303.7-107.3-105-11.6</f>
        <v>79.799999999999983</v>
      </c>
      <c r="BP15" s="35">
        <v>74.3</v>
      </c>
      <c r="BQ15" s="35">
        <v>79.2</v>
      </c>
      <c r="BR15" s="35">
        <v>82.9</v>
      </c>
      <c r="BS15" s="35">
        <v>69</v>
      </c>
      <c r="BT15" s="35">
        <v>93.9</v>
      </c>
      <c r="BU15" s="35">
        <v>66.099999999999994</v>
      </c>
      <c r="BV15" s="35">
        <v>93.9</v>
      </c>
      <c r="BW15" s="35">
        <v>82.9</v>
      </c>
      <c r="BX15" s="35">
        <v>89</v>
      </c>
      <c r="BY15" s="35">
        <v>84.7</v>
      </c>
      <c r="BZ15" s="35">
        <v>151.4</v>
      </c>
      <c r="CA15" s="35">
        <v>104.1</v>
      </c>
      <c r="CB15" s="35">
        <v>139.6</v>
      </c>
      <c r="CC15" s="35"/>
      <c r="CD15" s="35"/>
      <c r="CE15" s="35"/>
      <c r="CF15" s="35"/>
      <c r="CG15" s="35"/>
      <c r="CH15" s="35"/>
      <c r="CI15" s="48"/>
      <c r="CJ15" s="35">
        <v>30.602</v>
      </c>
      <c r="CK15" s="35">
        <v>36.052</v>
      </c>
      <c r="CL15" s="35">
        <v>57.57</v>
      </c>
      <c r="CM15" s="35">
        <f>SUM(K15:N15)</f>
        <v>72.34</v>
      </c>
      <c r="CN15" s="35">
        <f>SUM(O15:R15)</f>
        <v>82.867999999999995</v>
      </c>
      <c r="CO15" s="35">
        <f>SUM(S15:V15)</f>
        <v>113.255</v>
      </c>
      <c r="CP15" s="35">
        <v>166.761</v>
      </c>
      <c r="CQ15" s="35">
        <f>SUM(AA15:AD15)</f>
        <v>218</v>
      </c>
      <c r="CR15" s="35"/>
      <c r="CS15" s="35"/>
      <c r="CT15" s="35"/>
      <c r="CU15" s="35"/>
      <c r="CV15" s="35"/>
      <c r="CW15" s="16"/>
      <c r="CX15" s="16"/>
      <c r="CY15" s="24"/>
      <c r="CZ15" s="24"/>
      <c r="DA15" s="24"/>
      <c r="DB15" s="24"/>
      <c r="DC15" s="6"/>
      <c r="DD15" s="6"/>
      <c r="DE15" s="6"/>
      <c r="DF15" s="6"/>
      <c r="DG15" s="6"/>
      <c r="DH15" s="6"/>
      <c r="DI15" s="6"/>
      <c r="DJ15" s="6"/>
      <c r="DK15" s="6"/>
    </row>
    <row r="16" spans="1:115" s="8" customFormat="1" x14ac:dyDescent="0.2">
      <c r="B16" s="32" t="s">
        <v>160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>
        <f>25.362+8.933</f>
        <v>34.295000000000002</v>
      </c>
      <c r="U16" s="16"/>
      <c r="V16" s="16"/>
      <c r="W16" s="16"/>
      <c r="X16" s="16">
        <f>+-2+1.42</f>
        <v>-0.58000000000000007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35"/>
      <c r="BK16" s="35"/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48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16"/>
      <c r="CX16" s="16"/>
      <c r="CY16" s="24"/>
      <c r="CZ16" s="24"/>
      <c r="DA16" s="24"/>
      <c r="DB16" s="24"/>
      <c r="DC16" s="6"/>
      <c r="DD16" s="6"/>
      <c r="DE16" s="6"/>
      <c r="DF16" s="6"/>
      <c r="DG16" s="6"/>
      <c r="DH16" s="6"/>
      <c r="DI16" s="6"/>
      <c r="DJ16" s="6"/>
      <c r="DK16" s="6"/>
    </row>
    <row r="17" spans="2:175" s="8" customFormat="1" x14ac:dyDescent="0.2">
      <c r="B17" s="8" t="s">
        <v>124</v>
      </c>
      <c r="C17" s="16">
        <f t="shared" ref="C17:J17" si="13">C15+C14</f>
        <v>13.813000000000001</v>
      </c>
      <c r="D17" s="16">
        <f t="shared" si="13"/>
        <v>15.719000000000001</v>
      </c>
      <c r="E17" s="16">
        <f t="shared" si="13"/>
        <v>15.042999999999999</v>
      </c>
      <c r="F17" s="16">
        <f t="shared" si="13"/>
        <v>16.132999999999999</v>
      </c>
      <c r="G17" s="16">
        <f t="shared" si="13"/>
        <v>26.803000000000001</v>
      </c>
      <c r="H17" s="16">
        <f t="shared" si="13"/>
        <v>24.484999999999999</v>
      </c>
      <c r="I17" s="16">
        <f t="shared" si="13"/>
        <v>24.810000000000002</v>
      </c>
      <c r="J17" s="16">
        <f t="shared" si="13"/>
        <v>37.524000000000001</v>
      </c>
      <c r="K17" s="16">
        <f t="shared" ref="K17:S17" si="14">SUM(K14:K15)</f>
        <v>32.265000000000001</v>
      </c>
      <c r="L17" s="16">
        <f t="shared" si="14"/>
        <v>38.444000000000003</v>
      </c>
      <c r="M17" s="16">
        <f t="shared" si="14"/>
        <v>38.722000000000001</v>
      </c>
      <c r="N17" s="16">
        <f t="shared" si="14"/>
        <v>61.936</v>
      </c>
      <c r="O17" s="16">
        <f t="shared" si="14"/>
        <v>40.406999999999996</v>
      </c>
      <c r="P17" s="16">
        <f t="shared" si="14"/>
        <v>34.587999999999994</v>
      </c>
      <c r="Q17" s="16">
        <f t="shared" si="14"/>
        <v>49.231000000000002</v>
      </c>
      <c r="R17" s="16">
        <f t="shared" si="14"/>
        <v>48.616</v>
      </c>
      <c r="S17" s="16">
        <f t="shared" si="14"/>
        <v>50.177</v>
      </c>
      <c r="T17" s="16">
        <f t="shared" ref="T17:AD17" si="15">SUM(T14:T15)</f>
        <v>43.722000000000008</v>
      </c>
      <c r="U17" s="16">
        <f t="shared" si="15"/>
        <v>72.722999999999999</v>
      </c>
      <c r="V17" s="16">
        <f t="shared" si="15"/>
        <v>97.608999999999995</v>
      </c>
      <c r="W17" s="16">
        <f t="shared" si="15"/>
        <v>81.748000000000005</v>
      </c>
      <c r="X17" s="16">
        <f>SUM(X14:X15)</f>
        <v>59.980000000000004</v>
      </c>
      <c r="Y17" s="16">
        <f t="shared" si="15"/>
        <v>87.38</v>
      </c>
      <c r="Z17" s="16">
        <f t="shared" si="15"/>
        <v>137.25300000000001</v>
      </c>
      <c r="AA17" s="16">
        <f t="shared" si="15"/>
        <v>110</v>
      </c>
      <c r="AB17" s="16">
        <f>SUM(AB14:AB15)</f>
        <v>94.34</v>
      </c>
      <c r="AC17" s="16">
        <f t="shared" si="15"/>
        <v>120</v>
      </c>
      <c r="AD17" s="16">
        <f t="shared" si="15"/>
        <v>130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35"/>
      <c r="BK17" s="35"/>
      <c r="BL17" s="35">
        <f t="shared" ref="BL17" si="16">BL15+BL14</f>
        <v>195.60000000000002</v>
      </c>
      <c r="BM17" s="35">
        <f t="shared" ref="BM17" si="17">BM15+BM14</f>
        <v>135</v>
      </c>
      <c r="BN17" s="35">
        <f t="shared" ref="BN17" si="18">BN15+BN14</f>
        <v>212.09999999999997</v>
      </c>
      <c r="BO17" s="35">
        <f t="shared" ref="BO17:BR17" si="19">BO15+BO14</f>
        <v>197</v>
      </c>
      <c r="BP17" s="35">
        <f t="shared" si="19"/>
        <v>187.1</v>
      </c>
      <c r="BQ17" s="35">
        <f t="shared" si="19"/>
        <v>188.3</v>
      </c>
      <c r="BR17" s="35">
        <f t="shared" si="19"/>
        <v>175.3</v>
      </c>
      <c r="BS17" s="35">
        <f>BS15+BS14</f>
        <v>148</v>
      </c>
      <c r="BT17" s="35">
        <f t="shared" ref="BT17:BU17" si="20">BT15+BT14</f>
        <v>235.4</v>
      </c>
      <c r="BU17" s="35">
        <f t="shared" si="20"/>
        <v>164.5</v>
      </c>
      <c r="BV17" s="35">
        <f t="shared" ref="BV17:BZ17" si="21">BV15+BV14</f>
        <v>206.2</v>
      </c>
      <c r="BW17" s="35">
        <f t="shared" si="21"/>
        <v>170.2</v>
      </c>
      <c r="BX17" s="35">
        <f t="shared" si="21"/>
        <v>219</v>
      </c>
      <c r="BY17" s="35">
        <f t="shared" si="21"/>
        <v>212.3</v>
      </c>
      <c r="BZ17" s="35">
        <f t="shared" si="21"/>
        <v>283.60000000000002</v>
      </c>
      <c r="CA17" s="35">
        <f t="shared" ref="CA17:CB17" si="22">CA15+CA14</f>
        <v>248.5</v>
      </c>
      <c r="CB17" s="35">
        <f t="shared" si="22"/>
        <v>317.2</v>
      </c>
      <c r="CC17" s="35">
        <f t="shared" ref="CC17:CH17" si="23">CC15+CC14</f>
        <v>0</v>
      </c>
      <c r="CD17" s="35">
        <f t="shared" si="23"/>
        <v>0</v>
      </c>
      <c r="CE17" s="35">
        <f t="shared" si="23"/>
        <v>0</v>
      </c>
      <c r="CF17" s="35">
        <f t="shared" si="23"/>
        <v>0</v>
      </c>
      <c r="CG17" s="35">
        <f t="shared" si="23"/>
        <v>0</v>
      </c>
      <c r="CH17" s="35">
        <f t="shared" si="23"/>
        <v>0</v>
      </c>
      <c r="CI17" s="48"/>
      <c r="CJ17" s="35">
        <f t="shared" ref="CJ17:CO17" si="24">SUM(CJ14:CJ15)</f>
        <v>52.131</v>
      </c>
      <c r="CK17" s="35">
        <f t="shared" si="24"/>
        <v>60.707000000000001</v>
      </c>
      <c r="CL17" s="35">
        <f t="shared" si="24"/>
        <v>113.622</v>
      </c>
      <c r="CM17" s="35">
        <f>SUM(CM14:CM15)</f>
        <v>171.36700000000002</v>
      </c>
      <c r="CN17" s="35">
        <f>SUM(CN14:CN15)</f>
        <v>172.84199999999998</v>
      </c>
      <c r="CO17" s="35">
        <f t="shared" si="24"/>
        <v>264.23099999999999</v>
      </c>
      <c r="CP17" s="35">
        <f t="shared" ref="CP17:CW17" si="25">SUM(CP14:CP15)</f>
        <v>366.36099999999999</v>
      </c>
      <c r="CQ17" s="35">
        <f t="shared" si="25"/>
        <v>454.34000000000003</v>
      </c>
      <c r="CR17" s="35">
        <f t="shared" si="25"/>
        <v>186.34</v>
      </c>
      <c r="CS17" s="35">
        <f t="shared" si="25"/>
        <v>186.34</v>
      </c>
      <c r="CT17" s="35">
        <f t="shared" si="25"/>
        <v>161.34</v>
      </c>
      <c r="CU17" s="35">
        <f t="shared" si="25"/>
        <v>136.34</v>
      </c>
      <c r="CV17" s="35">
        <f t="shared" si="25"/>
        <v>111.34</v>
      </c>
      <c r="CW17" s="16">
        <f t="shared" si="25"/>
        <v>86.34</v>
      </c>
      <c r="CX17" s="16">
        <f>SUM(CX14:CX15)</f>
        <v>61.34</v>
      </c>
      <c r="CY17" s="24"/>
      <c r="CZ17" s="24"/>
      <c r="DA17" s="24"/>
      <c r="DB17" s="24"/>
      <c r="DC17" s="6"/>
      <c r="DD17" s="6"/>
      <c r="DE17" s="6"/>
      <c r="DF17" s="6"/>
      <c r="DG17" s="6"/>
      <c r="DH17" s="6"/>
      <c r="DI17" s="6"/>
      <c r="DJ17" s="6"/>
      <c r="DK17" s="6"/>
    </row>
    <row r="18" spans="2:175" s="9" customFormat="1" x14ac:dyDescent="0.2">
      <c r="B18" s="9" t="s">
        <v>125</v>
      </c>
      <c r="C18" s="20">
        <f t="shared" ref="C18:N18" si="26">C13-C17</f>
        <v>6.8389999999999969</v>
      </c>
      <c r="D18" s="20">
        <f t="shared" si="26"/>
        <v>11.163</v>
      </c>
      <c r="E18" s="20">
        <f t="shared" si="26"/>
        <v>14.535</v>
      </c>
      <c r="F18" s="20">
        <f t="shared" si="26"/>
        <v>10.355</v>
      </c>
      <c r="G18" s="20">
        <f t="shared" si="26"/>
        <v>2.4839999999999947</v>
      </c>
      <c r="H18" s="20">
        <f t="shared" si="26"/>
        <v>11.516000000000005</v>
      </c>
      <c r="I18" s="20">
        <f t="shared" si="26"/>
        <v>11.433000000000007</v>
      </c>
      <c r="J18" s="20">
        <f t="shared" si="26"/>
        <v>3.5489999999999995</v>
      </c>
      <c r="K18" s="20">
        <f t="shared" si="26"/>
        <v>3.5080000000000027</v>
      </c>
      <c r="L18" s="20">
        <f t="shared" si="26"/>
        <v>8.0450000000000017</v>
      </c>
      <c r="M18" s="20">
        <f t="shared" si="26"/>
        <v>14.157000000000004</v>
      </c>
      <c r="N18" s="20">
        <f t="shared" si="26"/>
        <v>-8.3950000000000031</v>
      </c>
      <c r="O18" s="20">
        <f t="shared" ref="O18:V18" si="27">O13-O17</f>
        <v>14.753999999999998</v>
      </c>
      <c r="P18" s="20">
        <f t="shared" si="27"/>
        <v>26.636000000000003</v>
      </c>
      <c r="Q18" s="20">
        <f t="shared" si="27"/>
        <v>18.059999999999995</v>
      </c>
      <c r="R18" s="20">
        <f t="shared" si="27"/>
        <v>19.140000000000015</v>
      </c>
      <c r="S18" s="20">
        <f t="shared" si="27"/>
        <v>20.567</v>
      </c>
      <c r="T18" s="20">
        <f t="shared" si="27"/>
        <v>32.576999999999984</v>
      </c>
      <c r="U18" s="20">
        <f t="shared" si="27"/>
        <v>11.737000000000009</v>
      </c>
      <c r="V18" s="20">
        <f t="shared" si="27"/>
        <v>-2.1719999999999828</v>
      </c>
      <c r="W18" s="20">
        <f t="shared" ref="W18:AD18" si="28">W13-W17</f>
        <v>32.246000000000024</v>
      </c>
      <c r="X18" s="20">
        <f t="shared" si="28"/>
        <v>60.827000000000041</v>
      </c>
      <c r="Y18" s="20">
        <f t="shared" si="28"/>
        <v>61.880999999999972</v>
      </c>
      <c r="Z18" s="20">
        <f t="shared" si="28"/>
        <v>10.688000000000017</v>
      </c>
      <c r="AA18" s="20">
        <f t="shared" si="28"/>
        <v>36.960000000000008</v>
      </c>
      <c r="AB18" s="20">
        <f t="shared" si="28"/>
        <v>67.360880000000009</v>
      </c>
      <c r="AC18" s="20">
        <f t="shared" si="28"/>
        <v>34.786720000000003</v>
      </c>
      <c r="AD18" s="20">
        <f t="shared" si="28"/>
        <v>25.666719999999998</v>
      </c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36"/>
      <c r="BK18" s="36"/>
      <c r="BL18" s="36">
        <f t="shared" ref="BL18" si="29">BL13-BL17</f>
        <v>140.5</v>
      </c>
      <c r="BM18" s="36">
        <f t="shared" ref="BM18" si="30">BM13-BM17</f>
        <v>221.10000000000002</v>
      </c>
      <c r="BN18" s="36">
        <f t="shared" ref="BN18" si="31">BN13-BN17</f>
        <v>138.00000000000006</v>
      </c>
      <c r="BO18" s="36">
        <f t="shared" ref="BO18:BR18" si="32">BO13-BO17</f>
        <v>159.10000000000002</v>
      </c>
      <c r="BP18" s="36">
        <f t="shared" si="32"/>
        <v>222.20000000000007</v>
      </c>
      <c r="BQ18" s="36">
        <f t="shared" si="32"/>
        <v>228.70000000000005</v>
      </c>
      <c r="BR18" s="36">
        <f t="shared" si="32"/>
        <v>205.3</v>
      </c>
      <c r="BS18" s="36">
        <f>BS13-BS17</f>
        <v>288.00000000000006</v>
      </c>
      <c r="BT18" s="36">
        <f t="shared" ref="BT18:BU18" si="33">BT13-BT17</f>
        <v>201.79999999999998</v>
      </c>
      <c r="BU18" s="36">
        <f t="shared" si="33"/>
        <v>314.3</v>
      </c>
      <c r="BV18" s="36">
        <f t="shared" ref="BV18" si="34">BV13-BV17</f>
        <v>226.5</v>
      </c>
      <c r="BW18" s="36">
        <f t="shared" ref="BW18" si="35">BW13-BW17</f>
        <v>284.40000000000003</v>
      </c>
      <c r="BX18" s="36">
        <f t="shared" ref="BX18" si="36">BX13-BX17</f>
        <v>313.39999999999986</v>
      </c>
      <c r="BY18" s="36">
        <f t="shared" ref="BY18" si="37">BY13-BY17</f>
        <v>326.99999999999994</v>
      </c>
      <c r="BZ18" s="36">
        <f t="shared" ref="BZ18:CB18" si="38">BZ13-BZ17</f>
        <v>260.10000000000002</v>
      </c>
      <c r="CA18" s="36">
        <f t="shared" si="38"/>
        <v>356.30000000000007</v>
      </c>
      <c r="CB18" s="36">
        <f t="shared" si="38"/>
        <v>319.90000000000015</v>
      </c>
      <c r="CC18" s="36">
        <f t="shared" ref="CC18:CH18" si="39">CC13-CC17</f>
        <v>0</v>
      </c>
      <c r="CD18" s="36">
        <f t="shared" si="39"/>
        <v>0</v>
      </c>
      <c r="CE18" s="36">
        <f t="shared" si="39"/>
        <v>0</v>
      </c>
      <c r="CF18" s="36">
        <f t="shared" si="39"/>
        <v>0</v>
      </c>
      <c r="CG18" s="36">
        <f t="shared" si="39"/>
        <v>0</v>
      </c>
      <c r="CH18" s="36">
        <f t="shared" si="39"/>
        <v>0</v>
      </c>
      <c r="CI18" s="49"/>
      <c r="CJ18" s="36">
        <f>(CJ13-CJ17)</f>
        <v>13.209999999999994</v>
      </c>
      <c r="CK18" s="36">
        <f>(CK13-CK17)</f>
        <v>42.892999999999994</v>
      </c>
      <c r="CL18" s="36">
        <f>(CL13-CL17)</f>
        <v>28.982000000000014</v>
      </c>
      <c r="CM18" s="36">
        <f>(CM13-CM17)</f>
        <v>16.647999999999996</v>
      </c>
      <c r="CN18" s="36">
        <f>(CN13-CN17)</f>
        <v>78.590000000000032</v>
      </c>
      <c r="CO18" s="36">
        <f t="shared" ref="CO18:CW18" si="40">(CO13-CO17)</f>
        <v>62.70900000000006</v>
      </c>
      <c r="CP18" s="36">
        <f t="shared" si="40"/>
        <v>164.005</v>
      </c>
      <c r="CQ18" s="36">
        <f t="shared" si="40"/>
        <v>164.77431999999999</v>
      </c>
      <c r="CR18" s="36">
        <f t="shared" si="40"/>
        <v>496.76127599999995</v>
      </c>
      <c r="CS18" s="36">
        <f t="shared" si="40"/>
        <v>510.56018640000002</v>
      </c>
      <c r="CT18" s="36">
        <f t="shared" si="40"/>
        <v>564.35818904000007</v>
      </c>
      <c r="CU18" s="36">
        <f t="shared" si="40"/>
        <v>551.96917451999991</v>
      </c>
      <c r="CV18" s="36">
        <f t="shared" si="40"/>
        <v>558.27466726</v>
      </c>
      <c r="CW18" s="20">
        <f t="shared" si="40"/>
        <v>357.94338163000009</v>
      </c>
      <c r="CX18" s="20">
        <f>(CX13-CX17)</f>
        <v>248.38252921500001</v>
      </c>
      <c r="CY18" s="22"/>
      <c r="CZ18" s="22"/>
      <c r="DA18" s="22"/>
      <c r="DB18" s="22"/>
      <c r="DC18" s="7"/>
      <c r="DD18" s="7"/>
      <c r="DE18" s="7"/>
      <c r="DF18" s="7"/>
      <c r="DG18" s="7"/>
      <c r="DH18" s="7"/>
      <c r="DI18" s="7"/>
      <c r="DJ18" s="7"/>
      <c r="DK18" s="7"/>
    </row>
    <row r="19" spans="2:175" s="8" customFormat="1" x14ac:dyDescent="0.2">
      <c r="B19" s="8" t="s">
        <v>6</v>
      </c>
      <c r="C19" s="16">
        <v>0.82199999999999995</v>
      </c>
      <c r="D19" s="16">
        <v>1.018</v>
      </c>
      <c r="E19" s="16">
        <v>1.228</v>
      </c>
      <c r="F19" s="16">
        <v>1.5609999999999999</v>
      </c>
      <c r="G19" s="16">
        <v>1.7010000000000001</v>
      </c>
      <c r="H19" s="16">
        <f>1.938+-0.713+-0.079+-0.279</f>
        <v>0.8670000000000001</v>
      </c>
      <c r="I19" s="16">
        <v>2.6669999999999998</v>
      </c>
      <c r="J19" s="16">
        <v>4.2409999999999997</v>
      </c>
      <c r="K19" s="16">
        <v>3.2789999999999999</v>
      </c>
      <c r="L19" s="16">
        <f>1.938+-0.713+-0.079+-0.279</f>
        <v>0.8670000000000001</v>
      </c>
      <c r="M19" s="16">
        <v>2.8580000000000001</v>
      </c>
      <c r="N19" s="16">
        <v>3.2770000000000001</v>
      </c>
      <c r="O19" s="16">
        <v>3.2029999999999998</v>
      </c>
      <c r="P19" s="16">
        <v>3.5779999999999998</v>
      </c>
      <c r="Q19" s="16">
        <v>1.819</v>
      </c>
      <c r="R19" s="16">
        <v>1.1579999999999999</v>
      </c>
      <c r="S19" s="16">
        <v>-0.57099999999999995</v>
      </c>
      <c r="T19" s="16">
        <f>-1.422+3.248</f>
        <v>1.8260000000000003</v>
      </c>
      <c r="U19" s="16">
        <f>1.085-3.331</f>
        <v>-2.246</v>
      </c>
      <c r="V19" s="16">
        <f>1.005-3.659</f>
        <v>-2.6539999999999999</v>
      </c>
      <c r="W19" s="16">
        <f>0.944-4.687-0.047+0.225</f>
        <v>-3.5650000000000004</v>
      </c>
      <c r="X19" s="16">
        <f>0.802-4.759-0.044+0.093</f>
        <v>-3.9080000000000004</v>
      </c>
      <c r="Y19" s="16">
        <v>-4.1470000000000002</v>
      </c>
      <c r="Z19" s="16">
        <f>-1.637+0.629-5.459-0.03+0.314</f>
        <v>-6.1829999999999998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35"/>
      <c r="BK19" s="35"/>
      <c r="BL19" s="35">
        <f>7.2-5.6</f>
        <v>1.6000000000000005</v>
      </c>
      <c r="BM19" s="35">
        <f>6.4-4.9</f>
        <v>1.5</v>
      </c>
      <c r="BN19" s="35">
        <f>5-4.8</f>
        <v>0.20000000000000018</v>
      </c>
      <c r="BO19" s="35">
        <v>0.1</v>
      </c>
      <c r="BP19" s="35">
        <f>4-4.7</f>
        <v>-0.70000000000000018</v>
      </c>
      <c r="BQ19" s="35">
        <f>3.8-4.6</f>
        <v>-0.79999999999999982</v>
      </c>
      <c r="BR19" s="35">
        <f>4.2-4.7</f>
        <v>-0.5</v>
      </c>
      <c r="BS19" s="35">
        <f>4.3-4.7</f>
        <v>-0.40000000000000036</v>
      </c>
      <c r="BT19" s="35">
        <f>6.8-6.2</f>
        <v>0.59999999999999964</v>
      </c>
      <c r="BU19" s="35">
        <f>13.3-9.2-5.9</f>
        <v>-1.7999999999999989</v>
      </c>
      <c r="BV19" s="35">
        <f>20.8-12.3-5.3+3.2</f>
        <v>6.4</v>
      </c>
      <c r="BW19" s="35">
        <f>29.2-13.8-7.9+7.5</f>
        <v>14.999999999999998</v>
      </c>
      <c r="BX19" s="35">
        <f>37.2-14.8-0.6</f>
        <v>21.8</v>
      </c>
      <c r="BY19" s="35">
        <f>45.3-15.6-4.9</f>
        <v>24.799999999999997</v>
      </c>
      <c r="BZ19" s="35">
        <f>51-15.1-0.6</f>
        <v>35.299999999999997</v>
      </c>
      <c r="CA19" s="35">
        <f>53.8-13.3+1.8</f>
        <v>42.3</v>
      </c>
      <c r="CB19" s="35">
        <v>35.4</v>
      </c>
      <c r="CC19" s="35"/>
      <c r="CD19" s="35"/>
      <c r="CE19" s="35"/>
      <c r="CF19" s="35"/>
      <c r="CG19" s="35"/>
      <c r="CH19" s="35"/>
      <c r="CI19" s="48"/>
      <c r="CJ19" s="35">
        <v>2.2400000000000002</v>
      </c>
      <c r="CK19" s="35">
        <v>4.6289999999999996</v>
      </c>
      <c r="CL19" s="35">
        <v>10.926</v>
      </c>
      <c r="CM19" s="35">
        <f>SUM(K19:N19)</f>
        <v>10.280999999999999</v>
      </c>
      <c r="CN19" s="35"/>
      <c r="CO19" s="35"/>
      <c r="CP19" s="35">
        <f>2.939-19.714-0.16+0.769</f>
        <v>-16.166</v>
      </c>
      <c r="CQ19" s="35">
        <f>SUM(AA19:AD19)</f>
        <v>0</v>
      </c>
      <c r="CR19" s="35">
        <f t="shared" ref="CR19:CX19" si="41">CQ38*$DD$27</f>
        <v>27.544615400000005</v>
      </c>
      <c r="CS19" s="35">
        <f t="shared" si="41"/>
        <v>44.584556870500002</v>
      </c>
      <c r="CT19" s="35">
        <f t="shared" si="41"/>
        <v>62.62676102679125</v>
      </c>
      <c r="CU19" s="35">
        <f t="shared" si="41"/>
        <v>83.003771903961962</v>
      </c>
      <c r="CV19" s="35">
        <f t="shared" si="41"/>
        <v>103.64039266274072</v>
      </c>
      <c r="CW19" s="16">
        <f t="shared" si="41"/>
        <v>125.1526321102298</v>
      </c>
      <c r="CX19" s="16">
        <f t="shared" si="41"/>
        <v>140.85325255678728</v>
      </c>
      <c r="CY19" s="24"/>
      <c r="CZ19" s="24"/>
      <c r="DA19" s="24"/>
      <c r="DB19" s="24"/>
      <c r="DC19" s="6"/>
      <c r="DD19" s="6"/>
      <c r="DE19" s="6"/>
      <c r="DF19" s="6"/>
      <c r="DG19" s="6"/>
      <c r="DH19" s="6"/>
      <c r="DI19" s="6"/>
      <c r="DJ19" s="6"/>
      <c r="DK19" s="6"/>
    </row>
    <row r="20" spans="2:175" s="8" customFormat="1" x14ac:dyDescent="0.2">
      <c r="B20" s="8" t="s">
        <v>10</v>
      </c>
      <c r="C20" s="16">
        <f>C18+C19</f>
        <v>7.6609999999999969</v>
      </c>
      <c r="D20" s="16">
        <f>D18+D19</f>
        <v>12.181000000000001</v>
      </c>
      <c r="E20" s="16">
        <f>E18+E19</f>
        <v>15.763</v>
      </c>
      <c r="F20" s="16">
        <f t="shared" ref="F20:L20" si="42">F18+F19</f>
        <v>11.916</v>
      </c>
      <c r="G20" s="16">
        <f t="shared" si="42"/>
        <v>4.1849999999999952</v>
      </c>
      <c r="H20" s="16">
        <f t="shared" si="42"/>
        <v>12.383000000000006</v>
      </c>
      <c r="I20" s="16">
        <f t="shared" si="42"/>
        <v>14.100000000000007</v>
      </c>
      <c r="J20" s="16">
        <f t="shared" si="42"/>
        <v>7.7899999999999991</v>
      </c>
      <c r="K20" s="16">
        <f>K18+K19</f>
        <v>6.7870000000000026</v>
      </c>
      <c r="L20" s="16">
        <f t="shared" si="42"/>
        <v>8.9120000000000026</v>
      </c>
      <c r="M20" s="16">
        <f t="shared" ref="M20:U20" si="43">M18+M19</f>
        <v>17.015000000000004</v>
      </c>
      <c r="N20" s="16">
        <f t="shared" si="43"/>
        <v>-5.118000000000003</v>
      </c>
      <c r="O20" s="16">
        <f t="shared" si="43"/>
        <v>17.956999999999997</v>
      </c>
      <c r="P20" s="16">
        <f t="shared" si="43"/>
        <v>30.214000000000002</v>
      </c>
      <c r="Q20" s="16">
        <f t="shared" si="43"/>
        <v>19.878999999999994</v>
      </c>
      <c r="R20" s="16">
        <f t="shared" si="43"/>
        <v>20.298000000000016</v>
      </c>
      <c r="S20" s="16">
        <f t="shared" si="43"/>
        <v>19.995999999999999</v>
      </c>
      <c r="T20" s="16">
        <f t="shared" si="43"/>
        <v>34.402999999999984</v>
      </c>
      <c r="U20" s="16">
        <f t="shared" si="43"/>
        <v>9.4910000000000085</v>
      </c>
      <c r="V20" s="16">
        <f t="shared" ref="V20:AD20" si="44">V18+V19</f>
        <v>-4.8259999999999827</v>
      </c>
      <c r="W20" s="16">
        <f t="shared" si="44"/>
        <v>28.681000000000022</v>
      </c>
      <c r="X20" s="16">
        <f t="shared" si="44"/>
        <v>56.91900000000004</v>
      </c>
      <c r="Y20" s="16">
        <f t="shared" si="44"/>
        <v>57.733999999999973</v>
      </c>
      <c r="Z20" s="16">
        <f t="shared" si="44"/>
        <v>4.5050000000000168</v>
      </c>
      <c r="AA20" s="16">
        <f t="shared" si="44"/>
        <v>36.960000000000008</v>
      </c>
      <c r="AB20" s="16">
        <f t="shared" si="44"/>
        <v>67.360880000000009</v>
      </c>
      <c r="AC20" s="16">
        <f t="shared" si="44"/>
        <v>34.786720000000003</v>
      </c>
      <c r="AD20" s="16">
        <f t="shared" si="44"/>
        <v>25.666719999999998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35"/>
      <c r="BK20" s="35"/>
      <c r="BL20" s="35">
        <f t="shared" ref="BL20:BM20" si="45">BL18+BL19</f>
        <v>142.1</v>
      </c>
      <c r="BM20" s="35">
        <f t="shared" si="45"/>
        <v>222.60000000000002</v>
      </c>
      <c r="BN20" s="35">
        <f>BN18+BN19</f>
        <v>138.20000000000005</v>
      </c>
      <c r="BO20" s="35">
        <f>BO18+BO19</f>
        <v>159.20000000000002</v>
      </c>
      <c r="BP20" s="35">
        <f t="shared" ref="BP20" si="46">BP18+BP19</f>
        <v>221.50000000000009</v>
      </c>
      <c r="BQ20" s="35">
        <f>BQ18+BQ19</f>
        <v>227.90000000000003</v>
      </c>
      <c r="BR20" s="35">
        <f>BR18+BR19</f>
        <v>204.8</v>
      </c>
      <c r="BS20" s="35">
        <f>BS18+BS19</f>
        <v>287.60000000000008</v>
      </c>
      <c r="BT20" s="35">
        <f>BT18+BT19</f>
        <v>202.39999999999998</v>
      </c>
      <c r="BU20" s="35">
        <f>BU18+BU19</f>
        <v>312.5</v>
      </c>
      <c r="BV20" s="35">
        <f t="shared" ref="BV20:CH20" si="47">BV18+BV19</f>
        <v>232.9</v>
      </c>
      <c r="BW20" s="35">
        <f t="shared" si="47"/>
        <v>299.40000000000003</v>
      </c>
      <c r="BX20" s="35">
        <f t="shared" si="47"/>
        <v>335.19999999999987</v>
      </c>
      <c r="BY20" s="35">
        <f t="shared" si="47"/>
        <v>351.79999999999995</v>
      </c>
      <c r="BZ20" s="35">
        <f t="shared" si="47"/>
        <v>295.40000000000003</v>
      </c>
      <c r="CA20" s="35">
        <f t="shared" si="47"/>
        <v>398.60000000000008</v>
      </c>
      <c r="CB20" s="35">
        <f t="shared" si="47"/>
        <v>355.30000000000013</v>
      </c>
      <c r="CC20" s="35">
        <f t="shared" si="47"/>
        <v>0</v>
      </c>
      <c r="CD20" s="35">
        <f t="shared" si="47"/>
        <v>0</v>
      </c>
      <c r="CE20" s="35">
        <f t="shared" si="47"/>
        <v>0</v>
      </c>
      <c r="CF20" s="35">
        <f t="shared" si="47"/>
        <v>0</v>
      </c>
      <c r="CG20" s="35">
        <f t="shared" si="47"/>
        <v>0</v>
      </c>
      <c r="CH20" s="35">
        <f t="shared" si="47"/>
        <v>0</v>
      </c>
      <c r="CI20" s="48"/>
      <c r="CJ20" s="35">
        <f t="shared" ref="CJ20:CW20" si="48">SUM(CJ18:CJ19)</f>
        <v>15.449999999999994</v>
      </c>
      <c r="CK20" s="35">
        <f t="shared" si="48"/>
        <v>47.521999999999991</v>
      </c>
      <c r="CL20" s="35">
        <f t="shared" si="48"/>
        <v>39.908000000000015</v>
      </c>
      <c r="CM20" s="35">
        <f>SUM(CM18:CM19)</f>
        <v>26.928999999999995</v>
      </c>
      <c r="CN20" s="35">
        <f>SUM(CN18:CN19)</f>
        <v>78.590000000000032</v>
      </c>
      <c r="CO20" s="35">
        <f t="shared" si="48"/>
        <v>62.70900000000006</v>
      </c>
      <c r="CP20" s="35">
        <f t="shared" si="48"/>
        <v>147.839</v>
      </c>
      <c r="CQ20" s="35">
        <f t="shared" si="48"/>
        <v>164.77431999999999</v>
      </c>
      <c r="CR20" s="35">
        <f t="shared" si="48"/>
        <v>524.30589139999995</v>
      </c>
      <c r="CS20" s="35">
        <f t="shared" si="48"/>
        <v>555.14474327050004</v>
      </c>
      <c r="CT20" s="35">
        <f t="shared" si="48"/>
        <v>626.98495006679127</v>
      </c>
      <c r="CU20" s="35">
        <f t="shared" si="48"/>
        <v>634.97294642396184</v>
      </c>
      <c r="CV20" s="35">
        <f t="shared" si="48"/>
        <v>661.91505992274074</v>
      </c>
      <c r="CW20" s="16">
        <f t="shared" si="48"/>
        <v>483.09601374022986</v>
      </c>
      <c r="CX20" s="16">
        <f>SUM(CX18:CX19)</f>
        <v>389.23578177178729</v>
      </c>
      <c r="CY20" s="24"/>
      <c r="CZ20" s="24"/>
      <c r="DA20" s="24"/>
      <c r="DB20" s="24"/>
      <c r="DC20" s="6"/>
      <c r="DD20" s="6"/>
      <c r="DE20" s="6"/>
      <c r="DF20" s="6"/>
      <c r="DG20" s="6"/>
      <c r="DH20" s="6"/>
      <c r="DI20" s="6"/>
      <c r="DJ20" s="6"/>
      <c r="DK20" s="6"/>
    </row>
    <row r="21" spans="2:175" s="8" customFormat="1" x14ac:dyDescent="0.2">
      <c r="B21" s="8" t="s">
        <v>11</v>
      </c>
      <c r="C21" s="16"/>
      <c r="D21" s="16"/>
      <c r="E21" s="16"/>
      <c r="F21" s="16">
        <v>-17.494</v>
      </c>
      <c r="G21" s="16">
        <v>1.8779999999999999</v>
      </c>
      <c r="H21" s="16">
        <v>6.1609999999999996</v>
      </c>
      <c r="I21" s="16">
        <v>5.6219999999999999</v>
      </c>
      <c r="J21" s="16">
        <v>-47.718000000000004</v>
      </c>
      <c r="K21" s="16">
        <v>1.4450000000000001</v>
      </c>
      <c r="L21" s="16">
        <v>3.1059999999999999</v>
      </c>
      <c r="M21" s="16">
        <v>2.1669999999999998</v>
      </c>
      <c r="N21" s="16">
        <v>-7.1040000000000001</v>
      </c>
      <c r="O21" s="16">
        <v>6.5540000000000003</v>
      </c>
      <c r="P21" s="16">
        <v>8.2370000000000001</v>
      </c>
      <c r="Q21" s="16">
        <v>7.2560000000000002</v>
      </c>
      <c r="R21" s="16">
        <f>R20*0.35</f>
        <v>7.1043000000000047</v>
      </c>
      <c r="S21" s="16">
        <v>6.7990000000000004</v>
      </c>
      <c r="T21" s="16">
        <f>-3.199+5.135</f>
        <v>1.9359999999999999</v>
      </c>
      <c r="U21" s="16">
        <v>-2.891</v>
      </c>
      <c r="V21" s="16">
        <v>1.403</v>
      </c>
      <c r="W21" s="16">
        <v>9.7520000000000007</v>
      </c>
      <c r="X21" s="16">
        <v>19.212</v>
      </c>
      <c r="Y21" s="16">
        <v>17.998000000000001</v>
      </c>
      <c r="Z21" s="16">
        <v>-5.0389999999999997</v>
      </c>
      <c r="AA21" s="16">
        <f>AA20*AA36</f>
        <v>12.936000000000002</v>
      </c>
      <c r="AB21" s="16">
        <f>AB20*AB36</f>
        <v>23.576308000000001</v>
      </c>
      <c r="AC21" s="16">
        <f>AC20*AC36</f>
        <v>12.175352</v>
      </c>
      <c r="AD21" s="16">
        <f>AD20*AD36</f>
        <v>8.9833519999999982</v>
      </c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35"/>
      <c r="BK21" s="35"/>
      <c r="BL21" s="35">
        <v>26.8</v>
      </c>
      <c r="BM21" s="35">
        <v>47.8</v>
      </c>
      <c r="BN21" s="35">
        <v>15.6</v>
      </c>
      <c r="BO21" s="35">
        <v>4.2</v>
      </c>
      <c r="BP21" s="35">
        <v>43.9</v>
      </c>
      <c r="BQ21" s="35">
        <v>41.7</v>
      </c>
      <c r="BR21" s="35">
        <v>28.3</v>
      </c>
      <c r="BS21" s="35">
        <v>68.8</v>
      </c>
      <c r="BT21" s="35">
        <v>34.6</v>
      </c>
      <c r="BU21" s="35">
        <v>73.2</v>
      </c>
      <c r="BV21" s="35">
        <v>46.7</v>
      </c>
      <c r="BW21" s="35">
        <v>51</v>
      </c>
      <c r="BX21" s="35">
        <v>76</v>
      </c>
      <c r="BY21" s="35">
        <v>84.2</v>
      </c>
      <c r="BZ21" s="35">
        <v>78.3</v>
      </c>
      <c r="CA21" s="35">
        <v>92</v>
      </c>
      <c r="CB21" s="35">
        <v>77.2</v>
      </c>
      <c r="CC21" s="35"/>
      <c r="CD21" s="35"/>
      <c r="CE21" s="35"/>
      <c r="CF21" s="35"/>
      <c r="CG21" s="35"/>
      <c r="CH21" s="35"/>
      <c r="CI21" s="48"/>
      <c r="CJ21" s="35"/>
      <c r="CK21" s="35">
        <v>-17.494</v>
      </c>
      <c r="CL21" s="35">
        <v>-34.057000000000002</v>
      </c>
      <c r="CM21" s="35">
        <f>SUM(K21:N21)</f>
        <v>-0.38600000000000012</v>
      </c>
      <c r="CN21" s="35">
        <f>SUM(O21:R21)</f>
        <v>29.151300000000006</v>
      </c>
      <c r="CO21" s="35">
        <f t="shared" ref="CO21:CW21" si="49">CO20*CO36</f>
        <v>21.94815000000002</v>
      </c>
      <c r="CP21" s="35">
        <v>41.923000000000002</v>
      </c>
      <c r="CQ21" s="35">
        <f>SUM(AA21:AD21)</f>
        <v>57.671012000000005</v>
      </c>
      <c r="CR21" s="35">
        <f t="shared" si="49"/>
        <v>183.50706198999998</v>
      </c>
      <c r="CS21" s="35">
        <f t="shared" si="49"/>
        <v>194.30066014467499</v>
      </c>
      <c r="CT21" s="35">
        <f t="shared" si="49"/>
        <v>219.44473252337693</v>
      </c>
      <c r="CU21" s="35">
        <f t="shared" si="49"/>
        <v>222.24053124838665</v>
      </c>
      <c r="CV21" s="35">
        <f t="shared" si="49"/>
        <v>231.67027097295923</v>
      </c>
      <c r="CW21" s="16">
        <f t="shared" si="49"/>
        <v>169.08360480908044</v>
      </c>
      <c r="CX21" s="16">
        <f>CX20*CX36</f>
        <v>136.23252362012553</v>
      </c>
      <c r="CY21" s="24"/>
      <c r="CZ21" s="24"/>
      <c r="DA21" s="24"/>
      <c r="DB21" s="24"/>
      <c r="DC21" s="6"/>
      <c r="DD21" s="6"/>
      <c r="DE21" s="6"/>
      <c r="DF21" s="6"/>
      <c r="DG21" s="6"/>
      <c r="DH21" s="6"/>
      <c r="DI21" s="6"/>
      <c r="DJ21" s="6"/>
      <c r="DK21" s="6"/>
    </row>
    <row r="22" spans="2:175" s="8" customFormat="1" x14ac:dyDescent="0.2">
      <c r="B22" s="8" t="s">
        <v>12</v>
      </c>
      <c r="C22" s="16">
        <f t="shared" ref="C22:J22" si="50">C20-C21</f>
        <v>7.6609999999999969</v>
      </c>
      <c r="D22" s="16">
        <f t="shared" si="50"/>
        <v>12.181000000000001</v>
      </c>
      <c r="E22" s="16">
        <f t="shared" si="50"/>
        <v>15.763</v>
      </c>
      <c r="F22" s="16">
        <f t="shared" si="50"/>
        <v>29.41</v>
      </c>
      <c r="G22" s="16">
        <f t="shared" si="50"/>
        <v>2.3069999999999951</v>
      </c>
      <c r="H22" s="16">
        <f t="shared" si="50"/>
        <v>6.2220000000000066</v>
      </c>
      <c r="I22" s="16">
        <f t="shared" si="50"/>
        <v>8.4780000000000069</v>
      </c>
      <c r="J22" s="16">
        <f t="shared" si="50"/>
        <v>55.508000000000003</v>
      </c>
      <c r="K22" s="16">
        <f>K20+K21</f>
        <v>8.2320000000000029</v>
      </c>
      <c r="L22" s="16">
        <f t="shared" ref="L22:U22" si="51">L20-L21</f>
        <v>5.8060000000000027</v>
      </c>
      <c r="M22" s="16">
        <f t="shared" si="51"/>
        <v>14.848000000000004</v>
      </c>
      <c r="N22" s="16">
        <f t="shared" si="51"/>
        <v>1.9859999999999971</v>
      </c>
      <c r="O22" s="16">
        <f t="shared" si="51"/>
        <v>11.402999999999997</v>
      </c>
      <c r="P22" s="16">
        <f t="shared" si="51"/>
        <v>21.977000000000004</v>
      </c>
      <c r="Q22" s="16">
        <f t="shared" si="51"/>
        <v>12.622999999999994</v>
      </c>
      <c r="R22" s="16">
        <f t="shared" si="51"/>
        <v>13.19370000000001</v>
      </c>
      <c r="S22" s="16">
        <f t="shared" si="51"/>
        <v>13.196999999999999</v>
      </c>
      <c r="T22" s="16">
        <f t="shared" si="51"/>
        <v>32.466999999999985</v>
      </c>
      <c r="U22" s="16">
        <f t="shared" si="51"/>
        <v>12.382000000000009</v>
      </c>
      <c r="V22" s="16">
        <f t="shared" ref="V22:AD22" si="52">V20-V21</f>
        <v>-6.2289999999999832</v>
      </c>
      <c r="W22" s="16">
        <f t="shared" si="52"/>
        <v>18.929000000000023</v>
      </c>
      <c r="X22" s="16">
        <f t="shared" si="52"/>
        <v>37.707000000000036</v>
      </c>
      <c r="Y22" s="16">
        <f t="shared" si="52"/>
        <v>39.735999999999976</v>
      </c>
      <c r="Z22" s="16">
        <f t="shared" si="52"/>
        <v>9.5440000000000165</v>
      </c>
      <c r="AA22" s="16">
        <f t="shared" si="52"/>
        <v>24.024000000000008</v>
      </c>
      <c r="AB22" s="16">
        <f t="shared" si="52"/>
        <v>43.784572000000011</v>
      </c>
      <c r="AC22" s="16">
        <f t="shared" si="52"/>
        <v>22.611368000000002</v>
      </c>
      <c r="AD22" s="16">
        <f t="shared" si="52"/>
        <v>16.683368000000002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35"/>
      <c r="BK22" s="35"/>
      <c r="BL22" s="35">
        <f t="shared" ref="BL22" si="53">BL20-BL21</f>
        <v>115.3</v>
      </c>
      <c r="BM22" s="35">
        <f t="shared" ref="BM22" si="54">BM20-BM21</f>
        <v>174.8</v>
      </c>
      <c r="BN22" s="35">
        <f>BN20-BN21</f>
        <v>122.60000000000005</v>
      </c>
      <c r="BO22" s="35">
        <f>BO20-BO21</f>
        <v>155.00000000000003</v>
      </c>
      <c r="BP22" s="35">
        <f t="shared" ref="BP22:BQ22" si="55">BP20-BP21</f>
        <v>177.60000000000008</v>
      </c>
      <c r="BQ22" s="35">
        <f t="shared" si="55"/>
        <v>186.20000000000005</v>
      </c>
      <c r="BR22" s="35">
        <f>BR20-BR21</f>
        <v>176.5</v>
      </c>
      <c r="BS22" s="35">
        <f>BS20-BS21</f>
        <v>218.80000000000007</v>
      </c>
      <c r="BT22" s="35">
        <f>BT20-BT21</f>
        <v>167.79999999999998</v>
      </c>
      <c r="BU22" s="35">
        <f>BU20-BU21</f>
        <v>239.3</v>
      </c>
      <c r="BV22" s="35">
        <f t="shared" ref="BV22:CH22" si="56">BV20-BV21</f>
        <v>186.2</v>
      </c>
      <c r="BW22" s="35">
        <f t="shared" si="56"/>
        <v>248.40000000000003</v>
      </c>
      <c r="BX22" s="35">
        <f t="shared" si="56"/>
        <v>259.19999999999987</v>
      </c>
      <c r="BY22" s="35">
        <f t="shared" si="56"/>
        <v>267.59999999999997</v>
      </c>
      <c r="BZ22" s="35">
        <f t="shared" si="56"/>
        <v>217.10000000000002</v>
      </c>
      <c r="CA22" s="35">
        <f t="shared" si="56"/>
        <v>306.60000000000008</v>
      </c>
      <c r="CB22" s="35">
        <f t="shared" si="56"/>
        <v>278.10000000000014</v>
      </c>
      <c r="CC22" s="35">
        <f t="shared" si="56"/>
        <v>0</v>
      </c>
      <c r="CD22" s="35">
        <f t="shared" si="56"/>
        <v>0</v>
      </c>
      <c r="CE22" s="35">
        <f t="shared" si="56"/>
        <v>0</v>
      </c>
      <c r="CF22" s="35">
        <f t="shared" si="56"/>
        <v>0</v>
      </c>
      <c r="CG22" s="35">
        <f t="shared" si="56"/>
        <v>0</v>
      </c>
      <c r="CH22" s="35">
        <f t="shared" si="56"/>
        <v>0</v>
      </c>
      <c r="CI22" s="48"/>
      <c r="CJ22" s="35">
        <f t="shared" ref="CJ22:CV22" si="57">CJ20-CJ21</f>
        <v>15.449999999999994</v>
      </c>
      <c r="CK22" s="35">
        <f t="shared" si="57"/>
        <v>65.015999999999991</v>
      </c>
      <c r="CL22" s="35">
        <f t="shared" si="57"/>
        <v>73.965000000000018</v>
      </c>
      <c r="CM22" s="35">
        <f>CM20-CM21</f>
        <v>27.314999999999994</v>
      </c>
      <c r="CN22" s="35">
        <f>CN20-CN21</f>
        <v>49.438700000000026</v>
      </c>
      <c r="CO22" s="35">
        <f t="shared" si="57"/>
        <v>40.76085000000004</v>
      </c>
      <c r="CP22" s="35">
        <f t="shared" si="57"/>
        <v>105.916</v>
      </c>
      <c r="CQ22" s="35">
        <f t="shared" si="57"/>
        <v>107.10330799999998</v>
      </c>
      <c r="CR22" s="35">
        <f t="shared" si="57"/>
        <v>340.79882940999994</v>
      </c>
      <c r="CS22" s="35">
        <f t="shared" si="57"/>
        <v>360.84408312582502</v>
      </c>
      <c r="CT22" s="35">
        <f t="shared" si="57"/>
        <v>407.54021754341431</v>
      </c>
      <c r="CU22" s="35">
        <f t="shared" si="57"/>
        <v>412.73241517557517</v>
      </c>
      <c r="CV22" s="35">
        <f t="shared" si="57"/>
        <v>430.24478894978154</v>
      </c>
      <c r="CW22" s="16">
        <f>CW20-CW21</f>
        <v>314.01240893114942</v>
      </c>
      <c r="CX22" s="16">
        <f t="shared" ref="CX22:EC22" si="58">CW22*(1+$DD$28)</f>
        <v>251.20992714491956</v>
      </c>
      <c r="CY22" s="16">
        <f t="shared" si="58"/>
        <v>200.96794171593567</v>
      </c>
      <c r="CZ22" s="16">
        <f t="shared" si="58"/>
        <v>160.77435337274855</v>
      </c>
      <c r="DA22" s="16">
        <f t="shared" si="58"/>
        <v>128.61948269819885</v>
      </c>
      <c r="DB22" s="16">
        <f t="shared" si="58"/>
        <v>102.89558615855908</v>
      </c>
      <c r="DC22" s="12">
        <f t="shared" si="58"/>
        <v>82.316468926847278</v>
      </c>
      <c r="DD22" s="12">
        <f t="shared" si="58"/>
        <v>65.85317514147782</v>
      </c>
      <c r="DE22" s="12">
        <f t="shared" si="58"/>
        <v>52.682540113182256</v>
      </c>
      <c r="DF22" s="12">
        <f t="shared" si="58"/>
        <v>42.146032090545809</v>
      </c>
      <c r="DG22" s="12">
        <f t="shared" si="58"/>
        <v>33.716825672436649</v>
      </c>
      <c r="DH22" s="12">
        <f t="shared" si="58"/>
        <v>26.973460537949322</v>
      </c>
      <c r="DI22" s="12">
        <f t="shared" si="58"/>
        <v>21.57876843035946</v>
      </c>
      <c r="DJ22" s="12">
        <f t="shared" si="58"/>
        <v>17.26301474428757</v>
      </c>
      <c r="DK22" s="12">
        <f t="shared" si="58"/>
        <v>13.810411795430056</v>
      </c>
      <c r="DL22" s="12">
        <f t="shared" si="58"/>
        <v>11.048329436344046</v>
      </c>
      <c r="DM22" s="12">
        <f t="shared" si="58"/>
        <v>8.8386635490752372</v>
      </c>
      <c r="DN22" s="12">
        <f t="shared" si="58"/>
        <v>7.0709308392601899</v>
      </c>
      <c r="DO22" s="12">
        <f t="shared" si="58"/>
        <v>5.656744671408152</v>
      </c>
      <c r="DP22" s="12">
        <f t="shared" si="58"/>
        <v>4.5253957371265221</v>
      </c>
      <c r="DQ22" s="12">
        <f t="shared" si="58"/>
        <v>3.6203165897012179</v>
      </c>
      <c r="DR22" s="12">
        <f t="shared" si="58"/>
        <v>2.8962532717609744</v>
      </c>
      <c r="DS22" s="12">
        <f t="shared" si="58"/>
        <v>2.3170026174087797</v>
      </c>
      <c r="DT22" s="12">
        <f t="shared" si="58"/>
        <v>1.8536020939270239</v>
      </c>
      <c r="DU22" s="12">
        <f t="shared" si="58"/>
        <v>1.4828816751416192</v>
      </c>
      <c r="DV22" s="12">
        <f t="shared" si="58"/>
        <v>1.1863053401132955</v>
      </c>
      <c r="DW22" s="12">
        <f t="shared" si="58"/>
        <v>0.94904427209063646</v>
      </c>
      <c r="DX22" s="12">
        <f t="shared" si="58"/>
        <v>0.75923541767250924</v>
      </c>
      <c r="DY22" s="12">
        <f t="shared" si="58"/>
        <v>0.60738833413800741</v>
      </c>
      <c r="DZ22" s="12">
        <f t="shared" si="58"/>
        <v>0.48591066731040594</v>
      </c>
      <c r="EA22" s="12">
        <f t="shared" si="58"/>
        <v>0.38872853384832479</v>
      </c>
      <c r="EB22" s="12">
        <f t="shared" si="58"/>
        <v>0.31098282707865987</v>
      </c>
      <c r="EC22" s="12">
        <f t="shared" si="58"/>
        <v>0.24878626166292792</v>
      </c>
      <c r="ED22" s="12">
        <f t="shared" ref="ED22:FI22" si="59">EC22*(1+$DD$28)</f>
        <v>0.19902900933034234</v>
      </c>
      <c r="EE22" s="12">
        <f t="shared" si="59"/>
        <v>0.15922320746427387</v>
      </c>
      <c r="EF22" s="12">
        <f t="shared" si="59"/>
        <v>0.12737856597141911</v>
      </c>
      <c r="EG22" s="12">
        <f t="shared" si="59"/>
        <v>0.10190285277713529</v>
      </c>
      <c r="EH22" s="12">
        <f t="shared" si="59"/>
        <v>8.1522282221708237E-2</v>
      </c>
      <c r="EI22" s="12">
        <f t="shared" si="59"/>
        <v>6.5217825777366595E-2</v>
      </c>
      <c r="EJ22" s="12">
        <f t="shared" si="59"/>
        <v>5.217426062189328E-2</v>
      </c>
      <c r="EK22" s="12">
        <f t="shared" si="59"/>
        <v>4.1739408497514625E-2</v>
      </c>
      <c r="EL22" s="12">
        <f t="shared" si="59"/>
        <v>3.3391526798011703E-2</v>
      </c>
      <c r="EM22" s="12">
        <f t="shared" si="59"/>
        <v>2.6713221438409363E-2</v>
      </c>
      <c r="EN22" s="12">
        <f t="shared" si="59"/>
        <v>2.1370577150727491E-2</v>
      </c>
      <c r="EO22" s="12">
        <f t="shared" si="59"/>
        <v>1.7096461720581994E-2</v>
      </c>
      <c r="EP22" s="12">
        <f t="shared" si="59"/>
        <v>1.3677169376465596E-2</v>
      </c>
      <c r="EQ22" s="12">
        <f t="shared" si="59"/>
        <v>1.0941735501172478E-2</v>
      </c>
      <c r="ER22" s="12">
        <f t="shared" si="59"/>
        <v>8.7533884009379833E-3</v>
      </c>
      <c r="ES22" s="12">
        <f t="shared" si="59"/>
        <v>7.002710720750387E-3</v>
      </c>
      <c r="ET22" s="12">
        <f t="shared" si="59"/>
        <v>5.6021685766003103E-3</v>
      </c>
      <c r="EU22" s="12">
        <f t="shared" si="59"/>
        <v>4.4817348612802487E-3</v>
      </c>
      <c r="EV22" s="12">
        <f t="shared" si="59"/>
        <v>3.5853878890241991E-3</v>
      </c>
      <c r="EW22" s="12">
        <f t="shared" si="59"/>
        <v>2.8683103112193595E-3</v>
      </c>
      <c r="EX22" s="12">
        <f t="shared" si="59"/>
        <v>2.2946482489754876E-3</v>
      </c>
      <c r="EY22" s="12">
        <f t="shared" si="59"/>
        <v>1.8357185991803903E-3</v>
      </c>
      <c r="EZ22" s="12">
        <f t="shared" si="59"/>
        <v>1.4685748793443123E-3</v>
      </c>
      <c r="FA22" s="12">
        <f t="shared" si="59"/>
        <v>1.1748599034754499E-3</v>
      </c>
      <c r="FB22" s="12">
        <f t="shared" si="59"/>
        <v>9.3988792278035997E-4</v>
      </c>
      <c r="FC22" s="12">
        <f t="shared" si="59"/>
        <v>7.5191033822428804E-4</v>
      </c>
      <c r="FD22" s="12">
        <f t="shared" si="59"/>
        <v>6.0152827057943043E-4</v>
      </c>
      <c r="FE22" s="12">
        <f t="shared" si="59"/>
        <v>4.8122261646354439E-4</v>
      </c>
      <c r="FF22" s="12">
        <f t="shared" si="59"/>
        <v>3.8497809317083553E-4</v>
      </c>
      <c r="FG22" s="12">
        <f t="shared" si="59"/>
        <v>3.0798247453666847E-4</v>
      </c>
      <c r="FH22" s="12">
        <f t="shared" si="59"/>
        <v>2.463859796293348E-4</v>
      </c>
      <c r="FI22" s="12">
        <f t="shared" si="59"/>
        <v>1.9710878370346786E-4</v>
      </c>
      <c r="FJ22" s="12">
        <f t="shared" ref="FJ22:FS22" si="60">FI22*(1+$DD$28)</f>
        <v>1.5768702696277429E-4</v>
      </c>
      <c r="FK22" s="12">
        <f t="shared" si="60"/>
        <v>1.2614962157021944E-4</v>
      </c>
      <c r="FL22" s="12">
        <f t="shared" si="60"/>
        <v>1.0091969725617555E-4</v>
      </c>
      <c r="FM22" s="12">
        <f t="shared" si="60"/>
        <v>8.0735757804940454E-5</v>
      </c>
      <c r="FN22" s="12">
        <f t="shared" si="60"/>
        <v>6.4588606243952363E-5</v>
      </c>
      <c r="FO22" s="12">
        <f t="shared" si="60"/>
        <v>5.1670884995161896E-5</v>
      </c>
      <c r="FP22" s="12">
        <f t="shared" si="60"/>
        <v>4.1336707996129522E-5</v>
      </c>
      <c r="FQ22" s="12">
        <f t="shared" si="60"/>
        <v>3.3069366396903619E-5</v>
      </c>
      <c r="FR22" s="12">
        <f t="shared" si="60"/>
        <v>2.6455493117522896E-5</v>
      </c>
      <c r="FS22" s="12">
        <f t="shared" si="60"/>
        <v>2.116439449401832E-5</v>
      </c>
    </row>
    <row r="23" spans="2:175" s="9" customFormat="1" x14ac:dyDescent="0.2">
      <c r="B23" s="9" t="s">
        <v>13</v>
      </c>
      <c r="C23" s="21">
        <f>C22/C24</f>
        <v>0.31220963403700369</v>
      </c>
      <c r="D23" s="21">
        <f>D22/D24</f>
        <v>0.48729847581709806</v>
      </c>
      <c r="E23" s="21">
        <f>E22/E24</f>
        <v>0.61315543799595462</v>
      </c>
      <c r="F23" s="21">
        <f t="shared" ref="F23:L23" si="61">F22/F24</f>
        <v>1.1383781691503774</v>
      </c>
      <c r="G23" s="21">
        <f t="shared" si="61"/>
        <v>9.0085516810496105E-2</v>
      </c>
      <c r="H23" s="21">
        <f t="shared" si="61"/>
        <v>0.2455018939393942</v>
      </c>
      <c r="I23" s="21">
        <f t="shared" si="61"/>
        <v>0.34024962876750836</v>
      </c>
      <c r="J23" s="21">
        <f t="shared" si="61"/>
        <v>2.4245653883113483</v>
      </c>
      <c r="K23" s="21">
        <f t="shared" si="61"/>
        <v>0.38642444726094927</v>
      </c>
      <c r="L23" s="21">
        <f t="shared" si="61"/>
        <v>0.26366939146230711</v>
      </c>
      <c r="M23" s="21">
        <f t="shared" ref="M23:U23" si="62">M22/M24</f>
        <v>0.66158713184511886</v>
      </c>
      <c r="N23" s="21">
        <f t="shared" si="62"/>
        <v>8.3635138549650351E-2</v>
      </c>
      <c r="O23" s="21">
        <f t="shared" si="62"/>
        <v>0.47362518690812411</v>
      </c>
      <c r="P23" s="21">
        <f t="shared" si="62"/>
        <v>0.90336238079579101</v>
      </c>
      <c r="Q23" s="21">
        <f>Q22/Q24</f>
        <v>0.49536928027627325</v>
      </c>
      <c r="R23" s="21">
        <f t="shared" si="62"/>
        <v>0.55606271336452184</v>
      </c>
      <c r="S23" s="21">
        <f t="shared" si="62"/>
        <v>0.48604154390100174</v>
      </c>
      <c r="T23" s="21">
        <f t="shared" si="62"/>
        <v>1.2255860480918042</v>
      </c>
      <c r="U23" s="21">
        <f t="shared" si="62"/>
        <v>0.21476766170017186</v>
      </c>
      <c r="V23" s="21">
        <f t="shared" ref="V23:AD23" si="63">V22/V24</f>
        <v>-0.11551014353002231</v>
      </c>
      <c r="W23" s="21">
        <f t="shared" si="63"/>
        <v>0.34561522028884994</v>
      </c>
      <c r="X23" s="21">
        <f t="shared" si="63"/>
        <v>0.67277463557371564</v>
      </c>
      <c r="Y23" s="21">
        <f t="shared" si="63"/>
        <v>0.7028442054620061</v>
      </c>
      <c r="Z23" s="21">
        <f t="shared" si="63"/>
        <v>0.16881279184944134</v>
      </c>
      <c r="AA23" s="21">
        <f t="shared" si="63"/>
        <v>0.42493278618933084</v>
      </c>
      <c r="AB23" s="21">
        <f t="shared" si="63"/>
        <v>0.77445471911702302</v>
      </c>
      <c r="AC23" s="21">
        <f t="shared" si="63"/>
        <v>0.39994637045422388</v>
      </c>
      <c r="AD23" s="21">
        <f t="shared" si="63"/>
        <v>0.29509282581010332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37"/>
      <c r="BK23" s="37"/>
      <c r="BL23" s="37">
        <f t="shared" ref="BL23:BM23" si="64">BL22/BL24</f>
        <v>2.5968468468468471</v>
      </c>
      <c r="BM23" s="37">
        <f t="shared" si="64"/>
        <v>3.9192825112107625</v>
      </c>
      <c r="BN23" s="37">
        <f>BN22/BN24</f>
        <v>2.7184035476718416</v>
      </c>
      <c r="BO23" s="37">
        <f>BO22/BO24</f>
        <v>3.3405172413793109</v>
      </c>
      <c r="BP23" s="37">
        <f t="shared" ref="BP23" si="65">BP22/BP24</f>
        <v>3.7547568710359429</v>
      </c>
      <c r="BQ23" s="37">
        <f t="shared" ref="BQ23" si="66">BQ22/BQ24</f>
        <v>3.9117647058823537</v>
      </c>
      <c r="BR23" s="37">
        <f>BR22/BR24</f>
        <v>3.6924686192468621</v>
      </c>
      <c r="BS23" s="37">
        <f>BS22/BS24</f>
        <v>4.5870020964360601</v>
      </c>
      <c r="BT23" s="37">
        <f>BT22/BT24</f>
        <v>3.488565488565488</v>
      </c>
      <c r="BU23" s="37">
        <f>BU22/BU24</f>
        <v>4.9137577002053385</v>
      </c>
      <c r="BV23" s="37">
        <f t="shared" ref="BV23:CB23" si="67">BV22/BV24</f>
        <v>3.7692307692307692</v>
      </c>
      <c r="BW23" s="37">
        <f t="shared" si="67"/>
        <v>5.0080645161290329</v>
      </c>
      <c r="BX23" s="37">
        <f t="shared" si="67"/>
        <v>5.2363636363636337</v>
      </c>
      <c r="BY23" s="37">
        <f t="shared" si="67"/>
        <v>5.3843058350100597</v>
      </c>
      <c r="BZ23" s="37">
        <f t="shared" si="67"/>
        <v>4.359437751004017</v>
      </c>
      <c r="CA23" s="37">
        <f t="shared" si="67"/>
        <v>6.1690140845070438</v>
      </c>
      <c r="CB23" s="37">
        <f t="shared" si="67"/>
        <v>5.8547368421052663</v>
      </c>
      <c r="CC23" s="37"/>
      <c r="CD23" s="37"/>
      <c r="CE23" s="37"/>
      <c r="CF23" s="37"/>
      <c r="CG23" s="37"/>
      <c r="CH23" s="37"/>
      <c r="CI23" s="50"/>
      <c r="CJ23" s="37">
        <f t="shared" ref="CJ23:CX23" si="68">CJ22/CJ24</f>
        <v>0.66164189970450926</v>
      </c>
      <c r="CK23" s="37">
        <f t="shared" si="68"/>
        <v>2.5793858605094022</v>
      </c>
      <c r="CL23" s="37">
        <f t="shared" si="68"/>
        <v>3.0642555306984844</v>
      </c>
      <c r="CM23" s="37">
        <f>CM22/CM24</f>
        <v>1.2206184645634102</v>
      </c>
      <c r="CN23" s="37">
        <f>CN22/CN24</f>
        <v>2.0259063854199759</v>
      </c>
      <c r="CO23" s="37">
        <f t="shared" si="68"/>
        <v>0.98681410465918695</v>
      </c>
      <c r="CP23" s="37">
        <f>CP22/CP24</f>
        <v>1.8865733319083751</v>
      </c>
      <c r="CQ23" s="37">
        <f t="shared" si="68"/>
        <v>1.8944267015706804</v>
      </c>
      <c r="CR23" s="37">
        <f t="shared" si="68"/>
        <v>6.0279968411277753</v>
      </c>
      <c r="CS23" s="37">
        <f t="shared" si="68"/>
        <v>6.3825541800945418</v>
      </c>
      <c r="CT23" s="37">
        <f t="shared" si="68"/>
        <v>7.2085081637083332</v>
      </c>
      <c r="CU23" s="37">
        <f t="shared" si="68"/>
        <v>7.3003469501835143</v>
      </c>
      <c r="CV23" s="37">
        <f t="shared" si="68"/>
        <v>7.6101031015597416</v>
      </c>
      <c r="CW23" s="21">
        <f t="shared" si="68"/>
        <v>5.5542027899241084</v>
      </c>
      <c r="CX23" s="21">
        <f t="shared" si="68"/>
        <v>4.4433622319392878</v>
      </c>
      <c r="CY23" s="22"/>
      <c r="CZ23" s="22"/>
      <c r="DA23" s="22"/>
      <c r="DB23" s="22"/>
      <c r="DC23" s="7"/>
      <c r="DD23" s="7"/>
      <c r="DE23" s="7"/>
      <c r="DF23" s="7"/>
      <c r="DG23" s="7"/>
      <c r="DH23" s="7"/>
      <c r="DI23" s="7"/>
      <c r="DJ23" s="7"/>
      <c r="DK23" s="7"/>
    </row>
    <row r="24" spans="2:175" s="8" customFormat="1" x14ac:dyDescent="0.2">
      <c r="B24" s="8" t="s">
        <v>14</v>
      </c>
      <c r="C24" s="16">
        <v>24.538</v>
      </c>
      <c r="D24" s="16">
        <v>24.997</v>
      </c>
      <c r="E24" s="16">
        <v>25.707999999999998</v>
      </c>
      <c r="F24" s="16">
        <v>25.835000000000001</v>
      </c>
      <c r="G24" s="16">
        <v>25.609000000000002</v>
      </c>
      <c r="H24" s="16">
        <v>25.344000000000001</v>
      </c>
      <c r="I24" s="16">
        <v>24.917000000000002</v>
      </c>
      <c r="J24" s="16">
        <v>22.893999999999998</v>
      </c>
      <c r="K24" s="16">
        <v>21.303000000000001</v>
      </c>
      <c r="L24" s="16">
        <v>22.02</v>
      </c>
      <c r="M24" s="16">
        <v>22.443000000000001</v>
      </c>
      <c r="N24" s="16">
        <v>23.745999999999999</v>
      </c>
      <c r="O24" s="16">
        <v>24.076000000000001</v>
      </c>
      <c r="P24" s="16">
        <v>24.327999999999999</v>
      </c>
      <c r="Q24" s="16">
        <v>25.481999999999999</v>
      </c>
      <c r="R24" s="16">
        <v>23.727</v>
      </c>
      <c r="S24" s="16">
        <v>27.152000000000001</v>
      </c>
      <c r="T24" s="16">
        <v>26.491</v>
      </c>
      <c r="U24" s="16">
        <v>57.652999999999999</v>
      </c>
      <c r="V24" s="16">
        <v>53.926000000000002</v>
      </c>
      <c r="W24" s="16">
        <v>54.768999999999998</v>
      </c>
      <c r="X24" s="16">
        <v>56.046999999999997</v>
      </c>
      <c r="Y24" s="16">
        <v>56.536000000000001</v>
      </c>
      <c r="Z24" s="16">
        <f>+Y24</f>
        <v>56.536000000000001</v>
      </c>
      <c r="AA24" s="16">
        <f>Z24</f>
        <v>56.536000000000001</v>
      </c>
      <c r="AB24" s="16">
        <f>AA24</f>
        <v>56.536000000000001</v>
      </c>
      <c r="AC24" s="16">
        <f>AB24</f>
        <v>56.536000000000001</v>
      </c>
      <c r="AD24" s="16">
        <f>AC24</f>
        <v>56.536000000000001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35"/>
      <c r="BK24" s="35"/>
      <c r="BL24" s="35">
        <v>44.4</v>
      </c>
      <c r="BM24" s="35">
        <v>44.6</v>
      </c>
      <c r="BN24" s="35">
        <v>45.1</v>
      </c>
      <c r="BO24" s="35">
        <v>46.4</v>
      </c>
      <c r="BP24" s="35">
        <v>47.3</v>
      </c>
      <c r="BQ24" s="35">
        <v>47.6</v>
      </c>
      <c r="BR24" s="35">
        <v>47.8</v>
      </c>
      <c r="BS24" s="35">
        <v>47.7</v>
      </c>
      <c r="BT24" s="35">
        <v>48.1</v>
      </c>
      <c r="BU24" s="35">
        <v>48.7</v>
      </c>
      <c r="BV24" s="35">
        <v>49.4</v>
      </c>
      <c r="BW24" s="35">
        <v>49.6</v>
      </c>
      <c r="BX24" s="35">
        <v>49.5</v>
      </c>
      <c r="BY24" s="35">
        <v>49.7</v>
      </c>
      <c r="BZ24" s="35">
        <v>49.8</v>
      </c>
      <c r="CA24" s="35">
        <v>49.7</v>
      </c>
      <c r="CB24" s="35">
        <v>47.5</v>
      </c>
      <c r="CC24" s="35"/>
      <c r="CD24" s="35"/>
      <c r="CE24" s="35"/>
      <c r="CF24" s="35"/>
      <c r="CG24" s="35"/>
      <c r="CH24" s="35"/>
      <c r="CI24" s="48"/>
      <c r="CJ24" s="35">
        <v>23.350999999999999</v>
      </c>
      <c r="CK24" s="35">
        <v>25.206</v>
      </c>
      <c r="CL24" s="35">
        <v>24.138000000000002</v>
      </c>
      <c r="CM24" s="35">
        <f>AVERAGE(K24:N24)</f>
        <v>22.378</v>
      </c>
      <c r="CN24" s="35">
        <f>AVERAGE(O24:R24)</f>
        <v>24.40325</v>
      </c>
      <c r="CO24" s="35">
        <f>AVERAGE(S24:V24)</f>
        <v>41.305499999999995</v>
      </c>
      <c r="CP24" s="35">
        <v>56.142000000000003</v>
      </c>
      <c r="CQ24" s="35">
        <f>AD24</f>
        <v>56.536000000000001</v>
      </c>
      <c r="CR24" s="35">
        <f t="shared" ref="CR24:CX24" si="69">CQ24</f>
        <v>56.536000000000001</v>
      </c>
      <c r="CS24" s="35">
        <f t="shared" si="69"/>
        <v>56.536000000000001</v>
      </c>
      <c r="CT24" s="35">
        <f t="shared" si="69"/>
        <v>56.536000000000001</v>
      </c>
      <c r="CU24" s="35">
        <f t="shared" si="69"/>
        <v>56.536000000000001</v>
      </c>
      <c r="CV24" s="35">
        <f t="shared" si="69"/>
        <v>56.536000000000001</v>
      </c>
      <c r="CW24" s="16">
        <f t="shared" si="69"/>
        <v>56.536000000000001</v>
      </c>
      <c r="CX24" s="16">
        <f t="shared" si="69"/>
        <v>56.536000000000001</v>
      </c>
      <c r="CY24" s="24"/>
      <c r="CZ24" s="24"/>
      <c r="DA24" s="24"/>
      <c r="DB24" s="24"/>
      <c r="DC24" s="6"/>
      <c r="DD24" s="6"/>
      <c r="DE24" s="6"/>
      <c r="DF24" s="6"/>
      <c r="DG24" s="6"/>
      <c r="DH24" s="6"/>
      <c r="DI24" s="6"/>
      <c r="DJ24" s="6"/>
      <c r="DK24" s="6"/>
    </row>
    <row r="25" spans="2:175" s="8" customFormat="1" x14ac:dyDescent="0.2">
      <c r="B25" s="9" t="s">
        <v>19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>
        <v>0.33</v>
      </c>
      <c r="N25" s="22">
        <v>0.41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50"/>
      <c r="CJ25" s="38"/>
      <c r="CK25" s="38"/>
      <c r="CL25" s="38"/>
      <c r="CM25" s="37">
        <v>1.48</v>
      </c>
      <c r="CN25" s="37">
        <v>2.0699999999999998</v>
      </c>
      <c r="CO25" s="57"/>
      <c r="CP25" s="57"/>
      <c r="CQ25" s="57"/>
      <c r="CR25" s="57"/>
      <c r="CS25" s="57"/>
      <c r="CT25" s="57"/>
      <c r="CU25" s="57"/>
      <c r="CV25" s="57"/>
      <c r="CW25" s="24"/>
      <c r="CX25" s="24"/>
      <c r="CY25" s="24"/>
      <c r="CZ25" s="24"/>
      <c r="DA25" s="24"/>
      <c r="DB25" s="24"/>
      <c r="DC25" s="6"/>
      <c r="DD25" s="6"/>
      <c r="DE25" s="6"/>
      <c r="DF25" s="6"/>
      <c r="DG25" s="6"/>
      <c r="DH25" s="6"/>
      <c r="DI25" s="6"/>
      <c r="DJ25" s="6"/>
      <c r="DK25" s="6"/>
    </row>
    <row r="26" spans="2:175" s="8" customFormat="1" x14ac:dyDescent="0.2">
      <c r="B26" s="9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50"/>
      <c r="CJ26" s="38"/>
      <c r="CK26" s="38"/>
      <c r="CL26" s="38"/>
      <c r="CM26" s="37"/>
      <c r="CN26" s="37"/>
      <c r="CO26" s="57"/>
      <c r="CP26" s="57"/>
      <c r="CQ26" s="57"/>
      <c r="CR26" s="57"/>
      <c r="CS26" s="57"/>
      <c r="CT26" s="57"/>
      <c r="CU26" s="57"/>
      <c r="CV26" s="57"/>
      <c r="CW26" s="24"/>
      <c r="CX26" s="24"/>
      <c r="CY26" s="24"/>
      <c r="CZ26" s="24"/>
      <c r="DA26" s="24"/>
      <c r="DB26" s="24"/>
      <c r="DC26" s="6"/>
      <c r="DD26" s="6"/>
      <c r="DE26" s="6"/>
      <c r="DF26" s="6"/>
      <c r="DG26" s="6"/>
      <c r="DH26" s="6"/>
      <c r="DI26" s="6"/>
      <c r="DJ26" s="6"/>
      <c r="DK26" s="6"/>
    </row>
    <row r="27" spans="2:175" s="8" customFormat="1" x14ac:dyDescent="0.2">
      <c r="B27" s="9" t="s">
        <v>122</v>
      </c>
      <c r="C27" s="22"/>
      <c r="D27" s="22"/>
      <c r="E27" s="22"/>
      <c r="F27" s="22"/>
      <c r="G27" s="23">
        <f t="shared" ref="G27:W27" si="70">+G11/C11-1</f>
        <v>0.4290515792648768</v>
      </c>
      <c r="H27" s="23">
        <f t="shared" si="70"/>
        <v>0.33895598363110091</v>
      </c>
      <c r="I27" s="23">
        <f t="shared" si="70"/>
        <v>0.22378067252347789</v>
      </c>
      <c r="J27" s="23">
        <f t="shared" si="70"/>
        <v>0.54603420937215352</v>
      </c>
      <c r="K27" s="23">
        <f t="shared" si="70"/>
        <v>0.21122301290556056</v>
      </c>
      <c r="L27" s="23">
        <f t="shared" si="70"/>
        <v>0.28788669399925459</v>
      </c>
      <c r="M27" s="23">
        <f t="shared" si="70"/>
        <v>0.46161843701264926</v>
      </c>
      <c r="N27" s="23">
        <f t="shared" si="70"/>
        <v>0.3070745864792912</v>
      </c>
      <c r="O27" s="23">
        <f t="shared" si="70"/>
        <v>0.54464885857253087</v>
      </c>
      <c r="P27" s="23">
        <f t="shared" si="70"/>
        <v>0.32268333622735423</v>
      </c>
      <c r="Q27" s="23">
        <f t="shared" si="70"/>
        <v>0.27075959014311102</v>
      </c>
      <c r="R27" s="23">
        <f t="shared" si="70"/>
        <v>0.26651975024207841</v>
      </c>
      <c r="S27" s="23">
        <f t="shared" si="70"/>
        <v>0.28499363385820442</v>
      </c>
      <c r="T27" s="23">
        <f t="shared" si="70"/>
        <v>0.22498395472314603</v>
      </c>
      <c r="U27" s="23">
        <f t="shared" si="70"/>
        <v>0.29564719053203969</v>
      </c>
      <c r="V27" s="23">
        <f t="shared" si="70"/>
        <v>0.4358044870949882</v>
      </c>
      <c r="W27" s="23">
        <f t="shared" si="70"/>
        <v>0.61645553743885628</v>
      </c>
      <c r="X27" s="23">
        <f>+X11/T11-1</f>
        <v>0.63718742557751917</v>
      </c>
      <c r="Y27" s="23">
        <f>+Y11/U11-1</f>
        <v>0.75881294038985714</v>
      </c>
      <c r="Z27" s="23">
        <f>+Z11/V11-1</f>
        <v>0.52839161609577423</v>
      </c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39"/>
      <c r="BK27" s="39"/>
      <c r="BL27" s="39"/>
      <c r="BM27" s="39"/>
      <c r="BN27" s="39"/>
      <c r="BO27" s="39"/>
      <c r="BP27" s="39">
        <f t="shared" ref="BP27" si="71">BP11/BL11-1</f>
        <v>0.23342541436464104</v>
      </c>
      <c r="BQ27" s="39">
        <f>BQ11/BM11-1</f>
        <v>0.16995527492765072</v>
      </c>
      <c r="BR27" s="39">
        <f>BR11/BN11-1</f>
        <v>7.8721745908028051E-2</v>
      </c>
      <c r="BS27" s="39">
        <f>BS11/BO11-1</f>
        <v>0.21841202848852537</v>
      </c>
      <c r="BT27" s="39">
        <f t="shared" ref="BT27:BU27" si="72">BT11/BP11-1</f>
        <v>4.5688689809630256E-2</v>
      </c>
      <c r="BU27" s="39">
        <f t="shared" si="72"/>
        <v>0.16033280863503463</v>
      </c>
      <c r="BV27" s="39">
        <f t="shared" ref="BV27" si="73">BV11/BR11-1</f>
        <v>0.18376685934489401</v>
      </c>
      <c r="BW27" s="39">
        <f t="shared" ref="BW27" si="74">BW11/BS11-1</f>
        <v>9.7423684780255426E-2</v>
      </c>
      <c r="BX27" s="39">
        <f t="shared" ref="BX27" si="75">BX11/BT11-1</f>
        <v>0.2775754979653029</v>
      </c>
      <c r="BY27" s="39">
        <f t="shared" ref="BY27" si="76">BY11/BU11-1</f>
        <v>0.18100775193798446</v>
      </c>
      <c r="BZ27" s="39">
        <f t="shared" ref="BZ27:CB27" si="77">BZ11/BV11-1</f>
        <v>0.25066124109867771</v>
      </c>
      <c r="CA27" s="39">
        <f t="shared" si="77"/>
        <v>0.3369500887749064</v>
      </c>
      <c r="CB27" s="39">
        <f t="shared" si="77"/>
        <v>0.19849119865884357</v>
      </c>
      <c r="CC27" s="39"/>
      <c r="CD27" s="39"/>
      <c r="CE27" s="39"/>
      <c r="CF27" s="39"/>
      <c r="CG27" s="39"/>
      <c r="CH27" s="39"/>
      <c r="CI27" s="50"/>
      <c r="CJ27" s="38"/>
      <c r="CK27" s="39">
        <f>CK11/CJ11-1</f>
        <v>0.57512467557174118</v>
      </c>
      <c r="CL27" s="39">
        <f>CL11/CK11-1</f>
        <v>0.37714704740542659</v>
      </c>
      <c r="CM27" s="39">
        <f>CM11/CL11-1</f>
        <v>0.31725468577728777</v>
      </c>
      <c r="CN27" s="39">
        <f>CN11/CM11-1</f>
        <v>0.33870246723354103</v>
      </c>
      <c r="CO27" s="39">
        <f>CO11/CN11-1</f>
        <v>0.31386124896535295</v>
      </c>
      <c r="CP27" s="39">
        <f t="shared" ref="CP27:CW27" si="78">CP11/CO11-1</f>
        <v>0.63264638446064292</v>
      </c>
      <c r="CQ27" s="39">
        <f t="shared" si="78"/>
        <v>0.16512567258057298</v>
      </c>
      <c r="CR27" s="39">
        <f t="shared" si="78"/>
        <v>0.10335240832420101</v>
      </c>
      <c r="CS27" s="39">
        <f t="shared" si="78"/>
        <v>2.0200387387360186E-2</v>
      </c>
      <c r="CT27" s="39">
        <f t="shared" si="78"/>
        <v>4.1322994600938134E-2</v>
      </c>
      <c r="CU27" s="39">
        <f t="shared" si="78"/>
        <v>-5.1521438367457706E-2</v>
      </c>
      <c r="CV27" s="39">
        <f t="shared" si="78"/>
        <v>-2.716004370134506E-2</v>
      </c>
      <c r="CW27" s="23">
        <f t="shared" si="78"/>
        <v>-0.33650888585226835</v>
      </c>
      <c r="CX27" s="24"/>
      <c r="CY27" s="24"/>
      <c r="CZ27" s="24"/>
      <c r="DA27" s="24"/>
      <c r="DB27" s="24"/>
      <c r="DC27" s="8" t="s">
        <v>128</v>
      </c>
      <c r="DD27" s="10">
        <v>0.05</v>
      </c>
      <c r="DE27" s="6"/>
      <c r="DF27" s="6"/>
      <c r="DG27" s="6"/>
      <c r="DH27" s="6"/>
      <c r="DI27" s="6"/>
      <c r="DJ27" s="6"/>
      <c r="DK27" s="6"/>
    </row>
    <row r="28" spans="2:175" s="32" customFormat="1" x14ac:dyDescent="0.2">
      <c r="B28" s="32" t="s">
        <v>130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4"/>
      <c r="BK28" s="44"/>
      <c r="BL28" s="44"/>
      <c r="BM28" s="44"/>
      <c r="BN28" s="44"/>
      <c r="BO28" s="41"/>
      <c r="BP28" s="41">
        <f t="shared" ref="BP28" si="79">BP22/BL22-1</f>
        <v>0.54032957502168322</v>
      </c>
      <c r="BQ28" s="41">
        <f>BQ22/BM22-1</f>
        <v>6.5217391304348116E-2</v>
      </c>
      <c r="BR28" s="41">
        <f>BR22/BN22-1</f>
        <v>0.43964110929853129</v>
      </c>
      <c r="BS28" s="41">
        <f>BS22/BO22-1</f>
        <v>0.41161290322580668</v>
      </c>
      <c r="BT28" s="41">
        <f t="shared" ref="BT28:BU28" si="80">BT22/BP22-1</f>
        <v>-5.5180180180180671E-2</v>
      </c>
      <c r="BU28" s="41">
        <f t="shared" si="80"/>
        <v>0.28517722878625107</v>
      </c>
      <c r="BV28" s="41">
        <f t="shared" ref="BV28" si="81">BV22/BR22-1</f>
        <v>5.4957507082152857E-2</v>
      </c>
      <c r="BW28" s="41">
        <f t="shared" ref="BW28" si="82">BW22/BS22-1</f>
        <v>0.13528336380255923</v>
      </c>
      <c r="BX28" s="41">
        <f t="shared" ref="BX28" si="83">BX22/BT22-1</f>
        <v>0.54469606674612581</v>
      </c>
      <c r="BY28" s="41">
        <f t="shared" ref="BY28" si="84">BY22/BU22-1</f>
        <v>0.11826159632260747</v>
      </c>
      <c r="BZ28" s="41">
        <f t="shared" ref="BZ28:CB28" si="85">BZ22/BV22-1</f>
        <v>0.16595059076262109</v>
      </c>
      <c r="CA28" s="41">
        <f t="shared" si="85"/>
        <v>0.23429951690821271</v>
      </c>
      <c r="CB28" s="41">
        <f t="shared" si="85"/>
        <v>7.2916666666667629E-2</v>
      </c>
      <c r="CC28" s="41"/>
      <c r="CD28" s="41"/>
      <c r="CE28" s="41"/>
      <c r="CF28" s="41"/>
      <c r="CG28" s="41"/>
      <c r="CH28" s="41"/>
      <c r="CI28" s="51"/>
      <c r="CJ28" s="44"/>
      <c r="CK28" s="41">
        <f t="shared" ref="CK28:CX28" si="86">CK23/CJ23-1</f>
        <v>2.8984620860035641</v>
      </c>
      <c r="CL28" s="41">
        <f t="shared" si="86"/>
        <v>0.18797872687932204</v>
      </c>
      <c r="CM28" s="41">
        <f t="shared" si="86"/>
        <v>-0.60165904823049299</v>
      </c>
      <c r="CN28" s="41">
        <f t="shared" si="86"/>
        <v>0.6597376200962195</v>
      </c>
      <c r="CO28" s="41">
        <f t="shared" si="86"/>
        <v>-0.51290241653756485</v>
      </c>
      <c r="CP28" s="41">
        <f t="shared" si="86"/>
        <v>0.91178188779530589</v>
      </c>
      <c r="CQ28" s="41">
        <f t="shared" si="86"/>
        <v>4.1627693604473492E-3</v>
      </c>
      <c r="CR28" s="41">
        <f t="shared" si="86"/>
        <v>2.1819636178744353</v>
      </c>
      <c r="CS28" s="41">
        <f t="shared" si="86"/>
        <v>5.8818434765541827E-2</v>
      </c>
      <c r="CT28" s="41">
        <f t="shared" si="86"/>
        <v>0.12940806459422127</v>
      </c>
      <c r="CU28" s="41">
        <f t="shared" si="86"/>
        <v>1.2740331895238599E-2</v>
      </c>
      <c r="CV28" s="41">
        <f t="shared" si="86"/>
        <v>4.2430332899238588E-2</v>
      </c>
      <c r="CW28" s="26">
        <f t="shared" si="86"/>
        <v>-0.27015406811167419</v>
      </c>
      <c r="CX28" s="26">
        <f t="shared" si="86"/>
        <v>-0.19999999999999984</v>
      </c>
      <c r="CY28" s="43"/>
      <c r="CZ28" s="43"/>
      <c r="DA28" s="43"/>
      <c r="DB28" s="43"/>
      <c r="DC28" s="32" t="s">
        <v>101</v>
      </c>
      <c r="DD28" s="26">
        <v>-0.2</v>
      </c>
      <c r="DE28" s="45"/>
      <c r="DF28" s="45"/>
      <c r="DG28" s="45"/>
      <c r="DH28" s="45"/>
      <c r="DI28" s="45"/>
      <c r="DJ28" s="45"/>
      <c r="DK28" s="45"/>
    </row>
    <row r="29" spans="2:175" s="28" customFormat="1" x14ac:dyDescent="0.2">
      <c r="B29" s="28" t="s">
        <v>45</v>
      </c>
      <c r="C29" s="26"/>
      <c r="D29" s="26"/>
      <c r="E29" s="26"/>
      <c r="F29" s="26"/>
      <c r="G29" s="26">
        <f t="shared" ref="G29:R29" si="87">G3/C3-1</f>
        <v>0.4583740973678081</v>
      </c>
      <c r="H29" s="26">
        <f t="shared" si="87"/>
        <v>0.35402024177677816</v>
      </c>
      <c r="I29" s="26">
        <f t="shared" si="87"/>
        <v>0.23810283235519258</v>
      </c>
      <c r="J29" s="26">
        <f t="shared" si="87"/>
        <v>0.56162009197028651</v>
      </c>
      <c r="K29" s="26">
        <f t="shared" si="87"/>
        <v>0.21869409660107331</v>
      </c>
      <c r="L29" s="26">
        <f t="shared" si="87"/>
        <v>0.27633013236439141</v>
      </c>
      <c r="M29" s="26">
        <f t="shared" si="87"/>
        <v>0.45969549424221356</v>
      </c>
      <c r="N29" s="26">
        <f t="shared" si="87"/>
        <v>0.28885314970439668</v>
      </c>
      <c r="O29" s="26">
        <f t="shared" si="87"/>
        <v>0.55053735255570113</v>
      </c>
      <c r="P29" s="26">
        <f t="shared" si="87"/>
        <v>0.33186245602619113</v>
      </c>
      <c r="Q29" s="26">
        <f t="shared" si="87"/>
        <v>0.27334498155697928</v>
      </c>
      <c r="R29" s="26">
        <f t="shared" si="87"/>
        <v>0.28538287140371543</v>
      </c>
      <c r="S29" s="26">
        <f t="shared" ref="S29:X29" si="88">S3/O3-1</f>
        <v>0.2993085726843947</v>
      </c>
      <c r="T29" s="26">
        <f t="shared" si="88"/>
        <v>0.23683527489808687</v>
      </c>
      <c r="U29" s="26">
        <f t="shared" si="88"/>
        <v>0.21138200113653705</v>
      </c>
      <c r="V29" s="26">
        <f t="shared" si="88"/>
        <v>0.18154969440912261</v>
      </c>
      <c r="W29" s="26">
        <f t="shared" si="88"/>
        <v>0.2460511592807515</v>
      </c>
      <c r="X29" s="26">
        <f t="shared" si="88"/>
        <v>0.18958387339678318</v>
      </c>
      <c r="Y29" s="26">
        <f>Y3/U3-1</f>
        <v>0.25382151029748279</v>
      </c>
      <c r="Z29" s="26">
        <f>Z3/V3-1</f>
        <v>0.17895041370132492</v>
      </c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41"/>
      <c r="BK29" s="41"/>
      <c r="BL29" s="41"/>
      <c r="BM29" s="41"/>
      <c r="BN29" s="41"/>
      <c r="BO29" s="41"/>
      <c r="BP29" s="41">
        <f t="shared" ref="BP29" si="89">BP3/BL3-1</f>
        <v>0.1747899159663866</v>
      </c>
      <c r="BQ29" s="41">
        <f t="shared" ref="BQ29:BS30" si="90">BQ3/BM3-1</f>
        <v>7.2289156626506035E-3</v>
      </c>
      <c r="BR29" s="41">
        <f t="shared" si="90"/>
        <v>-7.5058639562157969E-2</v>
      </c>
      <c r="BS29" s="41">
        <f t="shared" si="90"/>
        <v>1.1520737327188835E-2</v>
      </c>
      <c r="BT29" s="41">
        <f t="shared" ref="BT29:BT30" si="91">BT3/BP3-1</f>
        <v>-5.5793991416309141E-2</v>
      </c>
      <c r="BU29" s="41">
        <f t="shared" ref="BU29:BU30" si="92">BU3/BQ3-1</f>
        <v>-9.0909090909090939E-2</v>
      </c>
      <c r="BV29" s="41">
        <f t="shared" ref="BV29:BV30" si="93">BV3/BR3-1</f>
        <v>3.5502958579881616E-2</v>
      </c>
      <c r="BW29" s="41">
        <f t="shared" ref="BW29:BW30" si="94">BW3/BS3-1</f>
        <v>-7.8208048595292179E-2</v>
      </c>
      <c r="BX29" s="41">
        <f t="shared" ref="BX29:BX30" si="95">BX3/BT3-1</f>
        <v>-3.6363636363636376E-2</v>
      </c>
      <c r="BY29" s="41">
        <f t="shared" ref="BY29:BY30" si="96">BY3/BU3-1</f>
        <v>0.14999999999999991</v>
      </c>
      <c r="BZ29" s="41">
        <f t="shared" ref="BZ29:CB30" si="97">BZ3/BV3-1</f>
        <v>-6.0408163265306181E-2</v>
      </c>
      <c r="CA29" s="41">
        <f t="shared" si="97"/>
        <v>5.4365733113673764E-2</v>
      </c>
      <c r="CB29" s="41">
        <f t="shared" si="97"/>
        <v>0.15801886792452846</v>
      </c>
      <c r="CC29" s="41"/>
      <c r="CD29" s="41"/>
      <c r="CE29" s="41"/>
      <c r="CF29" s="41"/>
      <c r="CG29" s="41"/>
      <c r="CH29" s="41"/>
      <c r="CI29" s="52"/>
      <c r="CJ29" s="41"/>
      <c r="CK29" s="41">
        <f t="shared" ref="CK29:CP29" si="98">CK3/CJ3-1</f>
        <v>0.65315669947009858</v>
      </c>
      <c r="CL29" s="41">
        <f t="shared" si="98"/>
        <v>0.39643377201417707</v>
      </c>
      <c r="CM29" s="41">
        <f t="shared" si="98"/>
        <v>0.3174818662364407</v>
      </c>
      <c r="CN29" s="41">
        <f t="shared" si="98"/>
        <v>0.34372059914280184</v>
      </c>
      <c r="CO29" s="41">
        <f t="shared" si="98"/>
        <v>0.22874310947780208</v>
      </c>
      <c r="CP29" s="41">
        <f t="shared" si="98"/>
        <v>0.21682213686603435</v>
      </c>
      <c r="CQ29" s="41">
        <v>0</v>
      </c>
      <c r="CR29" s="41">
        <f>CR3/CQ3-1</f>
        <v>0</v>
      </c>
      <c r="CS29" s="41">
        <v>-0.1</v>
      </c>
      <c r="CT29" s="41">
        <v>-0.15</v>
      </c>
      <c r="CU29" s="41">
        <v>-0.2</v>
      </c>
      <c r="CV29" s="41">
        <v>-0.2</v>
      </c>
      <c r="CW29" s="26">
        <v>-0.2</v>
      </c>
      <c r="CX29" s="26">
        <v>-0.2</v>
      </c>
      <c r="CY29" s="26">
        <v>-0.2</v>
      </c>
      <c r="CZ29" s="26">
        <v>-0.2</v>
      </c>
      <c r="DA29" s="26"/>
      <c r="DB29" s="26"/>
      <c r="DC29" s="32" t="s">
        <v>102</v>
      </c>
      <c r="DD29" s="26">
        <v>0.09</v>
      </c>
      <c r="DE29" s="19"/>
      <c r="DF29" s="19"/>
      <c r="DG29" s="19"/>
      <c r="DH29" s="19"/>
      <c r="DI29" s="19"/>
      <c r="DJ29" s="19"/>
      <c r="DK29" s="19"/>
    </row>
    <row r="30" spans="2:175" s="42" customFormat="1" x14ac:dyDescent="0.2">
      <c r="B30" s="42" t="s">
        <v>256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39"/>
      <c r="BK30" s="39"/>
      <c r="BL30" s="39"/>
      <c r="BM30" s="39"/>
      <c r="BN30" s="39"/>
      <c r="BO30" s="39"/>
      <c r="BP30" s="39">
        <f t="shared" ref="BP30" si="99">BP4/BL4-1</f>
        <v>0.29026845637583909</v>
      </c>
      <c r="BQ30" s="39">
        <f t="shared" si="90"/>
        <v>0.26795366795366782</v>
      </c>
      <c r="BR30" s="39">
        <f t="shared" si="90"/>
        <v>0.26423690205011408</v>
      </c>
      <c r="BS30" s="39">
        <f t="shared" si="90"/>
        <v>0.39837398373983746</v>
      </c>
      <c r="BT30" s="39">
        <f t="shared" si="91"/>
        <v>0.30689206762028598</v>
      </c>
      <c r="BU30" s="39">
        <f t="shared" si="92"/>
        <v>0.56942752740560287</v>
      </c>
      <c r="BV30" s="39">
        <f t="shared" si="93"/>
        <v>0.45525525525525534</v>
      </c>
      <c r="BW30" s="39">
        <f t="shared" si="94"/>
        <v>0.38604651162790704</v>
      </c>
      <c r="BX30" s="39">
        <f t="shared" si="95"/>
        <v>0.58656716417910437</v>
      </c>
      <c r="BY30" s="39">
        <f t="shared" si="96"/>
        <v>0.26426076833527357</v>
      </c>
      <c r="BZ30" s="39">
        <f t="shared" si="97"/>
        <v>0.44696657036731335</v>
      </c>
      <c r="CA30" s="39">
        <f t="shared" si="97"/>
        <v>0.5625</v>
      </c>
      <c r="CB30" s="39">
        <f t="shared" si="97"/>
        <v>0.24866729382251518</v>
      </c>
      <c r="CC30" s="39"/>
      <c r="CD30" s="39"/>
      <c r="CE30" s="39"/>
      <c r="CF30" s="39"/>
      <c r="CG30" s="39"/>
      <c r="CH30" s="39"/>
      <c r="CI30" s="53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23"/>
      <c r="CX30" s="23"/>
      <c r="CY30" s="23"/>
      <c r="CZ30" s="23"/>
      <c r="DA30" s="23"/>
      <c r="DB30" s="23"/>
      <c r="DC30" s="9"/>
      <c r="DD30" s="23"/>
      <c r="DE30" s="11"/>
      <c r="DF30" s="11"/>
      <c r="DG30" s="11"/>
      <c r="DH30" s="11"/>
      <c r="DI30" s="11"/>
      <c r="DJ30" s="11"/>
      <c r="DK30" s="11"/>
    </row>
    <row r="31" spans="2:175" s="10" customFormat="1" x14ac:dyDescent="0.2">
      <c r="B31" s="10" t="s">
        <v>99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53"/>
      <c r="CJ31" s="40"/>
      <c r="CK31" s="40"/>
      <c r="CL31" s="40"/>
      <c r="CM31" s="40"/>
      <c r="CN31" s="40"/>
      <c r="CO31" s="40">
        <v>0.35</v>
      </c>
      <c r="CP31" s="40">
        <v>0.35</v>
      </c>
      <c r="CQ31" s="40">
        <f>CQ4/CP4-1</f>
        <v>0.42169476340112122</v>
      </c>
      <c r="CR31" s="40">
        <v>0.35</v>
      </c>
      <c r="CS31" s="40">
        <v>0.35</v>
      </c>
      <c r="CT31" s="40">
        <v>0.35</v>
      </c>
      <c r="CU31" s="40">
        <v>-0.15</v>
      </c>
      <c r="CV31" s="40"/>
      <c r="CW31" s="17"/>
      <c r="CX31" s="17"/>
      <c r="CY31" s="17"/>
      <c r="CZ31" s="24"/>
      <c r="DA31" s="16"/>
      <c r="DB31" s="17"/>
      <c r="DC31" s="8" t="s">
        <v>100</v>
      </c>
      <c r="DD31" s="16">
        <f>NPV($DD$29,CR22:FT22)+CQ22</f>
        <v>2313.9401153877834</v>
      </c>
      <c r="DE31" s="3"/>
      <c r="DF31" s="3"/>
      <c r="DG31" s="3"/>
      <c r="DH31" s="3"/>
      <c r="DI31" s="3"/>
      <c r="DJ31" s="3"/>
      <c r="DK31" s="3"/>
    </row>
    <row r="32" spans="2:175" s="10" customFormat="1" x14ac:dyDescent="0.2">
      <c r="B32" s="10" t="s">
        <v>44</v>
      </c>
      <c r="C32" s="17"/>
      <c r="D32" s="17">
        <f t="shared" ref="D32:L32" si="100">D3/C3-1</f>
        <v>0.32569298858607043</v>
      </c>
      <c r="E32" s="17">
        <f t="shared" si="100"/>
        <v>0.10177115546809112</v>
      </c>
      <c r="F32" s="17">
        <f t="shared" si="100"/>
        <v>-9.830313855575401E-2</v>
      </c>
      <c r="G32" s="17">
        <f t="shared" si="100"/>
        <v>0.10732224973470106</v>
      </c>
      <c r="H32" s="17">
        <f t="shared" si="100"/>
        <v>0.23083312036800407</v>
      </c>
      <c r="I32" s="17">
        <f t="shared" si="100"/>
        <v>7.4487412405916942E-3</v>
      </c>
      <c r="J32" s="17">
        <f t="shared" si="100"/>
        <v>0.13731097199680553</v>
      </c>
      <c r="K32" s="17">
        <f t="shared" si="100"/>
        <v>-0.13584162004213196</v>
      </c>
      <c r="L32" s="17">
        <f t="shared" si="100"/>
        <v>0.2890432503276541</v>
      </c>
      <c r="M32" s="17">
        <f t="shared" ref="M32:V32" si="101">M3/L3-1</f>
        <v>0.15218496451593233</v>
      </c>
      <c r="N32" s="17">
        <f t="shared" si="101"/>
        <v>4.2004200420042714E-3</v>
      </c>
      <c r="O32" s="17">
        <f t="shared" si="101"/>
        <v>3.9614052971054026E-2</v>
      </c>
      <c r="P32" s="17">
        <f t="shared" si="101"/>
        <v>0.10724730782885072</v>
      </c>
      <c r="Q32" s="17">
        <f t="shared" si="101"/>
        <v>0.10156190359863815</v>
      </c>
      <c r="R32" s="17">
        <f t="shared" si="101"/>
        <v>1.3693883491108672E-2</v>
      </c>
      <c r="S32" s="17">
        <f t="shared" si="101"/>
        <v>5.0877121019456739E-2</v>
      </c>
      <c r="T32" s="17">
        <f t="shared" si="101"/>
        <v>5.4008691352884552E-2</v>
      </c>
      <c r="U32" s="17">
        <f t="shared" si="101"/>
        <v>7.8892468738041455E-2</v>
      </c>
      <c r="V32" s="17">
        <f t="shared" si="101"/>
        <v>-1.127002288329515E-2</v>
      </c>
      <c r="W32" s="17">
        <f>W3/V3-1</f>
        <v>0.1082450963374415</v>
      </c>
      <c r="X32" s="17">
        <f>X3/W3-1</f>
        <v>6.2441917530724478E-3</v>
      </c>
      <c r="Y32" s="17">
        <f>Y3/X3-1</f>
        <v>0.13715275976215913</v>
      </c>
      <c r="Z32" s="17">
        <f>Z3/Y3-1</f>
        <v>-7.0311359322528855E-2</v>
      </c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54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17"/>
      <c r="CX32" s="17"/>
      <c r="CY32" s="17"/>
      <c r="CZ32" s="17"/>
      <c r="DA32" s="17"/>
      <c r="DB32" s="17"/>
      <c r="DC32" s="3"/>
      <c r="DD32" s="18">
        <f>DD31/Main!K3</f>
        <v>52.008967247523046</v>
      </c>
      <c r="DE32" s="3"/>
      <c r="DF32" s="3"/>
      <c r="DG32" s="3"/>
      <c r="DH32" s="3"/>
      <c r="DI32" s="3"/>
      <c r="DJ32" s="3"/>
      <c r="DK32" s="3"/>
    </row>
    <row r="33" spans="2:115" s="10" customFormat="1" x14ac:dyDescent="0.2">
      <c r="B33" s="10" t="s">
        <v>15</v>
      </c>
      <c r="C33" s="17">
        <f t="shared" ref="C33:S33" si="102">C13/C11</f>
        <v>0.88990390830352906</v>
      </c>
      <c r="D33" s="17">
        <f t="shared" si="102"/>
        <v>0.89436736866620092</v>
      </c>
      <c r="E33" s="17">
        <f t="shared" si="102"/>
        <v>0.8960315056043624</v>
      </c>
      <c r="F33" s="17">
        <f t="shared" si="102"/>
        <v>0.89362707061165281</v>
      </c>
      <c r="G33" s="17">
        <f t="shared" si="102"/>
        <v>0.88309612833192619</v>
      </c>
      <c r="H33" s="17">
        <f t="shared" si="102"/>
        <v>0.89454590632376696</v>
      </c>
      <c r="I33" s="17">
        <f t="shared" si="102"/>
        <v>0.89717058197390909</v>
      </c>
      <c r="J33" s="17">
        <f t="shared" si="102"/>
        <v>0.89628158687208137</v>
      </c>
      <c r="K33" s="17">
        <f t="shared" si="102"/>
        <v>0.89056237396997684</v>
      </c>
      <c r="L33" s="17">
        <f t="shared" si="102"/>
        <v>0.89693426713742741</v>
      </c>
      <c r="M33" s="17">
        <f>M13/M11</f>
        <v>0.89557117452790247</v>
      </c>
      <c r="N33" s="17">
        <f>N13/N11</f>
        <v>0.89386957828308122</v>
      </c>
      <c r="O33" s="17">
        <f t="shared" si="102"/>
        <v>0.88901961416345665</v>
      </c>
      <c r="P33" s="17">
        <f t="shared" si="102"/>
        <v>0.89305093646070366</v>
      </c>
      <c r="Q33" s="17">
        <f t="shared" si="102"/>
        <v>0.89683068557415502</v>
      </c>
      <c r="R33" s="17">
        <f t="shared" si="102"/>
        <v>0.89314808468007711</v>
      </c>
      <c r="S33" s="17">
        <f t="shared" si="102"/>
        <v>0.88729461934027343</v>
      </c>
      <c r="T33" s="17">
        <f t="shared" ref="T33:Z33" si="103">T13/T11</f>
        <v>0.90853774708263879</v>
      </c>
      <c r="U33" s="17">
        <f t="shared" si="103"/>
        <v>0.86879596770045775</v>
      </c>
      <c r="V33" s="17">
        <f t="shared" si="103"/>
        <v>0.87618776566932599</v>
      </c>
      <c r="W33" s="17">
        <f t="shared" si="103"/>
        <v>0.88449720670391063</v>
      </c>
      <c r="X33" s="17">
        <f t="shared" si="103"/>
        <v>0.87865387552639818</v>
      </c>
      <c r="Y33" s="17">
        <f>Y13/Y11</f>
        <v>0.87295813034044312</v>
      </c>
      <c r="Z33" s="17">
        <f t="shared" si="103"/>
        <v>0.88865729199829402</v>
      </c>
      <c r="AA33" s="17">
        <v>0.88</v>
      </c>
      <c r="AB33" s="17">
        <v>0.88</v>
      </c>
      <c r="AC33" s="17">
        <v>0.88</v>
      </c>
      <c r="AD33" s="17">
        <v>0.88</v>
      </c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40"/>
      <c r="BK33" s="40"/>
      <c r="BL33" s="40"/>
      <c r="BM33" s="40"/>
      <c r="BN33" s="40">
        <f t="shared" ref="BN33:BR33" si="104">BN13/BN11</f>
        <v>0.9095869056897895</v>
      </c>
      <c r="BO33" s="40">
        <f t="shared" si="104"/>
        <v>0.93932999208652068</v>
      </c>
      <c r="BP33" s="40">
        <f t="shared" si="104"/>
        <v>0.9166853303471445</v>
      </c>
      <c r="BQ33" s="40">
        <f t="shared" si="104"/>
        <v>0.93771081628063868</v>
      </c>
      <c r="BR33" s="40">
        <f t="shared" si="104"/>
        <v>0.91666666666666663</v>
      </c>
      <c r="BS33" s="40">
        <f>BS13/BS11</f>
        <v>0.94392725698203084</v>
      </c>
      <c r="BT33" s="40">
        <f t="shared" ref="BT33:BU33" si="105">BT13/BT11</f>
        <v>0.93638894838295139</v>
      </c>
      <c r="BU33" s="40">
        <f t="shared" si="105"/>
        <v>0.9279069767441861</v>
      </c>
      <c r="BV33" s="40">
        <f t="shared" ref="BV33:CB33" si="106">BV13/BV11</f>
        <v>0.88036622583926749</v>
      </c>
      <c r="BW33" s="40">
        <f t="shared" si="106"/>
        <v>0.89682383113040043</v>
      </c>
      <c r="BX33" s="40">
        <f t="shared" si="106"/>
        <v>0.89253981559094708</v>
      </c>
      <c r="BY33" s="40">
        <f t="shared" si="106"/>
        <v>0.88496882179192649</v>
      </c>
      <c r="BZ33" s="40">
        <f t="shared" si="106"/>
        <v>0.88449650235887423</v>
      </c>
      <c r="CA33" s="40">
        <f t="shared" si="106"/>
        <v>0.89243027888446225</v>
      </c>
      <c r="CB33" s="40">
        <f t="shared" si="106"/>
        <v>0.89117359071198776</v>
      </c>
      <c r="CC33" s="40"/>
      <c r="CD33" s="40"/>
      <c r="CE33" s="40"/>
      <c r="CF33" s="40"/>
      <c r="CG33" s="40"/>
      <c r="CH33" s="40"/>
      <c r="CI33" s="54"/>
      <c r="CJ33" s="40">
        <f>CJ13/CJ11</f>
        <v>0.88789390006930191</v>
      </c>
      <c r="CK33" s="40">
        <f>CK13/CK11</f>
        <v>0.89375835741707288</v>
      </c>
      <c r="CL33" s="40">
        <f>CL13/CL11</f>
        <v>0.89332965821389199</v>
      </c>
      <c r="CM33" s="40">
        <f>CM13/CM11</f>
        <v>0.89413437577279387</v>
      </c>
      <c r="CN33" s="40">
        <f>CN13/CN11</f>
        <v>0.89319601985101071</v>
      </c>
      <c r="CO33" s="40">
        <v>0.85</v>
      </c>
      <c r="CP33" s="40">
        <v>0.85</v>
      </c>
      <c r="CQ33" s="40">
        <f>CQ13/CQ11</f>
        <v>0.88</v>
      </c>
      <c r="CR33" s="40">
        <v>0.88</v>
      </c>
      <c r="CS33" s="40">
        <v>0.88</v>
      </c>
      <c r="CT33" s="40">
        <v>0.88</v>
      </c>
      <c r="CU33" s="40">
        <v>0.88</v>
      </c>
      <c r="CV33" s="40">
        <v>0.88</v>
      </c>
      <c r="CW33" s="17">
        <v>0.88</v>
      </c>
      <c r="CX33" s="17">
        <v>0.88</v>
      </c>
      <c r="CY33" s="17"/>
      <c r="CZ33" s="17"/>
      <c r="DA33" s="17"/>
      <c r="DB33" s="17"/>
      <c r="DC33" s="3"/>
      <c r="DD33" s="3"/>
      <c r="DE33" s="3"/>
      <c r="DF33" s="3"/>
      <c r="DG33" s="3"/>
      <c r="DH33" s="3"/>
      <c r="DI33" s="3"/>
      <c r="DJ33" s="3"/>
      <c r="DK33" s="3"/>
    </row>
    <row r="34" spans="2:115" s="10" customFormat="1" x14ac:dyDescent="0.2">
      <c r="B34" s="10" t="s">
        <v>16</v>
      </c>
      <c r="C34" s="17">
        <f t="shared" ref="C34:M34" si="107">C14/C11</f>
        <v>0.23010298616796659</v>
      </c>
      <c r="D34" s="17">
        <f t="shared" si="107"/>
        <v>0.23372259373856338</v>
      </c>
      <c r="E34" s="17">
        <f t="shared" si="107"/>
        <v>0.17025143895789155</v>
      </c>
      <c r="F34" s="17">
        <f t="shared" si="107"/>
        <v>0.22502614621638947</v>
      </c>
      <c r="G34" s="17">
        <f t="shared" si="107"/>
        <v>0.36494391508865043</v>
      </c>
      <c r="H34" s="17">
        <f t="shared" si="107"/>
        <v>0.2949683190458442</v>
      </c>
      <c r="I34" s="17">
        <f t="shared" si="107"/>
        <v>0.3191078545436542</v>
      </c>
      <c r="J34" s="17">
        <f t="shared" si="107"/>
        <v>0.41869244533670846</v>
      </c>
      <c r="K34" s="17">
        <f t="shared" si="107"/>
        <v>0.37750504120092604</v>
      </c>
      <c r="L34" s="17">
        <f t="shared" si="107"/>
        <v>0.39501456657212863</v>
      </c>
      <c r="M34" s="17">
        <f t="shared" si="107"/>
        <v>0.32454907274112965</v>
      </c>
      <c r="N34" s="17">
        <f>N14/N11</f>
        <v>0.73835520384653919</v>
      </c>
      <c r="O34" s="17">
        <f t="shared" ref="O34:V34" si="108">O14/O11</f>
        <v>0.31155414443889312</v>
      </c>
      <c r="P34" s="17">
        <f t="shared" si="108"/>
        <v>0.27364490343660652</v>
      </c>
      <c r="Q34" s="17">
        <f t="shared" si="108"/>
        <v>0.40006930376372751</v>
      </c>
      <c r="R34" s="17">
        <f t="shared" si="108"/>
        <v>0.28822071656428772</v>
      </c>
      <c r="S34" s="17">
        <f t="shared" si="108"/>
        <v>0.3664618086040386</v>
      </c>
      <c r="T34" s="17">
        <f t="shared" si="108"/>
        <v>0.28588949749940468</v>
      </c>
      <c r="U34" s="17">
        <f t="shared" si="108"/>
        <v>0.42351488967751888</v>
      </c>
      <c r="V34" s="17">
        <f t="shared" si="108"/>
        <v>0.51942197699292147</v>
      </c>
      <c r="W34" s="17">
        <f>W14/W11</f>
        <v>0.36372594661700802</v>
      </c>
      <c r="X34" s="17">
        <f>X14/X11</f>
        <v>0.2257311387654464</v>
      </c>
      <c r="Y34" s="17">
        <f>Y14/Y11</f>
        <v>0.27306223425720688</v>
      </c>
      <c r="Z34" s="17">
        <f>Z14/Z11</f>
        <v>0.45050066976218933</v>
      </c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54"/>
      <c r="CJ34" s="40">
        <f>CJ14/CJ11</f>
        <v>0.29254936065551496</v>
      </c>
      <c r="CK34" s="40">
        <f>CK14/CK11</f>
        <v>0.2126989604451538</v>
      </c>
      <c r="CL34" s="40">
        <f>CL14/CL11</f>
        <v>0.35113260499148041</v>
      </c>
      <c r="CM34" s="40">
        <f>CM14/CM11</f>
        <v>0.4709381955144667</v>
      </c>
      <c r="CN34" s="40">
        <f>CN14/CN11</f>
        <v>0.31962685215117731</v>
      </c>
      <c r="CO34" s="40">
        <v>0.4</v>
      </c>
      <c r="CP34" s="40">
        <v>0.4</v>
      </c>
      <c r="CQ34" s="40">
        <f>CQ14/CQ11</f>
        <v>0.33593020429571069</v>
      </c>
      <c r="CR34" s="40"/>
      <c r="CS34" s="40"/>
      <c r="CT34" s="40"/>
      <c r="CU34" s="40"/>
      <c r="CV34" s="40"/>
      <c r="CW34" s="17"/>
      <c r="CX34" s="17"/>
      <c r="CY34" s="17"/>
      <c r="CZ34" s="17"/>
      <c r="DA34" s="17"/>
      <c r="DB34" s="17"/>
      <c r="DC34" s="3"/>
      <c r="DD34" s="3"/>
      <c r="DE34" s="3"/>
      <c r="DF34" s="3"/>
      <c r="DG34" s="3"/>
      <c r="DH34" s="3"/>
      <c r="DI34" s="3"/>
      <c r="DJ34" s="3"/>
      <c r="DK34" s="3"/>
    </row>
    <row r="35" spans="2:115" s="10" customFormat="1" x14ac:dyDescent="0.2">
      <c r="B35" s="10" t="s">
        <v>17</v>
      </c>
      <c r="C35" s="17">
        <f t="shared" ref="C35:M35" si="109">C15/C11</f>
        <v>0.3651053561425433</v>
      </c>
      <c r="D35" s="17">
        <f t="shared" si="109"/>
        <v>0.28925042419403135</v>
      </c>
      <c r="E35" s="17">
        <f t="shared" si="109"/>
        <v>0.28545895183277797</v>
      </c>
      <c r="F35" s="17">
        <f t="shared" si="109"/>
        <v>0.31925373637866467</v>
      </c>
      <c r="G35" s="17">
        <f t="shared" si="109"/>
        <v>0.44325171873115432</v>
      </c>
      <c r="H35" s="17">
        <f t="shared" si="109"/>
        <v>0.31343023978133927</v>
      </c>
      <c r="I35" s="17">
        <f t="shared" si="109"/>
        <v>0.29504666188083273</v>
      </c>
      <c r="J35" s="17">
        <f t="shared" si="109"/>
        <v>0.40014402304368696</v>
      </c>
      <c r="K35" s="17">
        <f t="shared" si="109"/>
        <v>0.42572630635564734</v>
      </c>
      <c r="L35" s="17">
        <f t="shared" si="109"/>
        <v>0.34670371013486134</v>
      </c>
      <c r="M35" s="17">
        <f t="shared" si="109"/>
        <v>0.33125582183080704</v>
      </c>
      <c r="N35" s="17">
        <f>N15/N11</f>
        <v>0.29566930448429002</v>
      </c>
      <c r="O35" s="17">
        <f t="shared" ref="O35:V35" si="110">O15/O11</f>
        <v>0.3396779860428385</v>
      </c>
      <c r="P35" s="17">
        <f t="shared" si="110"/>
        <v>0.23087694731314543</v>
      </c>
      <c r="Q35" s="17">
        <f t="shared" si="110"/>
        <v>0.25606407932615421</v>
      </c>
      <c r="R35" s="17">
        <f t="shared" si="110"/>
        <v>0.35262713875194435</v>
      </c>
      <c r="S35" s="17">
        <f t="shared" si="110"/>
        <v>0.2628747021196538</v>
      </c>
      <c r="T35" s="17">
        <f t="shared" si="110"/>
        <v>0.23473446058585382</v>
      </c>
      <c r="U35" s="17">
        <f t="shared" si="110"/>
        <v>0.32454868075914206</v>
      </c>
      <c r="V35" s="17">
        <f t="shared" si="110"/>
        <v>0.37670648072491569</v>
      </c>
      <c r="W35" s="17">
        <f>W15/W11</f>
        <v>0.27056952203600243</v>
      </c>
      <c r="X35" s="17">
        <f>X15/X11</f>
        <v>0.210515597384556</v>
      </c>
      <c r="Y35" s="17">
        <f>Y15/Y11</f>
        <v>0.23798272342864499</v>
      </c>
      <c r="Z35" s="17">
        <f>Z15/Z11</f>
        <v>0.37395556142890601</v>
      </c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54"/>
      <c r="CJ35" s="40">
        <f>CJ15/CJ11</f>
        <v>0.415838893342936</v>
      </c>
      <c r="CK35" s="40">
        <f>CK15/CK11</f>
        <v>0.31102100677220379</v>
      </c>
      <c r="CL35" s="40">
        <f>CL15/CL11</f>
        <v>0.3606419765460559</v>
      </c>
      <c r="CM35" s="40">
        <f>CM15/CM11</f>
        <v>0.34402404458901636</v>
      </c>
      <c r="CN35" s="40">
        <f>CN15/CN11</f>
        <v>0.29438324387116016</v>
      </c>
      <c r="CO35" s="40">
        <v>0.35</v>
      </c>
      <c r="CP35" s="40">
        <v>0.35</v>
      </c>
      <c r="CQ35" s="40">
        <f>CQ15/CQ11</f>
        <v>0.30986199770019857</v>
      </c>
      <c r="CR35" s="40"/>
      <c r="CS35" s="40"/>
      <c r="CT35" s="40"/>
      <c r="CU35" s="40"/>
      <c r="CV35" s="40"/>
      <c r="CW35" s="17"/>
      <c r="CX35" s="17"/>
      <c r="CY35" s="17"/>
      <c r="CZ35" s="17"/>
      <c r="DA35" s="17"/>
      <c r="DB35" s="17"/>
      <c r="DC35" s="3"/>
      <c r="DD35" s="3"/>
      <c r="DE35" s="3"/>
      <c r="DF35" s="3"/>
      <c r="DG35" s="3"/>
      <c r="DH35" s="3"/>
      <c r="DI35" s="3"/>
      <c r="DJ35" s="3"/>
      <c r="DK35" s="3"/>
    </row>
    <row r="36" spans="2:115" s="10" customFormat="1" x14ac:dyDescent="0.2">
      <c r="B36" s="10" t="s">
        <v>18</v>
      </c>
      <c r="C36" s="17">
        <f t="shared" ref="C36:R36" si="111">C21/C20</f>
        <v>0</v>
      </c>
      <c r="D36" s="17">
        <f t="shared" si="111"/>
        <v>0</v>
      </c>
      <c r="E36" s="17">
        <f t="shared" si="111"/>
        <v>0</v>
      </c>
      <c r="F36" s="17">
        <f t="shared" si="111"/>
        <v>-1.4681101040617657</v>
      </c>
      <c r="G36" s="17">
        <f t="shared" si="111"/>
        <v>0.44874551971326215</v>
      </c>
      <c r="H36" s="17">
        <f t="shared" si="111"/>
        <v>0.49753694581280761</v>
      </c>
      <c r="I36" s="17">
        <f t="shared" si="111"/>
        <v>0.39872340425531894</v>
      </c>
      <c r="J36" s="17">
        <f t="shared" si="111"/>
        <v>-6.1255455712451869</v>
      </c>
      <c r="K36" s="17">
        <f t="shared" si="111"/>
        <v>0.21290702814203619</v>
      </c>
      <c r="L36" s="17">
        <f t="shared" si="111"/>
        <v>0.34851885098743257</v>
      </c>
      <c r="M36" s="17">
        <f>M21/M20</f>
        <v>0.12735821334116951</v>
      </c>
      <c r="N36" s="17">
        <f>N21/N20</f>
        <v>1.3880422039859313</v>
      </c>
      <c r="O36" s="17">
        <f t="shared" si="111"/>
        <v>0.36498301498023061</v>
      </c>
      <c r="P36" s="17">
        <f t="shared" si="111"/>
        <v>0.27262196332825839</v>
      </c>
      <c r="Q36" s="17">
        <f t="shared" si="111"/>
        <v>0.36500830021630881</v>
      </c>
      <c r="R36" s="17">
        <f t="shared" si="111"/>
        <v>0.35</v>
      </c>
      <c r="S36" s="17">
        <f t="shared" ref="S36:X36" si="112">S21/S20</f>
        <v>0.34001800360072021</v>
      </c>
      <c r="T36" s="17">
        <f t="shared" si="112"/>
        <v>5.6274162137022958E-2</v>
      </c>
      <c r="U36" s="17">
        <f t="shared" si="112"/>
        <v>-0.30460436202718338</v>
      </c>
      <c r="V36" s="17">
        <f t="shared" si="112"/>
        <v>-0.29071694985495339</v>
      </c>
      <c r="W36" s="17">
        <f t="shared" si="112"/>
        <v>0.34001603849238149</v>
      </c>
      <c r="X36" s="17">
        <f t="shared" si="112"/>
        <v>0.33753228271754576</v>
      </c>
      <c r="Y36" s="17">
        <f>Y21/Y20</f>
        <v>0.31174004919111803</v>
      </c>
      <c r="Z36" s="17">
        <f>Z21/Z20</f>
        <v>-1.1185349611542688</v>
      </c>
      <c r="AA36" s="17">
        <v>0.35</v>
      </c>
      <c r="AB36" s="17">
        <v>0.35</v>
      </c>
      <c r="AC36" s="17">
        <v>0.35</v>
      </c>
      <c r="AD36" s="17">
        <v>0.35</v>
      </c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54"/>
      <c r="CJ36" s="40">
        <f>CJ21/CJ20</f>
        <v>0</v>
      </c>
      <c r="CK36" s="40">
        <f>CK21/CK20</f>
        <v>-0.36812423719540427</v>
      </c>
      <c r="CL36" s="40">
        <f>CL21/CL20</f>
        <v>-0.853387791921419</v>
      </c>
      <c r="CM36" s="40">
        <f>CM21/CM20</f>
        <v>-1.4333989379479379E-2</v>
      </c>
      <c r="CN36" s="40">
        <f>CN21/CN20</f>
        <v>0.37092887135767905</v>
      </c>
      <c r="CO36" s="40">
        <v>0.35</v>
      </c>
      <c r="CP36" s="40">
        <v>0.35</v>
      </c>
      <c r="CQ36" s="40">
        <f>CQ21/CQ20</f>
        <v>0.35000000000000003</v>
      </c>
      <c r="CR36" s="40">
        <v>0.35</v>
      </c>
      <c r="CS36" s="40">
        <v>0.35</v>
      </c>
      <c r="CT36" s="40">
        <v>0.35</v>
      </c>
      <c r="CU36" s="40">
        <v>0.35</v>
      </c>
      <c r="CV36" s="40">
        <v>0.35</v>
      </c>
      <c r="CW36" s="17">
        <v>0.35</v>
      </c>
      <c r="CX36" s="17">
        <v>0.35</v>
      </c>
      <c r="CY36" s="17"/>
      <c r="CZ36" s="17"/>
      <c r="DA36" s="17"/>
      <c r="DB36" s="17"/>
      <c r="DC36" s="3"/>
      <c r="DD36" s="3"/>
      <c r="DE36" s="3"/>
      <c r="DF36" s="3"/>
      <c r="DG36" s="3"/>
      <c r="DH36" s="3"/>
      <c r="DI36" s="3"/>
      <c r="DJ36" s="3"/>
      <c r="DK36" s="3"/>
    </row>
    <row r="37" spans="2:115" s="10" customFormat="1" x14ac:dyDescent="0.2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54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17"/>
      <c r="CX37" s="17"/>
      <c r="CY37" s="17"/>
      <c r="CZ37" s="17"/>
      <c r="DA37" s="17"/>
      <c r="DB37" s="17"/>
      <c r="DC37" s="3"/>
      <c r="DD37" s="3"/>
      <c r="DE37" s="3"/>
      <c r="DF37" s="3"/>
      <c r="DG37" s="3"/>
      <c r="DH37" s="3"/>
      <c r="DI37" s="3"/>
      <c r="DJ37" s="3"/>
      <c r="DK37" s="3"/>
    </row>
    <row r="38" spans="2:115" s="13" customFormat="1" x14ac:dyDescent="0.2">
      <c r="B38" s="29" t="s">
        <v>154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>
        <f t="shared" ref="S38:Y38" si="113">+S41-S56</f>
        <v>156.07499999999999</v>
      </c>
      <c r="T38" s="16">
        <f t="shared" si="113"/>
        <v>183.98599999999999</v>
      </c>
      <c r="U38" s="16">
        <f t="shared" si="113"/>
        <v>188.27100000000004</v>
      </c>
      <c r="V38" s="16">
        <f t="shared" si="113"/>
        <v>197.82400000000001</v>
      </c>
      <c r="W38" s="16">
        <f t="shared" si="113"/>
        <v>270.03999999999996</v>
      </c>
      <c r="X38" s="16">
        <f t="shared" si="113"/>
        <v>326.96899999999994</v>
      </c>
      <c r="Y38" s="16">
        <f t="shared" si="113"/>
        <v>434.245</v>
      </c>
      <c r="Z38" s="16">
        <f>+Y38+Z22</f>
        <v>443.78900000000004</v>
      </c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35"/>
      <c r="BK38" s="35"/>
      <c r="BL38" s="35"/>
      <c r="BM38" s="35"/>
      <c r="BN38" s="35"/>
      <c r="BO38" s="35"/>
      <c r="BP38" s="35"/>
      <c r="BQ38" s="35"/>
      <c r="BR38" s="35"/>
      <c r="BS38" s="35">
        <f>BS41-BS56</f>
        <v>3026.7999999999997</v>
      </c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48"/>
      <c r="CJ38" s="35"/>
      <c r="CK38" s="35"/>
      <c r="CL38" s="35"/>
      <c r="CM38" s="35"/>
      <c r="CN38" s="35"/>
      <c r="CO38" s="35">
        <f>+V38</f>
        <v>197.82400000000001</v>
      </c>
      <c r="CP38" s="35">
        <f>+Z38</f>
        <v>443.78900000000004</v>
      </c>
      <c r="CQ38" s="35">
        <f t="shared" ref="CQ38:CX38" si="114">+CP38+CQ22</f>
        <v>550.89230800000007</v>
      </c>
      <c r="CR38" s="35">
        <f t="shared" si="114"/>
        <v>891.69113741000001</v>
      </c>
      <c r="CS38" s="35">
        <f t="shared" si="114"/>
        <v>1252.5352205358249</v>
      </c>
      <c r="CT38" s="35">
        <f t="shared" si="114"/>
        <v>1660.0754380792391</v>
      </c>
      <c r="CU38" s="35">
        <f t="shared" si="114"/>
        <v>2072.8078532548143</v>
      </c>
      <c r="CV38" s="35">
        <f t="shared" si="114"/>
        <v>2503.0526422045959</v>
      </c>
      <c r="CW38" s="16">
        <f t="shared" si="114"/>
        <v>2817.0650511357453</v>
      </c>
      <c r="CX38" s="16">
        <f t="shared" si="114"/>
        <v>3068.274978280665</v>
      </c>
      <c r="CY38" s="16"/>
      <c r="CZ38" s="16"/>
      <c r="DA38" s="16"/>
      <c r="DB38" s="16"/>
      <c r="DC38" s="12"/>
      <c r="DD38" s="12"/>
      <c r="DE38" s="12"/>
      <c r="DF38" s="12"/>
      <c r="DG38" s="12"/>
      <c r="DH38" s="12"/>
      <c r="DI38" s="12"/>
      <c r="DJ38" s="12"/>
      <c r="DK38" s="12"/>
    </row>
    <row r="39" spans="2:115" s="13" customFormat="1" x14ac:dyDescent="0.2">
      <c r="B39" s="29" t="s">
        <v>155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>
        <f t="shared" ref="T39:Z39" si="115">+T38-S38</f>
        <v>27.911000000000001</v>
      </c>
      <c r="U39" s="16">
        <f t="shared" si="115"/>
        <v>4.2850000000000534</v>
      </c>
      <c r="V39" s="16">
        <f t="shared" si="115"/>
        <v>9.5529999999999688</v>
      </c>
      <c r="W39" s="16">
        <f t="shared" si="115"/>
        <v>72.215999999999951</v>
      </c>
      <c r="X39" s="16">
        <f t="shared" si="115"/>
        <v>56.928999999999974</v>
      </c>
      <c r="Y39" s="16">
        <f t="shared" si="115"/>
        <v>107.27600000000007</v>
      </c>
      <c r="Z39" s="16">
        <f t="shared" si="115"/>
        <v>9.5440000000000396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48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16"/>
      <c r="CX39" s="16"/>
      <c r="CY39" s="16"/>
      <c r="CZ39" s="16"/>
      <c r="DA39" s="16"/>
      <c r="DB39" s="16"/>
      <c r="DC39" s="12"/>
      <c r="DD39" s="12"/>
      <c r="DE39" s="12"/>
      <c r="DF39" s="12"/>
      <c r="DG39" s="12"/>
      <c r="DH39" s="12"/>
      <c r="DI39" s="12"/>
      <c r="DJ39" s="12"/>
      <c r="DK39" s="12"/>
    </row>
    <row r="40" spans="2:115" s="13" customFormat="1" x14ac:dyDescent="0.2">
      <c r="B40" s="29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48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16"/>
      <c r="CX40" s="16"/>
      <c r="CY40" s="16"/>
      <c r="CZ40" s="16"/>
      <c r="DA40" s="16"/>
      <c r="DB40" s="16"/>
      <c r="DC40" s="12"/>
      <c r="DD40" s="12"/>
      <c r="DE40" s="12"/>
      <c r="DF40" s="12"/>
      <c r="DG40" s="12"/>
      <c r="DH40" s="12"/>
      <c r="DI40" s="12"/>
      <c r="DJ40" s="12"/>
      <c r="DK40" s="12"/>
    </row>
    <row r="41" spans="2:115" s="13" customFormat="1" x14ac:dyDescent="0.2">
      <c r="B41" s="29" t="s">
        <v>47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>
        <f>98.848+86.945+133.572+45.945</f>
        <v>365.31</v>
      </c>
      <c r="T41" s="16">
        <f>133.524+86.361+130.792+46.155</f>
        <v>396.83199999999999</v>
      </c>
      <c r="U41" s="16">
        <f>134.502+100.994+129.493+39.807</f>
        <v>404.79600000000005</v>
      </c>
      <c r="V41" s="16">
        <f>100.352+129.14+148.628+39.976</f>
        <v>418.096</v>
      </c>
      <c r="W41" s="16">
        <f>189.956+103.414+160.658+40.102</f>
        <v>494.13</v>
      </c>
      <c r="X41" s="16">
        <f>285.409+94.066+135.285+40.188</f>
        <v>554.94799999999998</v>
      </c>
      <c r="Y41" s="16">
        <f>210.186+251.553+164.167+40.271</f>
        <v>666.17700000000002</v>
      </c>
      <c r="Z41" s="16">
        <f>252.162+374.921+132.849+5.122</f>
        <v>765.05399999999997</v>
      </c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35"/>
      <c r="BK41" s="35"/>
      <c r="BL41" s="35"/>
      <c r="BM41" s="35"/>
      <c r="BN41" s="35"/>
      <c r="BO41" s="35"/>
      <c r="BP41" s="35"/>
      <c r="BQ41" s="35"/>
      <c r="BR41" s="35"/>
      <c r="BS41" s="35">
        <f>813.3+1454.4+1559.1</f>
        <v>3826.7999999999997</v>
      </c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48"/>
      <c r="CJ41" s="35"/>
      <c r="CK41" s="35"/>
      <c r="CL41" s="35"/>
      <c r="CM41" s="35"/>
      <c r="CN41" s="35"/>
      <c r="CO41" s="35"/>
      <c r="CP41" s="35">
        <f>Z41</f>
        <v>765.05399999999997</v>
      </c>
      <c r="CQ41" s="35"/>
      <c r="CR41" s="35"/>
      <c r="CS41" s="35"/>
      <c r="CT41" s="35"/>
      <c r="CU41" s="35"/>
      <c r="CV41" s="35"/>
      <c r="CW41" s="16"/>
      <c r="CX41" s="16"/>
      <c r="CY41" s="16"/>
      <c r="CZ41" s="16"/>
      <c r="DA41" s="16"/>
      <c r="DB41" s="16"/>
      <c r="DC41" s="12"/>
      <c r="DD41" s="12"/>
      <c r="DE41" s="12"/>
      <c r="DF41" s="12"/>
      <c r="DG41" s="12"/>
      <c r="DH41" s="12"/>
      <c r="DI41" s="12"/>
      <c r="DJ41" s="12"/>
      <c r="DK41" s="12"/>
    </row>
    <row r="42" spans="2:115" s="13" customFormat="1" x14ac:dyDescent="0.2">
      <c r="B42" s="29" t="s">
        <v>141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>
        <v>49.41</v>
      </c>
      <c r="T42" s="16">
        <v>34.368000000000002</v>
      </c>
      <c r="U42" s="16">
        <v>45.645000000000003</v>
      </c>
      <c r="V42" s="16">
        <v>50.625999999999998</v>
      </c>
      <c r="W42" s="16">
        <v>59.814999999999998</v>
      </c>
      <c r="X42" s="16">
        <v>83.513999999999996</v>
      </c>
      <c r="Y42" s="16">
        <v>75.569000000000003</v>
      </c>
      <c r="Z42" s="16">
        <v>73.706999999999994</v>
      </c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35"/>
      <c r="BK42" s="35"/>
      <c r="BL42" s="35"/>
      <c r="BM42" s="35"/>
      <c r="BN42" s="35"/>
      <c r="BO42" s="35"/>
      <c r="BP42" s="35"/>
      <c r="BQ42" s="35"/>
      <c r="BR42" s="35"/>
      <c r="BS42" s="35">
        <v>170.5</v>
      </c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48"/>
      <c r="CJ42" s="35"/>
      <c r="CK42" s="35"/>
      <c r="CL42" s="35"/>
      <c r="CM42" s="35"/>
      <c r="CN42" s="35"/>
      <c r="CO42" s="35"/>
      <c r="CP42" s="35">
        <f>Z42</f>
        <v>73.706999999999994</v>
      </c>
      <c r="CQ42" s="35"/>
      <c r="CR42" s="35"/>
      <c r="CS42" s="35"/>
      <c r="CT42" s="35"/>
      <c r="CU42" s="35"/>
      <c r="CV42" s="35"/>
      <c r="CW42" s="16"/>
      <c r="CX42" s="16"/>
      <c r="CY42" s="16"/>
      <c r="CZ42" s="16"/>
      <c r="DA42" s="16"/>
      <c r="DB42" s="16"/>
      <c r="DC42" s="12"/>
      <c r="DD42" s="12"/>
      <c r="DE42" s="12"/>
      <c r="DF42" s="12"/>
      <c r="DG42" s="12"/>
      <c r="DH42" s="12"/>
      <c r="DI42" s="12"/>
      <c r="DJ42" s="12"/>
      <c r="DK42" s="12"/>
    </row>
    <row r="43" spans="2:115" s="13" customFormat="1" x14ac:dyDescent="0.2">
      <c r="B43" s="29" t="s">
        <v>142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>
        <v>2.597</v>
      </c>
      <c r="T43" s="16">
        <v>3.03</v>
      </c>
      <c r="U43" s="16">
        <v>3.323</v>
      </c>
      <c r="V43" s="16">
        <f>1.357+1.281</f>
        <v>2.6379999999999999</v>
      </c>
      <c r="W43" s="16">
        <v>3.6949999999999998</v>
      </c>
      <c r="X43" s="16">
        <v>2.9849999999999999</v>
      </c>
      <c r="Y43" s="16">
        <v>8.2850000000000001</v>
      </c>
      <c r="Z43" s="16">
        <v>6.84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35"/>
      <c r="BK43" s="35"/>
      <c r="BL43" s="35"/>
      <c r="BM43" s="35"/>
      <c r="BN43" s="35"/>
      <c r="BO43" s="35"/>
      <c r="BP43" s="35"/>
      <c r="BQ43" s="35"/>
      <c r="BR43" s="35"/>
      <c r="BS43" s="35">
        <v>60.2</v>
      </c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48"/>
      <c r="CJ43" s="35"/>
      <c r="CK43" s="35"/>
      <c r="CL43" s="35"/>
      <c r="CM43" s="35"/>
      <c r="CN43" s="35"/>
      <c r="CO43" s="35"/>
      <c r="CP43" s="35">
        <f>Z43</f>
        <v>6.84</v>
      </c>
      <c r="CQ43" s="35"/>
      <c r="CR43" s="35"/>
      <c r="CS43" s="35"/>
      <c r="CT43" s="35"/>
      <c r="CU43" s="35"/>
      <c r="CV43" s="35"/>
      <c r="CW43" s="16"/>
      <c r="CX43" s="16"/>
      <c r="CY43" s="16"/>
      <c r="CZ43" s="16"/>
      <c r="DA43" s="16"/>
      <c r="DB43" s="16"/>
      <c r="DC43" s="12"/>
      <c r="DD43" s="12"/>
      <c r="DE43" s="12"/>
      <c r="DF43" s="12"/>
      <c r="DG43" s="12"/>
      <c r="DH43" s="12"/>
      <c r="DI43" s="12"/>
      <c r="DJ43" s="12"/>
      <c r="DK43" s="12"/>
    </row>
    <row r="44" spans="2:115" s="13" customFormat="1" x14ac:dyDescent="0.2">
      <c r="B44" s="29" t="s">
        <v>143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>
        <v>9.9890000000000008</v>
      </c>
      <c r="T44" s="16">
        <v>9.1880000000000006</v>
      </c>
      <c r="U44" s="16">
        <v>8.1370000000000005</v>
      </c>
      <c r="V44" s="16">
        <v>8.1989999999999998</v>
      </c>
      <c r="W44" s="16">
        <v>8.6470000000000002</v>
      </c>
      <c r="X44" s="16">
        <v>9.3919999999999995</v>
      </c>
      <c r="Y44" s="16">
        <v>7.6920000000000002</v>
      </c>
      <c r="Z44" s="16">
        <v>8.7520000000000007</v>
      </c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35"/>
      <c r="BK44" s="35"/>
      <c r="BL44" s="35"/>
      <c r="BM44" s="35"/>
      <c r="BN44" s="35"/>
      <c r="BO44" s="35"/>
      <c r="BP44" s="35"/>
      <c r="BQ44" s="35"/>
      <c r="BR44" s="35"/>
      <c r="BS44" s="35">
        <v>0</v>
      </c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48"/>
      <c r="CJ44" s="35"/>
      <c r="CK44" s="35"/>
      <c r="CL44" s="35"/>
      <c r="CM44" s="35"/>
      <c r="CN44" s="35"/>
      <c r="CO44" s="35"/>
      <c r="CP44" s="35">
        <f>Z44</f>
        <v>8.7520000000000007</v>
      </c>
      <c r="CQ44" s="35"/>
      <c r="CR44" s="35"/>
      <c r="CS44" s="35"/>
      <c r="CT44" s="35"/>
      <c r="CU44" s="35"/>
      <c r="CV44" s="35"/>
      <c r="CW44" s="16"/>
      <c r="CX44" s="16"/>
      <c r="CY44" s="16"/>
      <c r="CZ44" s="16"/>
      <c r="DA44" s="16"/>
      <c r="DB44" s="16"/>
      <c r="DC44" s="12"/>
      <c r="DD44" s="12"/>
      <c r="DE44" s="12"/>
      <c r="DF44" s="12"/>
      <c r="DG44" s="12"/>
      <c r="DH44" s="12"/>
      <c r="DI44" s="12"/>
      <c r="DJ44" s="12"/>
      <c r="DK44" s="12"/>
    </row>
    <row r="45" spans="2:115" s="13" customFormat="1" x14ac:dyDescent="0.2">
      <c r="B45" s="29" t="s">
        <v>144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>
        <v>15.106</v>
      </c>
      <c r="T45" s="16">
        <v>16.504000000000001</v>
      </c>
      <c r="U45" s="16">
        <v>24.814</v>
      </c>
      <c r="V45" s="16">
        <v>26.36</v>
      </c>
      <c r="W45" s="16">
        <v>25.818999999999999</v>
      </c>
      <c r="X45" s="16">
        <v>30.242999999999999</v>
      </c>
      <c r="Y45" s="16">
        <v>33.421999999999997</v>
      </c>
      <c r="Z45" s="16">
        <v>35.520000000000003</v>
      </c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35"/>
      <c r="BK45" s="35"/>
      <c r="BL45" s="35"/>
      <c r="BM45" s="35"/>
      <c r="BN45" s="35"/>
      <c r="BO45" s="35"/>
      <c r="BP45" s="35"/>
      <c r="BQ45" s="35"/>
      <c r="BR45" s="35"/>
      <c r="BS45" s="35">
        <v>88.2</v>
      </c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48"/>
      <c r="CJ45" s="35"/>
      <c r="CK45" s="35"/>
      <c r="CL45" s="35"/>
      <c r="CM45" s="35"/>
      <c r="CN45" s="35"/>
      <c r="CO45" s="35"/>
      <c r="CP45" s="35">
        <f>Z45</f>
        <v>35.520000000000003</v>
      </c>
      <c r="CQ45" s="35"/>
      <c r="CR45" s="35"/>
      <c r="CS45" s="35"/>
      <c r="CT45" s="35"/>
      <c r="CU45" s="35"/>
      <c r="CV45" s="35"/>
      <c r="CW45" s="16"/>
      <c r="CX45" s="16"/>
      <c r="CY45" s="16"/>
      <c r="CZ45" s="16"/>
      <c r="DA45" s="16"/>
      <c r="DB45" s="16"/>
      <c r="DC45" s="12"/>
      <c r="DD45" s="12"/>
      <c r="DE45" s="12"/>
      <c r="DF45" s="12"/>
      <c r="DG45" s="12"/>
      <c r="DH45" s="12"/>
      <c r="DI45" s="12"/>
      <c r="DJ45" s="12"/>
      <c r="DK45" s="12"/>
    </row>
    <row r="46" spans="2:115" s="13" customFormat="1" x14ac:dyDescent="0.2">
      <c r="B46" s="29" t="s">
        <v>11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>
        <v>4.4660000000000002</v>
      </c>
      <c r="T46" s="16">
        <v>4.9029999999999996</v>
      </c>
      <c r="U46" s="16">
        <v>4.7359999999999998</v>
      </c>
      <c r="V46" s="16">
        <v>7.1920000000000002</v>
      </c>
      <c r="W46" s="16">
        <v>7.399</v>
      </c>
      <c r="X46" s="16">
        <v>10.683</v>
      </c>
      <c r="Y46" s="16">
        <v>11.776999999999999</v>
      </c>
      <c r="Z46" s="16">
        <v>12.585000000000001</v>
      </c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35"/>
      <c r="BK46" s="35"/>
      <c r="BL46" s="35"/>
      <c r="BM46" s="35"/>
      <c r="BN46" s="35"/>
      <c r="BO46" s="35"/>
      <c r="BP46" s="35"/>
      <c r="BQ46" s="35"/>
      <c r="BR46" s="35"/>
      <c r="BS46" s="35">
        <v>271.8</v>
      </c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48"/>
      <c r="CJ46" s="35"/>
      <c r="CK46" s="35"/>
      <c r="CL46" s="35"/>
      <c r="CM46" s="35"/>
      <c r="CN46" s="35"/>
      <c r="CO46" s="35"/>
      <c r="CP46" s="35">
        <f>Z46</f>
        <v>12.585000000000001</v>
      </c>
      <c r="CQ46" s="35"/>
      <c r="CR46" s="35"/>
      <c r="CS46" s="35"/>
      <c r="CT46" s="35"/>
      <c r="CU46" s="35"/>
      <c r="CV46" s="35"/>
      <c r="CW46" s="16"/>
      <c r="CX46" s="16"/>
      <c r="CY46" s="16"/>
      <c r="CZ46" s="16"/>
      <c r="DA46" s="16"/>
      <c r="DB46" s="16"/>
      <c r="DC46" s="12"/>
      <c r="DD46" s="12"/>
      <c r="DE46" s="12"/>
      <c r="DF46" s="12"/>
      <c r="DG46" s="12"/>
      <c r="DH46" s="12"/>
      <c r="DI46" s="12"/>
      <c r="DJ46" s="12"/>
      <c r="DK46" s="12"/>
    </row>
    <row r="47" spans="2:115" s="13" customFormat="1" x14ac:dyDescent="0.2">
      <c r="B47" s="29" t="s">
        <v>145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>
        <v>7.8</v>
      </c>
      <c r="T47" s="16">
        <v>7.7619999999999996</v>
      </c>
      <c r="U47" s="16">
        <v>19.416</v>
      </c>
      <c r="V47" s="16">
        <v>18.417999999999999</v>
      </c>
      <c r="W47" s="16">
        <v>17.353999999999999</v>
      </c>
      <c r="X47" s="16">
        <v>16.082999999999998</v>
      </c>
      <c r="Y47" s="16">
        <v>16.667000000000002</v>
      </c>
      <c r="Z47" s="16">
        <v>9.8610000000000007</v>
      </c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35"/>
      <c r="BK47" s="35"/>
      <c r="BL47" s="35"/>
      <c r="BM47" s="35"/>
      <c r="BN47" s="35"/>
      <c r="BO47" s="35"/>
      <c r="BP47" s="35"/>
      <c r="BQ47" s="35"/>
      <c r="BR47" s="35"/>
      <c r="BS47" s="35">
        <f>44.6</f>
        <v>44.6</v>
      </c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48"/>
      <c r="CJ47" s="35"/>
      <c r="CK47" s="35"/>
      <c r="CL47" s="35"/>
      <c r="CM47" s="35"/>
      <c r="CN47" s="35"/>
      <c r="CO47" s="35"/>
      <c r="CP47" s="35">
        <f>Z47</f>
        <v>9.8610000000000007</v>
      </c>
      <c r="CQ47" s="35"/>
      <c r="CR47" s="35"/>
      <c r="CS47" s="35"/>
      <c r="CT47" s="35"/>
      <c r="CU47" s="35"/>
      <c r="CV47" s="35"/>
      <c r="CW47" s="16"/>
      <c r="CX47" s="16"/>
      <c r="CY47" s="16"/>
      <c r="CZ47" s="16"/>
      <c r="DA47" s="16"/>
      <c r="DB47" s="16"/>
      <c r="DC47" s="12"/>
      <c r="DD47" s="12"/>
      <c r="DE47" s="12"/>
      <c r="DF47" s="12"/>
      <c r="DG47" s="12"/>
      <c r="DH47" s="12"/>
      <c r="DI47" s="12"/>
      <c r="DJ47" s="12"/>
      <c r="DK47" s="12"/>
    </row>
    <row r="48" spans="2:115" s="13" customFormat="1" x14ac:dyDescent="0.2">
      <c r="B48" s="29" t="s">
        <v>146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>
        <v>255.59200000000001</v>
      </c>
      <c r="T48" s="16">
        <v>283.00599999999997</v>
      </c>
      <c r="U48" s="16">
        <v>299.26</v>
      </c>
      <c r="V48" s="16">
        <v>303.85899999999998</v>
      </c>
      <c r="W48" s="16">
        <v>304.642</v>
      </c>
      <c r="X48" s="16">
        <v>302.54399999999998</v>
      </c>
      <c r="Y48" s="16">
        <f>303.188</f>
        <v>303.18799999999999</v>
      </c>
      <c r="Z48" s="16">
        <v>306.04399999999998</v>
      </c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35"/>
      <c r="BK48" s="35"/>
      <c r="BL48" s="35"/>
      <c r="BM48" s="35"/>
      <c r="BN48" s="35"/>
      <c r="BO48" s="35"/>
      <c r="BP48" s="35"/>
      <c r="BQ48" s="35"/>
      <c r="BR48" s="35"/>
      <c r="BS48" s="35">
        <v>784.4</v>
      </c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48"/>
      <c r="CJ48" s="35"/>
      <c r="CK48" s="35"/>
      <c r="CL48" s="35"/>
      <c r="CM48" s="35"/>
      <c r="CN48" s="35"/>
      <c r="CO48" s="35"/>
      <c r="CP48" s="35">
        <f>Z48</f>
        <v>306.04399999999998</v>
      </c>
      <c r="CQ48" s="35"/>
      <c r="CR48" s="35"/>
      <c r="CS48" s="35"/>
      <c r="CT48" s="35"/>
      <c r="CU48" s="35"/>
      <c r="CV48" s="35"/>
      <c r="CW48" s="16"/>
      <c r="CX48" s="16"/>
      <c r="CY48" s="16"/>
      <c r="CZ48" s="16"/>
      <c r="DA48" s="16"/>
      <c r="DB48" s="16"/>
      <c r="DC48" s="12"/>
      <c r="DD48" s="12"/>
      <c r="DE48" s="12"/>
      <c r="DF48" s="12"/>
      <c r="DG48" s="12"/>
      <c r="DH48" s="12"/>
      <c r="DI48" s="12"/>
      <c r="DJ48" s="12"/>
      <c r="DK48" s="12"/>
    </row>
    <row r="49" spans="2:106" s="13" customFormat="1" x14ac:dyDescent="0.2">
      <c r="B49" s="29" t="s">
        <v>11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>
        <v>170.95599999999999</v>
      </c>
      <c r="T49" s="16">
        <v>174.42699999999999</v>
      </c>
      <c r="U49" s="16">
        <v>178.00700000000001</v>
      </c>
      <c r="V49" s="16">
        <v>200.96899999999999</v>
      </c>
      <c r="W49" s="16">
        <v>191.56700000000001</v>
      </c>
      <c r="X49" s="16">
        <v>169.47800000000001</v>
      </c>
      <c r="Y49" s="16">
        <v>151.87200000000001</v>
      </c>
      <c r="Z49" s="16">
        <v>202.13499999999999</v>
      </c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35"/>
      <c r="BK49" s="35"/>
      <c r="BL49" s="35"/>
      <c r="BM49" s="35"/>
      <c r="BN49" s="35"/>
      <c r="BO49" s="35"/>
      <c r="BP49" s="35"/>
      <c r="BQ49" s="35"/>
      <c r="BR49" s="35"/>
      <c r="BS49" s="35">
        <v>0</v>
      </c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55"/>
      <c r="CJ49" s="35"/>
      <c r="CK49" s="35"/>
      <c r="CL49" s="35"/>
      <c r="CM49" s="35"/>
      <c r="CN49" s="35"/>
      <c r="CO49" s="35"/>
      <c r="CP49" s="35">
        <f>Z49</f>
        <v>202.13499999999999</v>
      </c>
      <c r="CQ49" s="35"/>
      <c r="CR49" s="35"/>
      <c r="CS49" s="35"/>
      <c r="CT49" s="35"/>
      <c r="CU49" s="35"/>
      <c r="CV49" s="35"/>
      <c r="CW49" s="16"/>
      <c r="CX49" s="16"/>
      <c r="CY49" s="16"/>
      <c r="CZ49" s="16"/>
      <c r="DA49" s="16"/>
      <c r="DB49" s="16"/>
    </row>
    <row r="50" spans="2:106" s="13" customFormat="1" x14ac:dyDescent="0.2">
      <c r="B50" s="29" t="s">
        <v>142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>
        <v>21.587</v>
      </c>
      <c r="T50" s="16">
        <v>21.651</v>
      </c>
      <c r="U50" s="16">
        <v>16.593</v>
      </c>
      <c r="V50" s="16">
        <v>15.186999999999999</v>
      </c>
      <c r="W50" s="16">
        <v>13.635</v>
      </c>
      <c r="X50" s="16">
        <v>7.8049999999999997</v>
      </c>
      <c r="Y50" s="16">
        <v>8.1349999999999998</v>
      </c>
      <c r="Z50" s="16">
        <v>11.137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35"/>
      <c r="BK50" s="35"/>
      <c r="BL50" s="35"/>
      <c r="BM50" s="35"/>
      <c r="BN50" s="35"/>
      <c r="BO50" s="35"/>
      <c r="BP50" s="35"/>
      <c r="BQ50" s="35"/>
      <c r="BR50" s="35"/>
      <c r="BS50" s="35">
        <v>113.3</v>
      </c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55"/>
      <c r="CJ50" s="35"/>
      <c r="CK50" s="35"/>
      <c r="CL50" s="35"/>
      <c r="CM50" s="35"/>
      <c r="CN50" s="35"/>
      <c r="CO50" s="35"/>
      <c r="CP50" s="35">
        <f>Z50</f>
        <v>11.137</v>
      </c>
      <c r="CQ50" s="35"/>
      <c r="CR50" s="35"/>
      <c r="CS50" s="35"/>
      <c r="CT50" s="35"/>
      <c r="CU50" s="35"/>
      <c r="CV50" s="35"/>
      <c r="CW50" s="16"/>
      <c r="CX50" s="16"/>
      <c r="CY50" s="16"/>
      <c r="CZ50" s="16"/>
      <c r="DA50" s="16"/>
      <c r="DB50" s="16"/>
    </row>
    <row r="51" spans="2:106" s="13" customFormat="1" x14ac:dyDescent="0.2">
      <c r="B51" s="29" t="s">
        <v>147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>
        <f t="shared" ref="S51:Z51" si="116">SUM(S41:S50)</f>
        <v>902.81299999999999</v>
      </c>
      <c r="T51" s="16">
        <f t="shared" si="116"/>
        <v>951.67099999999994</v>
      </c>
      <c r="U51" s="16">
        <f t="shared" si="116"/>
        <v>1004.727</v>
      </c>
      <c r="V51" s="16">
        <f t="shared" si="116"/>
        <v>1051.5439999999999</v>
      </c>
      <c r="W51" s="16">
        <f t="shared" si="116"/>
        <v>1126.703</v>
      </c>
      <c r="X51" s="16">
        <f t="shared" si="116"/>
        <v>1187.6750000000002</v>
      </c>
      <c r="Y51" s="16">
        <f t="shared" si="116"/>
        <v>1282.7840000000001</v>
      </c>
      <c r="Z51" s="16">
        <f t="shared" si="116"/>
        <v>1431.6349999999998</v>
      </c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35"/>
      <c r="BK51" s="35"/>
      <c r="BL51" s="35"/>
      <c r="BM51" s="35"/>
      <c r="BN51" s="35"/>
      <c r="BO51" s="35"/>
      <c r="BP51" s="35"/>
      <c r="BQ51" s="35"/>
      <c r="BR51" s="35"/>
      <c r="BS51" s="35">
        <f>SUM(BS41:BS50)</f>
        <v>5359.8</v>
      </c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55"/>
      <c r="CJ51" s="35"/>
      <c r="CK51" s="35"/>
      <c r="CL51" s="35"/>
      <c r="CM51" s="35"/>
      <c r="CN51" s="35"/>
      <c r="CO51" s="35"/>
      <c r="CP51" s="35">
        <f>Z51</f>
        <v>1431.6349999999998</v>
      </c>
      <c r="CQ51" s="35"/>
      <c r="CR51" s="35"/>
      <c r="CS51" s="35"/>
      <c r="CT51" s="35"/>
      <c r="CU51" s="35"/>
      <c r="CV51" s="35"/>
      <c r="CW51" s="16"/>
      <c r="CX51" s="16"/>
      <c r="CY51" s="16"/>
      <c r="CZ51" s="16"/>
      <c r="DA51" s="16"/>
      <c r="DB51" s="16"/>
    </row>
    <row r="52" spans="2:106" s="13" customFormat="1" x14ac:dyDescent="0.2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5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16"/>
      <c r="CX52" s="16"/>
      <c r="CY52" s="16"/>
      <c r="CZ52" s="16"/>
      <c r="DA52" s="16"/>
      <c r="DB52" s="16"/>
    </row>
    <row r="53" spans="2:106" s="13" customFormat="1" x14ac:dyDescent="0.2">
      <c r="B53" s="29" t="s">
        <v>148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v>10.512</v>
      </c>
      <c r="T53" s="16">
        <v>19.696000000000002</v>
      </c>
      <c r="U53" s="16">
        <v>17.687999999999999</v>
      </c>
      <c r="V53" s="16">
        <v>18.75</v>
      </c>
      <c r="W53" s="16">
        <v>6.55</v>
      </c>
      <c r="X53" s="16">
        <v>9.3490000000000002</v>
      </c>
      <c r="Y53" s="16">
        <v>11.295999999999999</v>
      </c>
      <c r="Z53" s="16">
        <v>16.146000000000001</v>
      </c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35"/>
      <c r="BK53" s="35"/>
      <c r="BL53" s="35"/>
      <c r="BM53" s="35"/>
      <c r="BN53" s="35"/>
      <c r="BO53" s="35"/>
      <c r="BP53" s="35"/>
      <c r="BQ53" s="35"/>
      <c r="BR53" s="35"/>
      <c r="BS53" s="35">
        <v>166.4</v>
      </c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55"/>
      <c r="CJ53" s="35"/>
      <c r="CK53" s="35"/>
      <c r="CL53" s="35"/>
      <c r="CM53" s="35"/>
      <c r="CN53" s="35"/>
      <c r="CO53" s="35"/>
      <c r="CP53" s="35">
        <f>Z53</f>
        <v>16.146000000000001</v>
      </c>
      <c r="CQ53" s="35"/>
      <c r="CR53" s="35"/>
      <c r="CS53" s="35"/>
      <c r="CT53" s="35"/>
      <c r="CU53" s="35"/>
      <c r="CV53" s="35"/>
      <c r="CW53" s="16"/>
      <c r="CX53" s="16"/>
      <c r="CY53" s="16"/>
      <c r="CZ53" s="16"/>
      <c r="DA53" s="16"/>
      <c r="DB53" s="16"/>
    </row>
    <row r="54" spans="2:106" s="13" customFormat="1" x14ac:dyDescent="0.2">
      <c r="B54" s="29" t="s">
        <v>149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>
        <v>25.640999999999998</v>
      </c>
      <c r="T54" s="16">
        <v>24.113</v>
      </c>
      <c r="U54" s="16">
        <v>27</v>
      </c>
      <c r="V54" s="16">
        <v>29.763999999999999</v>
      </c>
      <c r="W54" s="16">
        <v>32.634999999999998</v>
      </c>
      <c r="X54" s="16">
        <v>41.889000000000003</v>
      </c>
      <c r="Y54" s="16">
        <v>45.542000000000002</v>
      </c>
      <c r="Z54" s="16">
        <v>50.28</v>
      </c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35"/>
      <c r="BK54" s="35"/>
      <c r="BL54" s="35"/>
      <c r="BM54" s="35"/>
      <c r="BN54" s="35"/>
      <c r="BO54" s="35"/>
      <c r="BP54" s="35"/>
      <c r="BQ54" s="35"/>
      <c r="BR54" s="35"/>
      <c r="BS54" s="35">
        <v>0</v>
      </c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55"/>
      <c r="CJ54" s="35"/>
      <c r="CK54" s="35"/>
      <c r="CL54" s="35"/>
      <c r="CM54" s="35"/>
      <c r="CN54" s="35"/>
      <c r="CO54" s="35"/>
      <c r="CP54" s="35">
        <f>Z54</f>
        <v>50.28</v>
      </c>
      <c r="CQ54" s="35"/>
      <c r="CR54" s="35"/>
      <c r="CS54" s="35"/>
      <c r="CT54" s="35"/>
      <c r="CU54" s="35"/>
      <c r="CV54" s="35"/>
      <c r="CW54" s="16"/>
      <c r="CX54" s="16"/>
      <c r="CY54" s="16"/>
      <c r="CZ54" s="16"/>
      <c r="DA54" s="16"/>
      <c r="DB54" s="16"/>
    </row>
    <row r="55" spans="2:106" s="13" customFormat="1" x14ac:dyDescent="0.2">
      <c r="B55" s="29" t="s">
        <v>255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35"/>
      <c r="BK55" s="35"/>
      <c r="BL55" s="35"/>
      <c r="BM55" s="35"/>
      <c r="BN55" s="35"/>
      <c r="BO55" s="35"/>
      <c r="BP55" s="35"/>
      <c r="BQ55" s="35"/>
      <c r="BR55" s="35"/>
      <c r="BS55" s="35">
        <v>65.400000000000006</v>
      </c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5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16"/>
      <c r="CX55" s="16"/>
      <c r="CY55" s="16"/>
      <c r="CZ55" s="16"/>
      <c r="DA55" s="16"/>
      <c r="DB55" s="16"/>
    </row>
    <row r="56" spans="2:106" s="13" customFormat="1" x14ac:dyDescent="0.2">
      <c r="B56" s="29" t="s">
        <v>48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>
        <v>209.23500000000001</v>
      </c>
      <c r="T56" s="16">
        <v>212.846</v>
      </c>
      <c r="U56" s="16">
        <v>216.52500000000001</v>
      </c>
      <c r="V56" s="16">
        <v>220.27199999999999</v>
      </c>
      <c r="W56" s="16">
        <v>224.09</v>
      </c>
      <c r="X56" s="16">
        <v>227.97900000000001</v>
      </c>
      <c r="Y56" s="16">
        <v>231.93199999999999</v>
      </c>
      <c r="Z56" s="16">
        <v>235.96799999999999</v>
      </c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35"/>
      <c r="BK56" s="35"/>
      <c r="BL56" s="35"/>
      <c r="BM56" s="35"/>
      <c r="BN56" s="35"/>
      <c r="BO56" s="35"/>
      <c r="BP56" s="35"/>
      <c r="BQ56" s="35"/>
      <c r="BR56" s="35"/>
      <c r="BS56" s="35">
        <v>800</v>
      </c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55"/>
      <c r="CJ56" s="35"/>
      <c r="CK56" s="35"/>
      <c r="CL56" s="35"/>
      <c r="CM56" s="35"/>
      <c r="CN56" s="35"/>
      <c r="CO56" s="35"/>
      <c r="CP56" s="35">
        <f>Z56</f>
        <v>235.96799999999999</v>
      </c>
      <c r="CQ56" s="35"/>
      <c r="CR56" s="35"/>
      <c r="CS56" s="35"/>
      <c r="CT56" s="35"/>
      <c r="CU56" s="35"/>
      <c r="CV56" s="35"/>
      <c r="CW56" s="16"/>
      <c r="CX56" s="16"/>
      <c r="CY56" s="16"/>
      <c r="CZ56" s="16"/>
      <c r="DA56" s="16"/>
      <c r="DB56" s="16"/>
    </row>
    <row r="57" spans="2:106" s="13" customFormat="1" x14ac:dyDescent="0.2">
      <c r="B57" s="29" t="s">
        <v>150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>
        <v>29.524000000000001</v>
      </c>
      <c r="T57" s="16">
        <v>29.789000000000001</v>
      </c>
      <c r="U57" s="16">
        <v>30.056999999999999</v>
      </c>
      <c r="V57" s="16">
        <v>30.327000000000002</v>
      </c>
      <c r="W57" s="16">
        <v>30.6</v>
      </c>
      <c r="X57" s="16">
        <f>30.875</f>
        <v>30.875</v>
      </c>
      <c r="Y57" s="16">
        <v>31.152000000000001</v>
      </c>
      <c r="Z57" s="16">
        <v>68.929000000000002</v>
      </c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35"/>
      <c r="BK57" s="35"/>
      <c r="BL57" s="35"/>
      <c r="BM57" s="35"/>
      <c r="BN57" s="35"/>
      <c r="BO57" s="35"/>
      <c r="BP57" s="35"/>
      <c r="BQ57" s="35"/>
      <c r="BR57" s="35"/>
      <c r="BS57" s="35">
        <v>0</v>
      </c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55"/>
      <c r="CJ57" s="35"/>
      <c r="CK57" s="35"/>
      <c r="CL57" s="35"/>
      <c r="CM57" s="35"/>
      <c r="CN57" s="35"/>
      <c r="CO57" s="35"/>
      <c r="CP57" s="35">
        <f>Z57</f>
        <v>68.929000000000002</v>
      </c>
      <c r="CQ57" s="35"/>
      <c r="CR57" s="35"/>
      <c r="CS57" s="35"/>
      <c r="CT57" s="35"/>
      <c r="CU57" s="35"/>
      <c r="CV57" s="35"/>
      <c r="CW57" s="16"/>
      <c r="CX57" s="16"/>
      <c r="CY57" s="16"/>
      <c r="CZ57" s="16"/>
      <c r="DA57" s="16"/>
      <c r="DB57" s="16"/>
    </row>
    <row r="58" spans="2:106" s="13" customFormat="1" x14ac:dyDescent="0.2">
      <c r="B58" s="29" t="s">
        <v>6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>
        <f>23.608+16.129</f>
        <v>39.737000000000002</v>
      </c>
      <c r="T58" s="16">
        <f>32.408+16.957</f>
        <v>49.365000000000002</v>
      </c>
      <c r="U58" s="16">
        <f>39.814+23.204</f>
        <v>63.018000000000001</v>
      </c>
      <c r="V58" s="16">
        <f>61.401+27.139</f>
        <v>88.54</v>
      </c>
      <c r="W58" s="16">
        <f>65.763+27.935</f>
        <v>93.698000000000008</v>
      </c>
      <c r="X58" s="16">
        <f>55.632+28.768</f>
        <v>84.4</v>
      </c>
      <c r="Y58" s="16">
        <f>77.543+33.706</f>
        <v>111.24900000000001</v>
      </c>
      <c r="Z58" s="16">
        <f>126.292+39.252+10.882</f>
        <v>176.42600000000002</v>
      </c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35"/>
      <c r="BK58" s="35"/>
      <c r="BL58" s="35"/>
      <c r="BM58" s="35"/>
      <c r="BN58" s="35"/>
      <c r="BO58" s="35"/>
      <c r="BP58" s="35"/>
      <c r="BQ58" s="35"/>
      <c r="BR58" s="35"/>
      <c r="BS58" s="35">
        <f>60.8+90.9</f>
        <v>151.69999999999999</v>
      </c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55"/>
      <c r="CJ58" s="35"/>
      <c r="CK58" s="35"/>
      <c r="CL58" s="35"/>
      <c r="CM58" s="35"/>
      <c r="CN58" s="35"/>
      <c r="CO58" s="35"/>
      <c r="CP58" s="35">
        <f>Z58</f>
        <v>176.42600000000002</v>
      </c>
      <c r="CQ58" s="35"/>
      <c r="CR58" s="35"/>
      <c r="CS58" s="35"/>
      <c r="CT58" s="35"/>
      <c r="CU58" s="35"/>
      <c r="CV58" s="35"/>
      <c r="CW58" s="16"/>
      <c r="CX58" s="16"/>
      <c r="CY58" s="16"/>
      <c r="CZ58" s="16"/>
      <c r="DA58" s="16"/>
      <c r="DB58" s="16"/>
    </row>
    <row r="59" spans="2:106" s="13" customFormat="1" x14ac:dyDescent="0.2">
      <c r="B59" s="29" t="s">
        <v>151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>
        <f t="shared" ref="S59:Z59" si="117">SUM(S53:S58)</f>
        <v>314.64900000000006</v>
      </c>
      <c r="T59" s="16">
        <f t="shared" si="117"/>
        <v>335.80899999999997</v>
      </c>
      <c r="U59" s="16">
        <f t="shared" si="117"/>
        <v>354.28800000000001</v>
      </c>
      <c r="V59" s="16">
        <f t="shared" si="117"/>
        <v>387.65300000000002</v>
      </c>
      <c r="W59" s="16">
        <f t="shared" si="117"/>
        <v>387.57299999999998</v>
      </c>
      <c r="X59" s="16">
        <f t="shared" si="117"/>
        <v>394.49199999999996</v>
      </c>
      <c r="Y59" s="16">
        <f t="shared" si="117"/>
        <v>431.17099999999999</v>
      </c>
      <c r="Z59" s="16">
        <f t="shared" si="117"/>
        <v>547.74900000000002</v>
      </c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55"/>
      <c r="CJ59" s="35"/>
      <c r="CK59" s="35"/>
      <c r="CL59" s="35"/>
      <c r="CM59" s="35"/>
      <c r="CN59" s="35"/>
      <c r="CO59" s="35"/>
      <c r="CP59" s="35">
        <f>Z59</f>
        <v>547.74900000000002</v>
      </c>
      <c r="CQ59" s="35"/>
      <c r="CR59" s="35"/>
      <c r="CS59" s="35"/>
      <c r="CT59" s="35"/>
      <c r="CU59" s="35"/>
      <c r="CV59" s="35"/>
      <c r="CW59" s="16"/>
      <c r="CX59" s="16"/>
      <c r="CY59" s="16"/>
      <c r="CZ59" s="16"/>
      <c r="DA59" s="16"/>
      <c r="DB59" s="16"/>
    </row>
    <row r="60" spans="2:106" s="13" customFormat="1" x14ac:dyDescent="0.2">
      <c r="B60" s="29" t="s">
        <v>152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>
        <f>10.882+577.282</f>
        <v>588.16399999999999</v>
      </c>
      <c r="T60" s="16">
        <f>10.882+604.98</f>
        <v>615.86199999999997</v>
      </c>
      <c r="U60" s="16">
        <f>10.882+639.557</f>
        <v>650.43899999999996</v>
      </c>
      <c r="V60" s="16">
        <f>10.882+653.009</f>
        <v>663.89099999999996</v>
      </c>
      <c r="W60" s="16">
        <f>10.882+728.248</f>
        <v>739.13</v>
      </c>
      <c r="X60" s="16">
        <f>782.301+10.882</f>
        <v>793.18299999999999</v>
      </c>
      <c r="Y60" s="16">
        <v>840.73099999999999</v>
      </c>
      <c r="Z60" s="16">
        <v>883.88599999999997</v>
      </c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35"/>
      <c r="BK60" s="35"/>
      <c r="BL60" s="35"/>
      <c r="BM60" s="35"/>
      <c r="BN60" s="35"/>
      <c r="BO60" s="35"/>
      <c r="BP60" s="35"/>
      <c r="BQ60" s="35"/>
      <c r="BR60" s="35"/>
      <c r="BS60" s="35">
        <v>4176.3</v>
      </c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55"/>
      <c r="CJ60" s="35"/>
      <c r="CK60" s="35"/>
      <c r="CL60" s="35"/>
      <c r="CM60" s="35"/>
      <c r="CN60" s="35"/>
      <c r="CO60" s="35"/>
      <c r="CP60" s="35">
        <f>Z60</f>
        <v>883.88599999999997</v>
      </c>
      <c r="CQ60" s="35"/>
      <c r="CR60" s="35"/>
      <c r="CS60" s="35"/>
      <c r="CT60" s="35"/>
      <c r="CU60" s="35"/>
      <c r="CV60" s="35"/>
      <c r="CW60" s="16"/>
      <c r="CX60" s="16"/>
      <c r="CY60" s="16"/>
      <c r="CZ60" s="16"/>
      <c r="DA60" s="16"/>
      <c r="DB60" s="16"/>
    </row>
    <row r="61" spans="2:106" s="13" customFormat="1" x14ac:dyDescent="0.2">
      <c r="B61" s="29" t="s">
        <v>153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>
        <f t="shared" ref="S61:Z61" si="118">S60+S59</f>
        <v>902.8130000000001</v>
      </c>
      <c r="T61" s="16">
        <f t="shared" si="118"/>
        <v>951.67099999999994</v>
      </c>
      <c r="U61" s="16">
        <f t="shared" si="118"/>
        <v>1004.727</v>
      </c>
      <c r="V61" s="16">
        <f t="shared" si="118"/>
        <v>1051.5439999999999</v>
      </c>
      <c r="W61" s="16">
        <f t="shared" si="118"/>
        <v>1126.703</v>
      </c>
      <c r="X61" s="16">
        <f t="shared" si="118"/>
        <v>1187.675</v>
      </c>
      <c r="Y61" s="16">
        <f t="shared" si="118"/>
        <v>1271.902</v>
      </c>
      <c r="Z61" s="16">
        <f t="shared" si="118"/>
        <v>1431.635</v>
      </c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35"/>
      <c r="BK61" s="35"/>
      <c r="BL61" s="35"/>
      <c r="BM61" s="35"/>
      <c r="BN61" s="35"/>
      <c r="BO61" s="35"/>
      <c r="BP61" s="35"/>
      <c r="BQ61" s="35"/>
      <c r="BR61" s="35"/>
      <c r="BS61" s="35">
        <f>SUM(BS53:BS60)</f>
        <v>5359.8</v>
      </c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55"/>
      <c r="CJ61" s="35"/>
      <c r="CK61" s="35"/>
      <c r="CL61" s="35"/>
      <c r="CM61" s="35"/>
      <c r="CN61" s="35"/>
      <c r="CO61" s="35"/>
      <c r="CP61" s="35">
        <f>Z61</f>
        <v>1431.635</v>
      </c>
      <c r="CQ61" s="35"/>
      <c r="CR61" s="35"/>
      <c r="CS61" s="35"/>
      <c r="CT61" s="35"/>
      <c r="CU61" s="35"/>
      <c r="CV61" s="35"/>
      <c r="CW61" s="16"/>
      <c r="CX61" s="16"/>
      <c r="CY61" s="16"/>
      <c r="CZ61" s="16"/>
      <c r="DA61" s="16"/>
      <c r="DB61" s="16"/>
    </row>
    <row r="62" spans="2:106" s="13" customFormat="1" x14ac:dyDescent="0.2">
      <c r="B62" s="29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5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16"/>
      <c r="CX62" s="16"/>
      <c r="CY62" s="16"/>
      <c r="CZ62" s="16"/>
      <c r="DA62" s="16"/>
      <c r="DB62" s="16"/>
    </row>
    <row r="63" spans="2:106" s="13" customFormat="1" x14ac:dyDescent="0.2">
      <c r="B63" s="29" t="s">
        <v>162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>
        <f>27.682372*2</f>
        <v>55.364744000000002</v>
      </c>
      <c r="T63" s="16">
        <f>27.807145*2</f>
        <v>55.614289999999997</v>
      </c>
      <c r="U63" s="16">
        <v>56.262808</v>
      </c>
      <c r="V63" s="16">
        <v>56.682369000000001</v>
      </c>
      <c r="W63" s="16">
        <v>58.108738000000002</v>
      </c>
      <c r="X63" s="16">
        <v>58.855364999999999</v>
      </c>
      <c r="Y63" s="16">
        <v>59.239730999999999</v>
      </c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5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16"/>
      <c r="CX63" s="16"/>
      <c r="CY63" s="16"/>
      <c r="CZ63" s="16"/>
      <c r="DA63" s="16"/>
      <c r="DB63" s="16"/>
    </row>
    <row r="64" spans="2:106" s="13" customFormat="1" x14ac:dyDescent="0.2">
      <c r="B64" s="29" t="s">
        <v>163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>
        <f>26.451577*2</f>
        <v>52.903154000000001</v>
      </c>
      <c r="T64" s="16">
        <f>26.57635*2</f>
        <v>53.152700000000003</v>
      </c>
      <c r="U64" s="16">
        <v>53.801217999999999</v>
      </c>
      <c r="V64" s="16">
        <v>54.220779</v>
      </c>
      <c r="W64" s="16">
        <v>55.647148000000001</v>
      </c>
      <c r="X64" s="16">
        <v>56.393774999999998</v>
      </c>
      <c r="Y64" s="16">
        <v>56.778078000000001</v>
      </c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5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16"/>
      <c r="CX64" s="16"/>
      <c r="CY64" s="16"/>
      <c r="CZ64" s="16"/>
      <c r="DA64" s="16"/>
      <c r="DB64" s="16"/>
    </row>
    <row r="66" spans="2:106" s="13" customFormat="1" x14ac:dyDescent="0.2">
      <c r="B66" s="29" t="s">
        <v>156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>
        <f t="shared" ref="S66:Z66" si="119">+S22</f>
        <v>13.196999999999999</v>
      </c>
      <c r="T66" s="16">
        <f t="shared" si="119"/>
        <v>32.466999999999985</v>
      </c>
      <c r="U66" s="16">
        <f t="shared" si="119"/>
        <v>12.382000000000009</v>
      </c>
      <c r="V66" s="16">
        <f t="shared" si="119"/>
        <v>-6.2289999999999832</v>
      </c>
      <c r="W66" s="16">
        <f t="shared" si="119"/>
        <v>18.929000000000023</v>
      </c>
      <c r="X66" s="16">
        <f t="shared" si="119"/>
        <v>37.707000000000036</v>
      </c>
      <c r="Y66" s="16">
        <f t="shared" si="119"/>
        <v>39.735999999999976</v>
      </c>
      <c r="Z66" s="16">
        <f t="shared" si="119"/>
        <v>9.5440000000000165</v>
      </c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55"/>
      <c r="CJ66" s="35"/>
      <c r="CK66" s="35"/>
      <c r="CL66" s="35"/>
      <c r="CM66" s="35"/>
      <c r="CN66" s="35"/>
      <c r="CO66" s="35"/>
      <c r="CP66" s="35">
        <f>+CP22</f>
        <v>105.916</v>
      </c>
      <c r="CQ66" s="35"/>
      <c r="CR66" s="35"/>
      <c r="CS66" s="35"/>
      <c r="CT66" s="35"/>
      <c r="CU66" s="35"/>
      <c r="CV66" s="35"/>
      <c r="CW66" s="16"/>
      <c r="CX66" s="16"/>
      <c r="CY66" s="16"/>
      <c r="CZ66" s="16"/>
      <c r="DA66" s="16"/>
      <c r="DB66" s="16"/>
    </row>
    <row r="67" spans="2:106" s="13" customFormat="1" x14ac:dyDescent="0.2">
      <c r="B67" s="29" t="s">
        <v>157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>
        <v>13.196999999999999</v>
      </c>
      <c r="T67" s="16">
        <f>10.855-S67</f>
        <v>-2.3419999999999987</v>
      </c>
      <c r="U67" s="16">
        <f>22.792-T67-S67</f>
        <v>11.937000000000001</v>
      </c>
      <c r="V67" s="16">
        <f>19.462-U67-T67-S67</f>
        <v>-3.3300000000000018</v>
      </c>
      <c r="W67" s="16">
        <v>18.928999999999998</v>
      </c>
      <c r="X67" s="16">
        <f>56.636-W67</f>
        <v>37.707000000000008</v>
      </c>
      <c r="Y67" s="16">
        <f>96.372-X67-W67</f>
        <v>39.73599999999999</v>
      </c>
      <c r="Z67" s="16">
        <f>Z66</f>
        <v>9.5440000000000165</v>
      </c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55"/>
      <c r="CJ67" s="35"/>
      <c r="CK67" s="35"/>
      <c r="CL67" s="35"/>
      <c r="CM67" s="35"/>
      <c r="CN67" s="35"/>
      <c r="CO67" s="35"/>
      <c r="CP67" s="35">
        <f>CP66</f>
        <v>105.916</v>
      </c>
      <c r="CQ67" s="35"/>
      <c r="CR67" s="35"/>
      <c r="CS67" s="35"/>
      <c r="CT67" s="35"/>
      <c r="CU67" s="35"/>
      <c r="CV67" s="35"/>
      <c r="CW67" s="16"/>
      <c r="CX67" s="16"/>
      <c r="CY67" s="16"/>
      <c r="CZ67" s="16"/>
      <c r="DA67" s="16"/>
      <c r="DB67" s="16"/>
    </row>
    <row r="68" spans="2:106" s="13" customFormat="1" x14ac:dyDescent="0.2">
      <c r="B68" s="29" t="s">
        <v>158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>
        <v>1.7649999999999999</v>
      </c>
      <c r="T68" s="16">
        <f>4.168-S68</f>
        <v>2.4030000000000005</v>
      </c>
      <c r="U68" s="16">
        <f>6.673-T68-S68</f>
        <v>2.5049999999999999</v>
      </c>
      <c r="V68" s="16">
        <f>11.394-U68-T68-S68</f>
        <v>4.7209999999999992</v>
      </c>
      <c r="W68" s="16">
        <v>4.57</v>
      </c>
      <c r="X68" s="16">
        <f>9.153-W68</f>
        <v>4.5830000000000002</v>
      </c>
      <c r="Y68" s="16">
        <f>14.181-X68-W68</f>
        <v>5.0279999999999987</v>
      </c>
      <c r="Z68" s="16">
        <f>CP68-SUM(W68:Y68)</f>
        <v>3.7390000000000025</v>
      </c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55"/>
      <c r="CJ68" s="35"/>
      <c r="CK68" s="35"/>
      <c r="CL68" s="35"/>
      <c r="CM68" s="35"/>
      <c r="CN68" s="35"/>
      <c r="CO68" s="35"/>
      <c r="CP68" s="35">
        <v>17.920000000000002</v>
      </c>
      <c r="CQ68" s="35"/>
      <c r="CR68" s="35"/>
      <c r="CS68" s="35"/>
      <c r="CT68" s="35"/>
      <c r="CU68" s="35"/>
      <c r="CV68" s="35"/>
      <c r="CW68" s="16"/>
      <c r="CX68" s="16"/>
      <c r="CY68" s="16"/>
      <c r="CZ68" s="16"/>
      <c r="DA68" s="16"/>
      <c r="DB68" s="16"/>
    </row>
    <row r="69" spans="2:106" s="13" customFormat="1" x14ac:dyDescent="0.2">
      <c r="B69" s="29" t="s">
        <v>159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>
        <v>0.35499999999999998</v>
      </c>
      <c r="T69" s="16">
        <f>0.705-S69</f>
        <v>0.35</v>
      </c>
      <c r="U69" s="16">
        <f>0.985-T69-S69</f>
        <v>0.28000000000000003</v>
      </c>
      <c r="V69" s="16">
        <f>4.675-U69-T69-S69</f>
        <v>3.69</v>
      </c>
      <c r="W69" s="16">
        <v>0.11600000000000001</v>
      </c>
      <c r="X69" s="16">
        <f>0.828-W69</f>
        <v>0.71199999999999997</v>
      </c>
      <c r="Y69" s="16">
        <f>1.844-X69-W69</f>
        <v>1.016</v>
      </c>
      <c r="Z69" s="16">
        <f>CP69-SUM(W69:Y69)</f>
        <v>0.55400000000000027</v>
      </c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55"/>
      <c r="CJ69" s="35"/>
      <c r="CK69" s="35"/>
      <c r="CL69" s="35"/>
      <c r="CM69" s="35"/>
      <c r="CN69" s="35"/>
      <c r="CO69" s="35"/>
      <c r="CP69" s="35">
        <v>2.3980000000000001</v>
      </c>
      <c r="CQ69" s="35"/>
      <c r="CR69" s="35"/>
      <c r="CS69" s="35"/>
      <c r="CT69" s="35"/>
      <c r="CU69" s="35"/>
      <c r="CV69" s="35"/>
      <c r="CW69" s="16"/>
      <c r="CX69" s="16"/>
      <c r="CY69" s="16"/>
      <c r="CZ69" s="16"/>
      <c r="DA69" s="16"/>
      <c r="DB69" s="16"/>
    </row>
    <row r="70" spans="2:106" s="13" customFormat="1" x14ac:dyDescent="0.2">
      <c r="B70" s="29" t="s">
        <v>161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>
        <v>6.7990000000000004</v>
      </c>
      <c r="T70" s="16">
        <f>3.599-S70</f>
        <v>-3.2</v>
      </c>
      <c r="U70" s="16">
        <f>0.708-T70-S70</f>
        <v>-2.891</v>
      </c>
      <c r="V70" s="16">
        <f>-1.038-U70-T70-S70</f>
        <v>-1.7460000000000004</v>
      </c>
      <c r="W70" s="16">
        <v>9.7520000000000007</v>
      </c>
      <c r="X70" s="16">
        <f>28.964-W70</f>
        <v>19.211999999999996</v>
      </c>
      <c r="Y70" s="16">
        <f>46.962-X70-W70</f>
        <v>17.998000000000005</v>
      </c>
      <c r="Z70" s="16">
        <f>CP70-SUM(W70:Y70)</f>
        <v>-5.0390000000000015</v>
      </c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55"/>
      <c r="CJ70" s="35"/>
      <c r="CK70" s="35"/>
      <c r="CL70" s="35"/>
      <c r="CM70" s="35"/>
      <c r="CN70" s="35"/>
      <c r="CO70" s="35"/>
      <c r="CP70" s="35">
        <v>41.923000000000002</v>
      </c>
      <c r="CQ70" s="35"/>
      <c r="CR70" s="35"/>
      <c r="CS70" s="35"/>
      <c r="CT70" s="35"/>
      <c r="CU70" s="35"/>
      <c r="CV70" s="35"/>
      <c r="CW70" s="16"/>
      <c r="CX70" s="16"/>
      <c r="CY70" s="16"/>
      <c r="CZ70" s="16"/>
      <c r="DA70" s="16"/>
      <c r="DB70" s="16"/>
    </row>
    <row r="71" spans="2:106" s="30" customFormat="1" x14ac:dyDescent="0.2">
      <c r="B71" s="30" t="s">
        <v>160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>
        <v>14.055</v>
      </c>
      <c r="T71" s="20">
        <f>48.42-S71</f>
        <v>34.365000000000002</v>
      </c>
      <c r="U71" s="20">
        <f>73.712-T71-S71</f>
        <v>25.292000000000002</v>
      </c>
      <c r="V71" s="20">
        <f>101.015-U71-T71-S71</f>
        <v>27.302999999999997</v>
      </c>
      <c r="W71" s="20">
        <v>30.125</v>
      </c>
      <c r="X71" s="20">
        <f>29.755-W71</f>
        <v>-0.37000000000000099</v>
      </c>
      <c r="Y71" s="20">
        <f>61.127-X71-W71</f>
        <v>31.372</v>
      </c>
      <c r="Z71" s="20">
        <f>CP71-SUM(W71:Y71)</f>
        <v>52.814999999999998</v>
      </c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56"/>
      <c r="CJ71" s="36"/>
      <c r="CK71" s="36"/>
      <c r="CL71" s="36"/>
      <c r="CM71" s="36"/>
      <c r="CN71" s="36"/>
      <c r="CO71" s="36"/>
      <c r="CP71" s="36">
        <v>113.94199999999999</v>
      </c>
      <c r="CQ71" s="36"/>
      <c r="CR71" s="36"/>
      <c r="CS71" s="36"/>
      <c r="CT71" s="36"/>
      <c r="CU71" s="36"/>
      <c r="CV71" s="36"/>
      <c r="CW71" s="20"/>
      <c r="CX71" s="20"/>
      <c r="CY71" s="20"/>
      <c r="CZ71" s="20"/>
      <c r="DA71" s="20"/>
      <c r="DB71" s="20"/>
    </row>
    <row r="72" spans="2:106" s="13" customFormat="1" x14ac:dyDescent="0.2">
      <c r="B72" s="29" t="s">
        <v>164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>
        <v>0</v>
      </c>
      <c r="T72" s="16">
        <v>0</v>
      </c>
      <c r="U72" s="16">
        <v>0</v>
      </c>
      <c r="V72" s="16">
        <f>4.494-U72-T72-S72</f>
        <v>4.4939999999999998</v>
      </c>
      <c r="W72" s="16">
        <v>1.254</v>
      </c>
      <c r="X72" s="16">
        <f>0-W72</f>
        <v>-1.254</v>
      </c>
      <c r="Y72" s="16">
        <v>0</v>
      </c>
      <c r="Z72" s="16">
        <f>CP72-SUM(W72:Y72)</f>
        <v>7.6879999999999997</v>
      </c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55"/>
      <c r="CJ72" s="35"/>
      <c r="CK72" s="35"/>
      <c r="CL72" s="35"/>
      <c r="CM72" s="35"/>
      <c r="CN72" s="35"/>
      <c r="CO72" s="35"/>
      <c r="CP72" s="35">
        <v>7.6879999999999997</v>
      </c>
      <c r="CQ72" s="35"/>
      <c r="CR72" s="35"/>
      <c r="CS72" s="35"/>
      <c r="CT72" s="35"/>
      <c r="CU72" s="35"/>
      <c r="CV72" s="35"/>
      <c r="CW72" s="16"/>
      <c r="CX72" s="16"/>
      <c r="CY72" s="16"/>
      <c r="CZ72" s="16"/>
      <c r="DA72" s="16"/>
      <c r="DB72" s="16"/>
    </row>
    <row r="73" spans="2:106" s="13" customFormat="1" x14ac:dyDescent="0.2">
      <c r="B73" s="29" t="s">
        <v>165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>
        <v>4.1399999999999997</v>
      </c>
      <c r="T73" s="16">
        <f>7.722-S73</f>
        <v>3.5820000000000007</v>
      </c>
      <c r="U73" s="16">
        <f>11.685-T73-S73</f>
        <v>3.9630000000000001</v>
      </c>
      <c r="V73" s="16">
        <f>15.714-U73-T73-S73</f>
        <v>4.0290000000000008</v>
      </c>
      <c r="W73" s="16">
        <v>4.101</v>
      </c>
      <c r="X73" s="16">
        <f>8.273-W73</f>
        <v>4.1719999999999997</v>
      </c>
      <c r="Y73" s="16">
        <f>12.52-X73-W73</f>
        <v>4.246999999999999</v>
      </c>
      <c r="Z73" s="16">
        <f>CP73-SUM(W73:Y73)</f>
        <v>-9.9459999999999997</v>
      </c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55"/>
      <c r="CJ73" s="35"/>
      <c r="CK73" s="35"/>
      <c r="CL73" s="35"/>
      <c r="CM73" s="35"/>
      <c r="CN73" s="35"/>
      <c r="CO73" s="35"/>
      <c r="CP73" s="35">
        <v>2.5739999999999998</v>
      </c>
      <c r="CQ73" s="35"/>
      <c r="CR73" s="35"/>
      <c r="CS73" s="35"/>
      <c r="CT73" s="35"/>
      <c r="CU73" s="35"/>
      <c r="CV73" s="35"/>
      <c r="CW73" s="16"/>
      <c r="CX73" s="16"/>
      <c r="CY73" s="16"/>
      <c r="CZ73" s="16"/>
      <c r="DA73" s="16"/>
      <c r="DB73" s="16"/>
    </row>
    <row r="74" spans="2:106" s="13" customFormat="1" x14ac:dyDescent="0.2">
      <c r="B74" s="29" t="s">
        <v>166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>
        <v>0.252</v>
      </c>
      <c r="T74" s="16">
        <f>0.68-S74</f>
        <v>0.42800000000000005</v>
      </c>
      <c r="U74" s="16">
        <f>1.132-T74-S74</f>
        <v>0.45199999999999985</v>
      </c>
      <c r="V74" s="16">
        <f>1.551-U74-T74-S74</f>
        <v>0.41900000000000015</v>
      </c>
      <c r="W74" s="16">
        <v>0.378</v>
      </c>
      <c r="X74" s="16">
        <f>0.876-W74</f>
        <v>0.498</v>
      </c>
      <c r="Y74" s="16">
        <f>1.465-X74-W74</f>
        <v>0.58900000000000008</v>
      </c>
      <c r="Z74" s="16">
        <f>CP74-SUM(W74:Y74)</f>
        <v>15.373999999999999</v>
      </c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55"/>
      <c r="CJ74" s="35"/>
      <c r="CK74" s="35"/>
      <c r="CL74" s="35"/>
      <c r="CM74" s="35"/>
      <c r="CN74" s="35"/>
      <c r="CO74" s="35"/>
      <c r="CP74" s="35">
        <v>16.838999999999999</v>
      </c>
      <c r="CQ74" s="35"/>
      <c r="CR74" s="35"/>
      <c r="CS74" s="35"/>
      <c r="CT74" s="35"/>
      <c r="CU74" s="35"/>
      <c r="CV74" s="35"/>
      <c r="CW74" s="16"/>
      <c r="CX74" s="16"/>
      <c r="CY74" s="16"/>
      <c r="CZ74" s="16"/>
      <c r="DA74" s="16"/>
      <c r="DB74" s="16"/>
    </row>
    <row r="75" spans="2:106" s="13" customFormat="1" x14ac:dyDescent="0.2">
      <c r="B75" s="29" t="s">
        <v>167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v>-0.33900000000000002</v>
      </c>
      <c r="T75" s="16">
        <f>-2.998-S75</f>
        <v>-2.6590000000000003</v>
      </c>
      <c r="U75" s="16">
        <f>-3.248-T75-S75</f>
        <v>-0.24999999999999994</v>
      </c>
      <c r="V75" s="16">
        <f>-1.848-U75-T75-S75</f>
        <v>1.4000000000000001</v>
      </c>
      <c r="W75" s="16">
        <v>0.63200000000000001</v>
      </c>
      <c r="X75" s="16">
        <f>-0.056-W75</f>
        <v>-0.68800000000000006</v>
      </c>
      <c r="Y75" s="16">
        <f>-0.548-X75-W75</f>
        <v>-0.49199999999999999</v>
      </c>
      <c r="Z75" s="16">
        <f>CP75-SUM(W75:Y75)</f>
        <v>1.5150000000000001</v>
      </c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55"/>
      <c r="CJ75" s="35"/>
      <c r="CK75" s="35"/>
      <c r="CL75" s="35"/>
      <c r="CM75" s="35"/>
      <c r="CN75" s="35"/>
      <c r="CO75" s="35"/>
      <c r="CP75" s="35">
        <v>0.96699999999999997</v>
      </c>
      <c r="CQ75" s="35"/>
      <c r="CR75" s="35"/>
      <c r="CS75" s="35"/>
      <c r="CT75" s="35"/>
      <c r="CU75" s="35"/>
      <c r="CV75" s="35"/>
      <c r="CW75" s="16"/>
      <c r="CX75" s="16"/>
      <c r="CY75" s="16"/>
      <c r="CZ75" s="16"/>
      <c r="DA75" s="16"/>
      <c r="DB75" s="16"/>
    </row>
    <row r="76" spans="2:106" s="13" customFormat="1" x14ac:dyDescent="0.2">
      <c r="B76" s="29" t="s">
        <v>168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>
        <v>-0.187</v>
      </c>
      <c r="T76" s="16">
        <f>-1.592-S76</f>
        <v>-1.405</v>
      </c>
      <c r="U76" s="16">
        <f>-2.71-T76-S76</f>
        <v>-1.1179999999999999</v>
      </c>
      <c r="V76" s="16">
        <f>-4.406-U76-T76-S76</f>
        <v>-1.6959999999999997</v>
      </c>
      <c r="W76" s="16">
        <v>-10.759</v>
      </c>
      <c r="X76" s="16">
        <f>-16.355-W76</f>
        <v>-5.5960000000000001</v>
      </c>
      <c r="Y76" s="16">
        <f>-18.726-X76-W76</f>
        <v>-2.3709999999999987</v>
      </c>
      <c r="Z76" s="16">
        <f>CP76-SUM(W76:Y76)</f>
        <v>-5.1000000000000014</v>
      </c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55"/>
      <c r="CJ76" s="35"/>
      <c r="CK76" s="35"/>
      <c r="CL76" s="35"/>
      <c r="CM76" s="35"/>
      <c r="CN76" s="35"/>
      <c r="CO76" s="35"/>
      <c r="CP76" s="35">
        <v>-23.826000000000001</v>
      </c>
      <c r="CQ76" s="35"/>
      <c r="CR76" s="35"/>
      <c r="CS76" s="35"/>
      <c r="CT76" s="35"/>
      <c r="CU76" s="35"/>
      <c r="CV76" s="35"/>
      <c r="CW76" s="16"/>
      <c r="CX76" s="16"/>
      <c r="CY76" s="16"/>
      <c r="CZ76" s="16"/>
      <c r="DA76" s="16"/>
      <c r="DB76" s="16"/>
    </row>
    <row r="77" spans="2:106" s="13" customFormat="1" x14ac:dyDescent="0.2">
      <c r="B77" s="29" t="s">
        <v>175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>
        <v>-2.7349999999999999</v>
      </c>
      <c r="T77" s="16">
        <f>0-S77</f>
        <v>2.7349999999999999</v>
      </c>
      <c r="U77" s="16">
        <f>0-T77-S77</f>
        <v>0</v>
      </c>
      <c r="V77" s="16">
        <f>-2.099-U77-T77-S77</f>
        <v>-2.0989999999999998</v>
      </c>
      <c r="W77" s="16">
        <v>0</v>
      </c>
      <c r="X77" s="16">
        <v>0</v>
      </c>
      <c r="Y77" s="16">
        <v>0</v>
      </c>
      <c r="Z77" s="16">
        <f>CP77-SUM(W77:Y77)</f>
        <v>0</v>
      </c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55"/>
      <c r="CJ77" s="35"/>
      <c r="CK77" s="35"/>
      <c r="CL77" s="35"/>
      <c r="CM77" s="35"/>
      <c r="CN77" s="35"/>
      <c r="CO77" s="35"/>
      <c r="CP77" s="35">
        <v>0</v>
      </c>
      <c r="CQ77" s="35"/>
      <c r="CR77" s="35"/>
      <c r="CS77" s="35"/>
      <c r="CT77" s="35"/>
      <c r="CU77" s="35"/>
      <c r="CV77" s="35"/>
      <c r="CW77" s="16"/>
      <c r="CX77" s="16"/>
      <c r="CY77" s="16"/>
      <c r="CZ77" s="16"/>
      <c r="DA77" s="16"/>
      <c r="DB77" s="16"/>
    </row>
    <row r="78" spans="2:106" s="13" customFormat="1" x14ac:dyDescent="0.2">
      <c r="B78" s="29" t="s">
        <v>141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>
        <v>-23.507999999999999</v>
      </c>
      <c r="T78" s="16">
        <f>-5.943-S78</f>
        <v>17.564999999999998</v>
      </c>
      <c r="U78" s="16">
        <f>-17.345-T78-S78</f>
        <v>-11.401999999999997</v>
      </c>
      <c r="V78" s="16">
        <f>-21.956-U78-T78-S78</f>
        <v>-4.6110000000000007</v>
      </c>
      <c r="W78" s="16">
        <v>-9.3119999999999994</v>
      </c>
      <c r="X78" s="16">
        <f>-32.969-W78</f>
        <v>-23.657000000000004</v>
      </c>
      <c r="Y78" s="16">
        <f>-25.313-X78-W78</f>
        <v>7.6560000000000041</v>
      </c>
      <c r="Z78" s="16">
        <f>CP78-SUM(W78:Y78)</f>
        <v>1.8609999999999935</v>
      </c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55"/>
      <c r="CJ78" s="35"/>
      <c r="CK78" s="35"/>
      <c r="CL78" s="35"/>
      <c r="CM78" s="35"/>
      <c r="CN78" s="35"/>
      <c r="CO78" s="35"/>
      <c r="CP78" s="35">
        <v>-23.452000000000002</v>
      </c>
      <c r="CQ78" s="35"/>
      <c r="CR78" s="35"/>
      <c r="CS78" s="35"/>
      <c r="CT78" s="35"/>
      <c r="CU78" s="35"/>
      <c r="CV78" s="35"/>
      <c r="CW78" s="16"/>
      <c r="CX78" s="16"/>
      <c r="CY78" s="16"/>
      <c r="CZ78" s="16"/>
      <c r="DA78" s="16"/>
      <c r="DB78" s="16"/>
    </row>
    <row r="79" spans="2:106" s="13" customFormat="1" x14ac:dyDescent="0.2">
      <c r="B79" s="29" t="s">
        <v>144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>
        <v>-3.3530000000000002</v>
      </c>
      <c r="T79" s="16">
        <f>-0.896-S79</f>
        <v>2.4570000000000003</v>
      </c>
      <c r="U79" s="16">
        <f>-8.965-T79-S79</f>
        <v>-8.0690000000000008</v>
      </c>
      <c r="V79" s="16">
        <f>-9.061-U79-T79-S79</f>
        <v>-9.5999999999999197E-2</v>
      </c>
      <c r="W79" s="16">
        <v>0.29599999999999999</v>
      </c>
      <c r="X79" s="16">
        <f>-4.757-W79</f>
        <v>-5.0529999999999999</v>
      </c>
      <c r="Y79" s="16">
        <f>-7.751-X79-W79</f>
        <v>-2.9940000000000002</v>
      </c>
      <c r="Z79" s="16">
        <f>CP79-SUM(W79:Y79)</f>
        <v>-1.4450000000000003</v>
      </c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55"/>
      <c r="CJ79" s="35"/>
      <c r="CK79" s="35"/>
      <c r="CL79" s="35"/>
      <c r="CM79" s="35"/>
      <c r="CN79" s="35"/>
      <c r="CO79" s="35"/>
      <c r="CP79" s="35">
        <v>-9.1959999999999997</v>
      </c>
      <c r="CQ79" s="35"/>
      <c r="CR79" s="35"/>
      <c r="CS79" s="35"/>
      <c r="CT79" s="35"/>
      <c r="CU79" s="35"/>
      <c r="CV79" s="35"/>
      <c r="CW79" s="16"/>
      <c r="CX79" s="16"/>
      <c r="CY79" s="16"/>
      <c r="CZ79" s="16"/>
      <c r="DA79" s="16"/>
      <c r="DB79" s="16"/>
    </row>
    <row r="80" spans="2:106" s="13" customFormat="1" x14ac:dyDescent="0.2">
      <c r="B80" s="29" t="s">
        <v>169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>
        <v>1.609</v>
      </c>
      <c r="T80" s="16">
        <f>2.529-S80</f>
        <v>0.91999999999999993</v>
      </c>
      <c r="U80" s="16">
        <f>3.478-T80-S80</f>
        <v>0.94900000000000029</v>
      </c>
      <c r="V80" s="16">
        <f>3.422-U80-T80-S80</f>
        <v>-5.600000000000005E-2</v>
      </c>
      <c r="W80" s="16">
        <v>-0.45700000000000002</v>
      </c>
      <c r="X80" s="16">
        <f>-1.143-W80</f>
        <v>-0.68599999999999994</v>
      </c>
      <c r="Y80" s="16">
        <f>0.507-X80-W80</f>
        <v>1.6500000000000001</v>
      </c>
      <c r="Z80" s="16">
        <f>CP80-SUM(W80:Y80)</f>
        <v>-1.0940000000000001</v>
      </c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55"/>
      <c r="CJ80" s="35"/>
      <c r="CK80" s="35"/>
      <c r="CL80" s="35"/>
      <c r="CM80" s="35"/>
      <c r="CN80" s="35"/>
      <c r="CO80" s="35"/>
      <c r="CP80" s="35">
        <v>-0.58699999999999997</v>
      </c>
      <c r="CQ80" s="35"/>
      <c r="CR80" s="35"/>
      <c r="CS80" s="35"/>
      <c r="CT80" s="35"/>
      <c r="CU80" s="35"/>
      <c r="CV80" s="35"/>
      <c r="CW80" s="16"/>
      <c r="CX80" s="16"/>
      <c r="CY80" s="16"/>
      <c r="CZ80" s="16"/>
      <c r="DA80" s="16"/>
      <c r="DB80" s="16"/>
    </row>
    <row r="81" spans="2:106" s="13" customFormat="1" x14ac:dyDescent="0.2">
      <c r="B81" s="29" t="s">
        <v>142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>
        <v>0.13500000000000001</v>
      </c>
      <c r="T81" s="16">
        <f>-0.608-S81</f>
        <v>-0.74299999999999999</v>
      </c>
      <c r="U81" s="16">
        <f>-5.889-T81-S81</f>
        <v>-5.2809999999999997</v>
      </c>
      <c r="V81" s="16">
        <f>-0.196-U81-T81-S81</f>
        <v>5.6930000000000005</v>
      </c>
      <c r="W81" s="16">
        <v>-2.036</v>
      </c>
      <c r="X81" s="16">
        <f>-0.481-W81</f>
        <v>1.5550000000000002</v>
      </c>
      <c r="Y81" s="16">
        <f>-2.971-X81-W81</f>
        <v>-2.4899999999999998</v>
      </c>
      <c r="Z81" s="16">
        <f>CP81-SUM(W81:Y81)</f>
        <v>-1.8050000000000002</v>
      </c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55"/>
      <c r="CJ81" s="35"/>
      <c r="CK81" s="35"/>
      <c r="CL81" s="35"/>
      <c r="CM81" s="35"/>
      <c r="CN81" s="35"/>
      <c r="CO81" s="35"/>
      <c r="CP81" s="35">
        <v>-4.7759999999999998</v>
      </c>
      <c r="CQ81" s="35"/>
      <c r="CR81" s="35"/>
      <c r="CS81" s="35"/>
      <c r="CT81" s="35"/>
      <c r="CU81" s="35"/>
      <c r="CV81" s="35"/>
      <c r="CW81" s="16"/>
      <c r="CX81" s="16"/>
      <c r="CY81" s="16"/>
      <c r="CZ81" s="16"/>
      <c r="DA81" s="16"/>
      <c r="DB81" s="16"/>
    </row>
    <row r="82" spans="2:106" s="13" customFormat="1" x14ac:dyDescent="0.2">
      <c r="B82" s="29" t="s">
        <v>148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>
        <v>-9.798</v>
      </c>
      <c r="T82" s="16">
        <f>-10.201-S82</f>
        <v>-0.40300000000000047</v>
      </c>
      <c r="U82" s="16">
        <f>-2.723-T82-S82</f>
        <v>7.4780000000000006</v>
      </c>
      <c r="V82" s="16">
        <f>-3.645-U82-T82-S82</f>
        <v>-0.9220000000000006</v>
      </c>
      <c r="W82" s="16">
        <v>-11.629</v>
      </c>
      <c r="X82" s="16">
        <f>-9.329-W82</f>
        <v>2.2999999999999989</v>
      </c>
      <c r="Y82" s="16">
        <f>-7.451-X82-W82</f>
        <v>1.8780000000000019</v>
      </c>
      <c r="Z82" s="16">
        <f>CP82-SUM(W82:Y82)</f>
        <v>4.7169999999999987</v>
      </c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55"/>
      <c r="CJ82" s="35"/>
      <c r="CK82" s="35"/>
      <c r="CL82" s="35"/>
      <c r="CM82" s="35"/>
      <c r="CN82" s="35"/>
      <c r="CO82" s="35"/>
      <c r="CP82" s="35">
        <v>-2.734</v>
      </c>
      <c r="CQ82" s="35"/>
      <c r="CR82" s="35"/>
      <c r="CS82" s="35"/>
      <c r="CT82" s="35"/>
      <c r="CU82" s="35"/>
      <c r="CV82" s="35"/>
      <c r="CW82" s="16"/>
      <c r="CX82" s="16"/>
      <c r="CY82" s="16"/>
      <c r="CZ82" s="16"/>
      <c r="DA82" s="16"/>
      <c r="DB82" s="16"/>
    </row>
    <row r="83" spans="2:106" s="13" customFormat="1" x14ac:dyDescent="0.2">
      <c r="B83" s="29" t="s">
        <v>149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>
        <v>4.4909999999999997</v>
      </c>
      <c r="T83" s="16">
        <f>3.219-S83</f>
        <v>-1.2719999999999998</v>
      </c>
      <c r="U83" s="16">
        <f>6.182-T83-S83</f>
        <v>2.963000000000001</v>
      </c>
      <c r="V83" s="16">
        <f>9.203-U83-T83-S83</f>
        <v>3.020999999999999</v>
      </c>
      <c r="W83" s="16">
        <v>2.9140000000000001</v>
      </c>
      <c r="X83" s="16">
        <f>11.685-W83</f>
        <v>8.7710000000000008</v>
      </c>
      <c r="Y83" s="16">
        <f>15.327-X83-W83</f>
        <v>3.641999999999999</v>
      </c>
      <c r="Z83" s="16">
        <f>CP83-SUM(W83:Y83)</f>
        <v>10.284999999999998</v>
      </c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55"/>
      <c r="CJ83" s="35"/>
      <c r="CK83" s="35"/>
      <c r="CL83" s="35"/>
      <c r="CM83" s="35"/>
      <c r="CN83" s="35"/>
      <c r="CO83" s="35"/>
      <c r="CP83" s="35">
        <v>25.611999999999998</v>
      </c>
      <c r="CQ83" s="35"/>
      <c r="CR83" s="35"/>
      <c r="CS83" s="35"/>
      <c r="CT83" s="35"/>
      <c r="CU83" s="35"/>
      <c r="CV83" s="35"/>
      <c r="CW83" s="16"/>
      <c r="CX83" s="16"/>
      <c r="CY83" s="16"/>
      <c r="CZ83" s="16"/>
      <c r="DA83" s="16"/>
      <c r="DB83" s="16"/>
    </row>
    <row r="84" spans="2:106" s="13" customFormat="1" x14ac:dyDescent="0.2">
      <c r="B84" s="29" t="s">
        <v>170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>
        <v>-5.5759999999999996</v>
      </c>
      <c r="T84" s="16">
        <f>-2.006-S84</f>
        <v>3.57</v>
      </c>
      <c r="U84" s="16">
        <f>-12.826-T84-S84</f>
        <v>-10.82</v>
      </c>
      <c r="V84" s="16">
        <f>-29.057-U84-T84-S84</f>
        <v>-16.230999999999998</v>
      </c>
      <c r="W84" s="16">
        <v>-4.6550000000000002</v>
      </c>
      <c r="X84" s="16">
        <f>-11.628-W84</f>
        <v>-6.9729999999999999</v>
      </c>
      <c r="Y84" s="16">
        <f>-16.361-X84-W84</f>
        <v>-4.7330000000000014</v>
      </c>
      <c r="Z84" s="16">
        <f>CP84-SUM(W84:Y84)</f>
        <v>-43.314999999999998</v>
      </c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55"/>
      <c r="CJ84" s="35"/>
      <c r="CK84" s="35"/>
      <c r="CL84" s="35"/>
      <c r="CM84" s="35"/>
      <c r="CN84" s="35"/>
      <c r="CO84" s="35"/>
      <c r="CP84" s="35">
        <v>-59.676000000000002</v>
      </c>
      <c r="CQ84" s="35"/>
      <c r="CR84" s="35"/>
      <c r="CS84" s="35"/>
      <c r="CT84" s="35"/>
      <c r="CU84" s="35"/>
      <c r="CV84" s="35"/>
      <c r="CW84" s="16"/>
      <c r="CX84" s="16"/>
      <c r="CY84" s="16"/>
      <c r="CZ84" s="16"/>
      <c r="DA84" s="16"/>
      <c r="DB84" s="16"/>
    </row>
    <row r="85" spans="2:106" s="13" customFormat="1" x14ac:dyDescent="0.2">
      <c r="B85" s="29" t="s">
        <v>171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>
        <f t="shared" ref="S85:Z85" si="120">SUM(S67:S84)</f>
        <v>1.3020000000000076</v>
      </c>
      <c r="T85" s="16">
        <f t="shared" si="120"/>
        <v>56.350999999999999</v>
      </c>
      <c r="U85" s="16">
        <f t="shared" si="120"/>
        <v>15.98800000000001</v>
      </c>
      <c r="V85" s="16">
        <f t="shared" si="120"/>
        <v>23.983000000000001</v>
      </c>
      <c r="W85" s="16">
        <f t="shared" si="120"/>
        <v>34.219000000000001</v>
      </c>
      <c r="X85" s="16">
        <f t="shared" si="120"/>
        <v>35.233000000000011</v>
      </c>
      <c r="Y85" s="16">
        <f t="shared" si="120"/>
        <v>101.732</v>
      </c>
      <c r="Z85" s="16">
        <f t="shared" si="120"/>
        <v>40.347999999999999</v>
      </c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55"/>
      <c r="CJ85" s="35"/>
      <c r="CK85" s="35"/>
      <c r="CL85" s="35"/>
      <c r="CM85" s="35"/>
      <c r="CN85" s="35"/>
      <c r="CO85" s="35"/>
      <c r="CP85" s="35">
        <f>SUM(CP67:CP84)</f>
        <v>211.53199999999998</v>
      </c>
      <c r="CQ85" s="35"/>
      <c r="CR85" s="35"/>
      <c r="CS85" s="35"/>
      <c r="CT85" s="35"/>
      <c r="CU85" s="35"/>
      <c r="CV85" s="35"/>
      <c r="CW85" s="16"/>
      <c r="CX85" s="16"/>
      <c r="CY85" s="16"/>
      <c r="CZ85" s="16"/>
      <c r="DA85" s="16"/>
      <c r="DB85" s="16"/>
    </row>
    <row r="86" spans="2:106" x14ac:dyDescent="0.2">
      <c r="B86" s="5" t="s">
        <v>172</v>
      </c>
      <c r="S86" s="16">
        <v>21.271000000000001</v>
      </c>
      <c r="T86" s="16">
        <f>49.837-S86</f>
        <v>28.566000000000003</v>
      </c>
      <c r="U86" s="16">
        <f>73.893-T86-S86</f>
        <v>24.055999999999997</v>
      </c>
      <c r="V86" s="16">
        <f>95.4-U86-T86-S86</f>
        <v>21.507000000000005</v>
      </c>
      <c r="W86" s="16">
        <v>6.3620000000000001</v>
      </c>
      <c r="X86" s="16">
        <f>9.117-W86</f>
        <v>2.7550000000000008</v>
      </c>
      <c r="Y86" s="16">
        <f>13.199-X86-W86</f>
        <v>4.081999999999999</v>
      </c>
      <c r="Z86" s="25">
        <f>CP86-SUM(W86:Y86)</f>
        <v>-31.838999999999999</v>
      </c>
      <c r="CP86" s="47">
        <v>-18.64</v>
      </c>
    </row>
    <row r="87" spans="2:106" x14ac:dyDescent="0.2">
      <c r="B87" s="5" t="s">
        <v>173</v>
      </c>
      <c r="S87" s="16">
        <f t="shared" ref="S87:X87" si="121">+S85-S86</f>
        <v>-19.968999999999994</v>
      </c>
      <c r="T87" s="16">
        <f t="shared" si="121"/>
        <v>27.784999999999997</v>
      </c>
      <c r="U87" s="16">
        <f t="shared" si="121"/>
        <v>-8.0679999999999872</v>
      </c>
      <c r="V87" s="16">
        <f t="shared" si="121"/>
        <v>2.4759999999999955</v>
      </c>
      <c r="W87" s="16">
        <f t="shared" si="121"/>
        <v>27.856999999999999</v>
      </c>
      <c r="X87" s="16">
        <f t="shared" si="121"/>
        <v>32.478000000000009</v>
      </c>
      <c r="Y87" s="16">
        <f>+Y85-Y86</f>
        <v>97.65</v>
      </c>
      <c r="Z87" s="16">
        <f>+Z85-Z86</f>
        <v>72.186999999999998</v>
      </c>
      <c r="CP87" s="35">
        <f>+CP85-CP86</f>
        <v>230.17199999999997</v>
      </c>
    </row>
  </sheetData>
  <phoneticPr fontId="0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zoomScaleNormal="100" workbookViewId="0"/>
  </sheetViews>
  <sheetFormatPr defaultRowHeight="12.75" x14ac:dyDescent="0.2"/>
  <cols>
    <col min="1" max="1" width="5" style="1" bestFit="1" customWidth="1"/>
    <col min="2" max="2" width="12.7109375" style="1" customWidth="1"/>
    <col min="3" max="16384" width="9.140625" style="1"/>
  </cols>
  <sheetData>
    <row r="1" spans="1:3" x14ac:dyDescent="0.2">
      <c r="A1" s="4" t="s">
        <v>20</v>
      </c>
    </row>
    <row r="2" spans="1:3" x14ac:dyDescent="0.2">
      <c r="B2" s="1" t="s">
        <v>21</v>
      </c>
      <c r="C2" s="1" t="s">
        <v>5</v>
      </c>
    </row>
    <row r="3" spans="1:3" x14ac:dyDescent="0.2">
      <c r="B3" s="1" t="s">
        <v>52</v>
      </c>
      <c r="C3" s="1" t="s">
        <v>53</v>
      </c>
    </row>
    <row r="4" spans="1:3" x14ac:dyDescent="0.2">
      <c r="B4" s="1" t="s">
        <v>58</v>
      </c>
      <c r="C4" s="1" t="s">
        <v>59</v>
      </c>
    </row>
    <row r="5" spans="1:3" x14ac:dyDescent="0.2">
      <c r="B5" s="1" t="s">
        <v>54</v>
      </c>
      <c r="C5" s="5" t="s">
        <v>140</v>
      </c>
    </row>
    <row r="6" spans="1:3" x14ac:dyDescent="0.2">
      <c r="B6" s="1" t="s">
        <v>55</v>
      </c>
    </row>
    <row r="7" spans="1:3" x14ac:dyDescent="0.2">
      <c r="B7" s="1" t="s">
        <v>31</v>
      </c>
      <c r="C7" s="5" t="s">
        <v>174</v>
      </c>
    </row>
    <row r="8" spans="1:3" x14ac:dyDescent="0.2">
      <c r="B8" s="1" t="s">
        <v>32</v>
      </c>
      <c r="C8" s="5" t="s">
        <v>34</v>
      </c>
    </row>
    <row r="9" spans="1:3" x14ac:dyDescent="0.2">
      <c r="C9" s="1" t="s">
        <v>35</v>
      </c>
    </row>
    <row r="10" spans="1:3" x14ac:dyDescent="0.2">
      <c r="C10" s="1" t="s">
        <v>36</v>
      </c>
    </row>
    <row r="11" spans="1:3" x14ac:dyDescent="0.2">
      <c r="B11" s="1" t="s">
        <v>38</v>
      </c>
      <c r="C11" s="5" t="s">
        <v>132</v>
      </c>
    </row>
    <row r="12" spans="1:3" x14ac:dyDescent="0.2">
      <c r="C12" s="5" t="s">
        <v>137</v>
      </c>
    </row>
    <row r="13" spans="1:3" x14ac:dyDescent="0.2">
      <c r="B13" s="5" t="s">
        <v>25</v>
      </c>
      <c r="C13" s="5" t="s">
        <v>131</v>
      </c>
    </row>
    <row r="14" spans="1:3" x14ac:dyDescent="0.2">
      <c r="B14" s="5" t="s">
        <v>23</v>
      </c>
    </row>
    <row r="15" spans="1:3" x14ac:dyDescent="0.2">
      <c r="C15" s="15" t="s">
        <v>187</v>
      </c>
    </row>
    <row r="16" spans="1:3" x14ac:dyDescent="0.2">
      <c r="C16" s="5" t="s">
        <v>183</v>
      </c>
    </row>
    <row r="17" spans="3:3" x14ac:dyDescent="0.2">
      <c r="C17" s="5" t="s">
        <v>188</v>
      </c>
    </row>
    <row r="19" spans="3:3" x14ac:dyDescent="0.2">
      <c r="C19" s="15" t="s">
        <v>189</v>
      </c>
    </row>
    <row r="20" spans="3:3" x14ac:dyDescent="0.2">
      <c r="C20" s="5" t="s">
        <v>190</v>
      </c>
    </row>
    <row r="22" spans="3:3" x14ac:dyDescent="0.2">
      <c r="C22" s="15" t="s">
        <v>186</v>
      </c>
    </row>
    <row r="23" spans="3:3" x14ac:dyDescent="0.2">
      <c r="C23" s="5" t="s">
        <v>184</v>
      </c>
    </row>
    <row r="24" spans="3:3" x14ac:dyDescent="0.2">
      <c r="C24" s="5" t="s">
        <v>185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4" t="s">
        <v>20</v>
      </c>
    </row>
    <row r="2" spans="1:3" x14ac:dyDescent="0.2">
      <c r="B2" s="1" t="s">
        <v>21</v>
      </c>
      <c r="C2" s="1" t="s">
        <v>117</v>
      </c>
    </row>
    <row r="3" spans="1:3" x14ac:dyDescent="0.2">
      <c r="B3" s="1" t="s">
        <v>22</v>
      </c>
      <c r="C3" s="1" t="s">
        <v>51</v>
      </c>
    </row>
    <row r="4" spans="1:3" x14ac:dyDescent="0.2">
      <c r="B4" s="1" t="s">
        <v>1</v>
      </c>
      <c r="C4" s="1" t="s">
        <v>57</v>
      </c>
    </row>
    <row r="5" spans="1:3" x14ac:dyDescent="0.2">
      <c r="B5" s="1" t="s">
        <v>25</v>
      </c>
      <c r="C5" s="1" t="s">
        <v>56</v>
      </c>
    </row>
    <row r="6" spans="1:3" x14ac:dyDescent="0.2">
      <c r="B6" s="1" t="s">
        <v>29</v>
      </c>
      <c r="C6" s="1" t="s">
        <v>50</v>
      </c>
    </row>
    <row r="7" spans="1:3" x14ac:dyDescent="0.2">
      <c r="B7" s="1" t="s">
        <v>119</v>
      </c>
      <c r="C7" s="1" t="s">
        <v>120</v>
      </c>
    </row>
    <row r="8" spans="1:3" x14ac:dyDescent="0.2">
      <c r="B8" s="1" t="s">
        <v>38</v>
      </c>
      <c r="C8" s="5" t="s">
        <v>138</v>
      </c>
    </row>
    <row r="9" spans="1:3" x14ac:dyDescent="0.2">
      <c r="B9" s="1" t="s">
        <v>26</v>
      </c>
    </row>
    <row r="10" spans="1:3" x14ac:dyDescent="0.2">
      <c r="B10" s="1" t="s">
        <v>27</v>
      </c>
      <c r="C10" s="1" t="s">
        <v>28</v>
      </c>
    </row>
    <row r="11" spans="1:3" x14ac:dyDescent="0.2">
      <c r="B11" s="1" t="s">
        <v>23</v>
      </c>
    </row>
    <row r="13" spans="1:3" x14ac:dyDescent="0.2">
      <c r="C13" s="15" t="s">
        <v>90</v>
      </c>
    </row>
    <row r="14" spans="1:3" x14ac:dyDescent="0.2">
      <c r="C14" s="5" t="s">
        <v>91</v>
      </c>
    </row>
    <row r="15" spans="1:3" x14ac:dyDescent="0.2">
      <c r="C15" s="1" t="s">
        <v>69</v>
      </c>
    </row>
    <row r="18" spans="3:4" x14ac:dyDescent="0.2">
      <c r="C18" s="1" t="s">
        <v>74</v>
      </c>
    </row>
    <row r="19" spans="3:4" x14ac:dyDescent="0.2">
      <c r="C19" s="1" t="s">
        <v>68</v>
      </c>
    </row>
    <row r="20" spans="3:4" x14ac:dyDescent="0.2">
      <c r="C20" s="1" t="s">
        <v>73</v>
      </c>
    </row>
    <row r="21" spans="3:4" x14ac:dyDescent="0.2">
      <c r="D21" s="1" t="s">
        <v>62</v>
      </c>
    </row>
    <row r="22" spans="3:4" x14ac:dyDescent="0.2">
      <c r="D22" t="s">
        <v>63</v>
      </c>
    </row>
    <row r="23" spans="3:4" x14ac:dyDescent="0.2">
      <c r="D23" s="1" t="s">
        <v>64</v>
      </c>
    </row>
    <row r="24" spans="3:4" x14ac:dyDescent="0.2">
      <c r="C24" s="1" t="s">
        <v>60</v>
      </c>
    </row>
    <row r="25" spans="3:4" x14ac:dyDescent="0.2">
      <c r="D25" s="1" t="s">
        <v>65</v>
      </c>
    </row>
    <row r="26" spans="3:4" x14ac:dyDescent="0.2">
      <c r="C26" s="1" t="s">
        <v>61</v>
      </c>
    </row>
    <row r="27" spans="3:4" x14ac:dyDescent="0.2">
      <c r="D27" t="s">
        <v>66</v>
      </c>
    </row>
    <row r="28" spans="3:4" x14ac:dyDescent="0.2">
      <c r="D28" s="1" t="s">
        <v>67</v>
      </c>
    </row>
    <row r="34" spans="3:3" x14ac:dyDescent="0.2">
      <c r="C34" s="1" t="s">
        <v>70</v>
      </c>
    </row>
    <row r="35" spans="3:3" x14ac:dyDescent="0.2">
      <c r="C35" s="1" t="s">
        <v>71</v>
      </c>
    </row>
    <row r="36" spans="3:3" x14ac:dyDescent="0.2">
      <c r="C36" s="1" t="s">
        <v>72</v>
      </c>
    </row>
  </sheetData>
  <phoneticPr fontId="0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4" t="s">
        <v>20</v>
      </c>
    </row>
    <row r="2" spans="1:3" x14ac:dyDescent="0.2">
      <c r="B2" s="1" t="s">
        <v>21</v>
      </c>
      <c r="C2" s="1" t="s">
        <v>5</v>
      </c>
    </row>
    <row r="3" spans="1:3" x14ac:dyDescent="0.2">
      <c r="B3" s="1" t="s">
        <v>54</v>
      </c>
      <c r="C3" s="1" t="s">
        <v>94</v>
      </c>
    </row>
    <row r="4" spans="1:3" x14ac:dyDescent="0.2">
      <c r="B4" s="1" t="s">
        <v>25</v>
      </c>
      <c r="C4" s="5" t="s">
        <v>198</v>
      </c>
    </row>
    <row r="5" spans="1:3" x14ac:dyDescent="0.2">
      <c r="B5" s="1" t="s">
        <v>23</v>
      </c>
    </row>
    <row r="6" spans="1:3" x14ac:dyDescent="0.2">
      <c r="C6" s="15" t="s">
        <v>180</v>
      </c>
    </row>
    <row r="7" spans="1:3" x14ac:dyDescent="0.2">
      <c r="C7" s="5" t="s">
        <v>179</v>
      </c>
    </row>
    <row r="10" spans="1:3" x14ac:dyDescent="0.2">
      <c r="C10" s="15" t="s">
        <v>181</v>
      </c>
    </row>
    <row r="11" spans="1:3" x14ac:dyDescent="0.2">
      <c r="C11" s="1" t="s">
        <v>103</v>
      </c>
    </row>
    <row r="12" spans="1:3" x14ac:dyDescent="0.2">
      <c r="C12" s="1" t="s">
        <v>104</v>
      </c>
    </row>
    <row r="15" spans="1:3" x14ac:dyDescent="0.2">
      <c r="C15" s="15" t="s">
        <v>176</v>
      </c>
    </row>
    <row r="16" spans="1:3" x14ac:dyDescent="0.2">
      <c r="C16" s="5" t="s">
        <v>177</v>
      </c>
    </row>
    <row r="17" spans="3:3" x14ac:dyDescent="0.2">
      <c r="C17" s="5" t="s">
        <v>178</v>
      </c>
    </row>
    <row r="20" spans="3:3" x14ac:dyDescent="0.2">
      <c r="C20" s="15" t="s">
        <v>93</v>
      </c>
    </row>
    <row r="23" spans="3:3" x14ac:dyDescent="0.2">
      <c r="C23" s="1" t="s">
        <v>92</v>
      </c>
    </row>
    <row r="24" spans="3:3" x14ac:dyDescent="0.2">
      <c r="C24" s="1" t="s">
        <v>30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4" x14ac:dyDescent="0.2">
      <c r="A1" s="4" t="s">
        <v>20</v>
      </c>
    </row>
    <row r="2" spans="1:4" x14ac:dyDescent="0.2">
      <c r="B2" s="1" t="s">
        <v>21</v>
      </c>
      <c r="C2" s="5" t="s">
        <v>195</v>
      </c>
    </row>
    <row r="3" spans="1:4" x14ac:dyDescent="0.2">
      <c r="B3" s="1" t="s">
        <v>22</v>
      </c>
      <c r="C3" s="1" t="s">
        <v>113</v>
      </c>
    </row>
    <row r="4" spans="1:4" x14ac:dyDescent="0.2">
      <c r="B4" s="1" t="s">
        <v>31</v>
      </c>
      <c r="C4" s="1" t="s">
        <v>114</v>
      </c>
    </row>
    <row r="5" spans="1:4" x14ac:dyDescent="0.2">
      <c r="B5" s="1" t="s">
        <v>115</v>
      </c>
      <c r="C5" s="1" t="s">
        <v>116</v>
      </c>
    </row>
    <row r="6" spans="1:4" x14ac:dyDescent="0.2">
      <c r="B6" s="5" t="s">
        <v>191</v>
      </c>
    </row>
    <row r="7" spans="1:4" x14ac:dyDescent="0.2">
      <c r="C7" s="14"/>
      <c r="D7" s="14"/>
    </row>
    <row r="8" spans="1:4" x14ac:dyDescent="0.2">
      <c r="B8" s="5" t="s">
        <v>192</v>
      </c>
      <c r="C8" s="27" t="s">
        <v>193</v>
      </c>
      <c r="D8" s="27" t="s">
        <v>194</v>
      </c>
    </row>
    <row r="9" spans="1:4" x14ac:dyDescent="0.2">
      <c r="B9" s="31">
        <v>40424</v>
      </c>
      <c r="C9" s="14">
        <v>462</v>
      </c>
      <c r="D9" s="14">
        <v>174</v>
      </c>
    </row>
    <row r="10" spans="1:4" x14ac:dyDescent="0.2">
      <c r="B10" s="31">
        <v>40417</v>
      </c>
      <c r="C10" s="14">
        <v>428</v>
      </c>
      <c r="D10" s="14">
        <v>151</v>
      </c>
    </row>
    <row r="11" spans="1:4" x14ac:dyDescent="0.2">
      <c r="C11" s="14"/>
      <c r="D11" s="14"/>
    </row>
    <row r="12" spans="1:4" x14ac:dyDescent="0.2">
      <c r="C12" s="14"/>
      <c r="D12" s="14"/>
    </row>
    <row r="13" spans="1:4" x14ac:dyDescent="0.2">
      <c r="C13" s="14"/>
      <c r="D13" s="14"/>
    </row>
    <row r="14" spans="1:4" x14ac:dyDescent="0.2">
      <c r="C14" s="14"/>
      <c r="D14" s="14"/>
    </row>
    <row r="15" spans="1:4" x14ac:dyDescent="0.2">
      <c r="C15" s="14"/>
      <c r="D15" s="14"/>
    </row>
    <row r="16" spans="1:4" x14ac:dyDescent="0.2">
      <c r="C16" s="14"/>
      <c r="D16" s="14"/>
    </row>
    <row r="17" spans="3:4" x14ac:dyDescent="0.2">
      <c r="C17" s="14"/>
      <c r="D17" s="14"/>
    </row>
    <row r="18" spans="3:4" x14ac:dyDescent="0.2">
      <c r="C18" s="14"/>
      <c r="D18" s="14"/>
    </row>
    <row r="19" spans="3:4" x14ac:dyDescent="0.2">
      <c r="C19" s="14"/>
      <c r="D19" s="14"/>
    </row>
    <row r="20" spans="3:4" x14ac:dyDescent="0.2">
      <c r="C20" s="14"/>
      <c r="D20" s="14"/>
    </row>
    <row r="21" spans="3:4" x14ac:dyDescent="0.2">
      <c r="C21" s="14"/>
      <c r="D21" s="14"/>
    </row>
    <row r="22" spans="3:4" x14ac:dyDescent="0.2">
      <c r="C22" s="14"/>
      <c r="D22" s="14"/>
    </row>
    <row r="23" spans="3:4" x14ac:dyDescent="0.2">
      <c r="C23" s="14"/>
      <c r="D23" s="14"/>
    </row>
    <row r="24" spans="3:4" x14ac:dyDescent="0.2">
      <c r="C24" s="14"/>
      <c r="D24" s="14"/>
    </row>
    <row r="25" spans="3:4" x14ac:dyDescent="0.2">
      <c r="C25" s="14"/>
      <c r="D25" s="14"/>
    </row>
    <row r="26" spans="3:4" x14ac:dyDescent="0.2">
      <c r="C26" s="14"/>
      <c r="D26" s="14"/>
    </row>
    <row r="27" spans="3:4" x14ac:dyDescent="0.2">
      <c r="C27" s="14"/>
      <c r="D27" s="14"/>
    </row>
    <row r="28" spans="3:4" x14ac:dyDescent="0.2">
      <c r="C28" s="14"/>
      <c r="D28" s="14"/>
    </row>
    <row r="29" spans="3:4" x14ac:dyDescent="0.2">
      <c r="C29" s="14"/>
      <c r="D29" s="14"/>
    </row>
    <row r="30" spans="3:4" x14ac:dyDescent="0.2">
      <c r="C30" s="14"/>
      <c r="D30" s="14"/>
    </row>
    <row r="31" spans="3:4" x14ac:dyDescent="0.2">
      <c r="C31" s="14"/>
      <c r="D31" s="14"/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CC71A0-7761-4437-B521-535AC93866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D66871-8C69-48C0-A2A5-033DCAC1EF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0F9EAB-5E81-4AEB-8A08-E4BC9386098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Remodulin</vt:lpstr>
      <vt:lpstr>Tyvaso</vt:lpstr>
      <vt:lpstr>Oral</vt:lpstr>
      <vt:lpstr>Adcirca</vt:lpstr>
    </vt:vector>
  </TitlesOfParts>
  <Company>Elea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2006-07-04T03:49:19Z</dcterms:created>
  <dcterms:modified xsi:type="dcterms:W3CDTF">2024-09-03T01:30:00Z</dcterms:modified>
</cp:coreProperties>
</file>