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1B09698-5DE7-4F77-BF20-95B4D1DD234E}" xr6:coauthVersionLast="47" xr6:coauthVersionMax="47" xr10:uidLastSave="{00000000-0000-0000-0000-000000000000}"/>
  <bookViews>
    <workbookView xWindow="470" yWindow="2770" windowWidth="21900" windowHeight="1464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5" l="1"/>
  <c r="D471" i="1"/>
  <c r="R15" i="1"/>
  <c r="Q15" i="1"/>
  <c r="P15" i="1"/>
  <c r="N15" i="1" l="1"/>
  <c r="O15" i="1" s="1"/>
  <c r="N19" i="9" l="1"/>
  <c r="N16" i="9" s="1"/>
  <c r="D10" i="1" l="1"/>
  <c r="D11" i="1" s="1"/>
  <c r="I469" i="1" l="1"/>
  <c r="L469" i="1"/>
  <c r="H469" i="1" s="1"/>
  <c r="I468" i="1"/>
  <c r="L468" i="1"/>
  <c r="H468" i="1" s="1"/>
  <c r="I425" i="1"/>
  <c r="L425" i="1"/>
  <c r="H425" i="1" s="1"/>
  <c r="J468" i="1" l="1"/>
  <c r="J469" i="1"/>
  <c r="J425" i="1"/>
  <c r="I206" i="1" l="1"/>
  <c r="L206" i="1"/>
  <c r="H206" i="1" s="1"/>
  <c r="J206" i="1" l="1"/>
  <c r="I161" i="1"/>
  <c r="L161" i="1"/>
  <c r="H161" i="1" s="1"/>
  <c r="I299" i="1"/>
  <c r="L299" i="1"/>
  <c r="H299" i="1" s="1"/>
  <c r="L211" i="1"/>
  <c r="H211" i="1" s="1"/>
  <c r="J161" i="1" l="1"/>
  <c r="J299" i="1"/>
  <c r="I96" i="1"/>
  <c r="L96" i="1"/>
  <c r="H96" i="1" s="1"/>
  <c r="J96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8" i="1"/>
  <c r="AC8" i="1"/>
  <c r="AB8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8" i="1" l="1"/>
  <c r="Q8" i="1"/>
  <c r="P8" i="1"/>
  <c r="P7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I432" i="1"/>
  <c r="L432" i="1"/>
  <c r="H432" i="1" s="1"/>
  <c r="I243" i="1"/>
  <c r="L243" i="1"/>
  <c r="H243" i="1" s="1"/>
  <c r="I439" i="1"/>
  <c r="L439" i="1"/>
  <c r="H439" i="1" s="1"/>
  <c r="J432" i="1" l="1"/>
  <c r="J243" i="1"/>
  <c r="J439" i="1"/>
  <c r="K7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4" i="1" l="1"/>
  <c r="L84" i="1"/>
  <c r="H84" i="1" s="1"/>
  <c r="I368" i="1"/>
  <c r="L368" i="1"/>
  <c r="H368" i="1" s="1"/>
  <c r="I438" i="1"/>
  <c r="L438" i="1"/>
  <c r="H438" i="1" s="1"/>
  <c r="I431" i="1"/>
  <c r="L431" i="1"/>
  <c r="H431" i="1" s="1"/>
  <c r="L429" i="1"/>
  <c r="H429" i="1" s="1"/>
  <c r="I429" i="1"/>
  <c r="I442" i="1"/>
  <c r="L442" i="1"/>
  <c r="H442" i="1" s="1"/>
  <c r="I441" i="1"/>
  <c r="L441" i="1"/>
  <c r="H441" i="1" s="1"/>
  <c r="I437" i="1"/>
  <c r="L437" i="1"/>
  <c r="H437" i="1" s="1"/>
  <c r="I430" i="1"/>
  <c r="L430" i="1"/>
  <c r="H430" i="1" s="1"/>
  <c r="J441" i="1" l="1"/>
  <c r="J368" i="1"/>
  <c r="J84" i="1"/>
  <c r="J438" i="1"/>
  <c r="J431" i="1"/>
  <c r="J429" i="1"/>
  <c r="J442" i="1"/>
  <c r="J437" i="1"/>
  <c r="J430" i="1"/>
  <c r="H17" i="1" l="1"/>
  <c r="I111" i="1" l="1"/>
  <c r="L111" i="1"/>
  <c r="H111" i="1" s="1"/>
  <c r="I428" i="1"/>
  <c r="L428" i="1"/>
  <c r="H428" i="1" s="1"/>
  <c r="J111" i="1" l="1"/>
  <c r="J428" i="1"/>
  <c r="I356" i="1"/>
  <c r="L356" i="1"/>
  <c r="H356" i="1" s="1"/>
  <c r="J356" i="1" l="1"/>
  <c r="N7" i="1" l="1"/>
  <c r="O7" i="1" s="1"/>
  <c r="I433" i="1"/>
  <c r="L433" i="1"/>
  <c r="H433" i="1" s="1"/>
  <c r="I436" i="1"/>
  <c r="L436" i="1"/>
  <c r="H436" i="1" s="1"/>
  <c r="I426" i="1"/>
  <c r="L426" i="1"/>
  <c r="H426" i="1" s="1"/>
  <c r="L109" i="1"/>
  <c r="J433" i="1" l="1"/>
  <c r="J436" i="1"/>
  <c r="J426" i="1"/>
  <c r="I116" i="1"/>
  <c r="L116" i="1"/>
  <c r="H116" i="1" s="1"/>
  <c r="J116" i="1" l="1"/>
  <c r="I89" i="1"/>
  <c r="L89" i="1"/>
  <c r="H89" i="1" s="1"/>
  <c r="J89" i="1" l="1"/>
  <c r="J6" i="12"/>
  <c r="I440" i="1" l="1"/>
  <c r="L440" i="1"/>
  <c r="H440" i="1" s="1"/>
  <c r="J440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2" i="1"/>
  <c r="L82" i="1"/>
  <c r="H82" i="1" s="1"/>
  <c r="J82" i="1" l="1"/>
  <c r="I90" i="1" l="1"/>
  <c r="L90" i="1"/>
  <c r="H90" i="1" s="1"/>
  <c r="I94" i="1"/>
  <c r="L94" i="1"/>
  <c r="H94" i="1" s="1"/>
  <c r="I80" i="1"/>
  <c r="L80" i="1"/>
  <c r="H80" i="1" s="1"/>
  <c r="O49" i="6"/>
  <c r="N49" i="6"/>
  <c r="M49" i="6"/>
  <c r="J90" i="1" l="1"/>
  <c r="J94" i="1"/>
  <c r="J80" i="1"/>
  <c r="I254" i="1"/>
  <c r="L254" i="1"/>
  <c r="H254" i="1" s="1"/>
  <c r="I109" i="1"/>
  <c r="H109" i="1"/>
  <c r="J109" i="1" l="1"/>
  <c r="J254" i="1"/>
  <c r="I102" i="1" l="1"/>
  <c r="L102" i="1"/>
  <c r="H102" i="1" s="1"/>
  <c r="J102" i="1" l="1"/>
  <c r="I248" i="1" l="1"/>
  <c r="L248" i="1"/>
  <c r="H248" i="1" s="1"/>
  <c r="J248" i="1" l="1"/>
  <c r="I101" i="1"/>
  <c r="L101" i="1"/>
  <c r="H101" i="1" s="1"/>
  <c r="J101" i="1" l="1"/>
  <c r="I99" i="1"/>
  <c r="L99" i="1"/>
  <c r="H99" i="1" s="1"/>
  <c r="J99" i="1" l="1"/>
  <c r="I112" i="1"/>
  <c r="L112" i="1"/>
  <c r="H112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98" i="1" l="1"/>
  <c r="J98" i="1" s="1"/>
  <c r="L98" i="1"/>
  <c r="I78" i="1"/>
  <c r="L78" i="1"/>
  <c r="H78" i="1" s="1"/>
  <c r="J78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7" i="1"/>
  <c r="L427" i="1"/>
  <c r="H427" i="1" s="1"/>
  <c r="J427" i="1" l="1"/>
  <c r="I435" i="1"/>
  <c r="L435" i="1"/>
  <c r="H435" i="1" s="1"/>
  <c r="I318" i="1"/>
  <c r="L318" i="1"/>
  <c r="H318" i="1" s="1"/>
  <c r="I113" i="1"/>
  <c r="L113" i="1"/>
  <c r="H113" i="1" s="1"/>
  <c r="J113" i="1" l="1"/>
  <c r="J318" i="1"/>
  <c r="J435" i="1"/>
  <c r="I75" i="1"/>
  <c r="L75" i="1"/>
  <c r="H75" i="1" s="1"/>
  <c r="J75" i="1" l="1"/>
  <c r="I83" i="1"/>
  <c r="L83" i="1"/>
  <c r="H83" i="1" s="1"/>
  <c r="I69" i="1"/>
  <c r="L69" i="1"/>
  <c r="I76" i="1"/>
  <c r="L76" i="1"/>
  <c r="H76" i="1" s="1"/>
  <c r="J83" i="1" l="1"/>
  <c r="J76" i="1"/>
  <c r="H69" i="1" l="1"/>
  <c r="J69" i="1" s="1"/>
  <c r="I122" i="1" l="1"/>
  <c r="H122" i="1"/>
  <c r="J122" i="1" l="1"/>
  <c r="I325" i="1" l="1"/>
  <c r="L325" i="1"/>
  <c r="H325" i="1" s="1"/>
  <c r="J325" i="1" l="1"/>
  <c r="I62" i="1"/>
  <c r="L62" i="1"/>
  <c r="H62" i="1" s="1"/>
  <c r="K120" i="1"/>
  <c r="M120" i="1"/>
  <c r="J62" i="1" l="1"/>
  <c r="I121" i="1"/>
  <c r="L121" i="1"/>
  <c r="H121" i="1" s="1"/>
  <c r="J112" i="1"/>
  <c r="J121" i="1" l="1"/>
  <c r="I123" i="1"/>
  <c r="L123" i="1"/>
  <c r="H123" i="1" s="1"/>
  <c r="I54" i="1"/>
  <c r="L54" i="1"/>
  <c r="H54" i="1" s="1"/>
  <c r="J123" i="1" l="1"/>
  <c r="J54" i="1"/>
  <c r="I228" i="1"/>
  <c r="L228" i="1"/>
  <c r="H228" i="1" s="1"/>
  <c r="J228" i="1" l="1"/>
  <c r="I323" i="1" l="1"/>
  <c r="L323" i="1"/>
  <c r="H323" i="1" s="1"/>
  <c r="I91" i="1"/>
  <c r="J323" i="1" l="1"/>
  <c r="L91" i="1"/>
  <c r="H91" i="1" s="1"/>
  <c r="J91" i="1" s="1"/>
  <c r="I212" i="1"/>
  <c r="L212" i="1"/>
  <c r="H212" i="1" s="1"/>
  <c r="J212" i="1" l="1"/>
  <c r="I320" i="1" l="1"/>
  <c r="L320" i="1"/>
  <c r="H320" i="1" s="1"/>
  <c r="I86" i="1"/>
  <c r="L86" i="1"/>
  <c r="H86" i="1" s="1"/>
  <c r="J320" i="1" l="1"/>
  <c r="J86" i="1"/>
  <c r="I214" i="1"/>
  <c r="L214" i="1"/>
  <c r="H214" i="1" s="1"/>
  <c r="J214" i="1" l="1"/>
  <c r="I322" i="1" l="1"/>
  <c r="L322" i="1"/>
  <c r="H322" i="1" s="1"/>
  <c r="J322" i="1" l="1"/>
  <c r="I103" i="1"/>
  <c r="L103" i="1"/>
  <c r="H103" i="1" s="1"/>
  <c r="J103" i="1" l="1"/>
  <c r="L124" i="1" l="1"/>
  <c r="H124" i="1" s="1"/>
  <c r="I124" i="1"/>
  <c r="J124" i="1" l="1"/>
  <c r="L105" i="1"/>
  <c r="H105" i="1" s="1"/>
  <c r="I105" i="1"/>
  <c r="I255" i="1"/>
  <c r="L255" i="1"/>
  <c r="H255" i="1" s="1"/>
  <c r="J105" i="1" l="1"/>
  <c r="J255" i="1"/>
  <c r="R7" i="1"/>
  <c r="Q7" i="1"/>
  <c r="I81" i="1" l="1"/>
  <c r="L81" i="1"/>
  <c r="H81" i="1" s="1"/>
  <c r="J81" i="1" l="1"/>
  <c r="I224" i="1"/>
  <c r="L224" i="1"/>
  <c r="H224" i="1" s="1"/>
  <c r="I321" i="1"/>
  <c r="L321" i="1"/>
  <c r="H321" i="1" s="1"/>
  <c r="J224" i="1" l="1"/>
  <c r="J321" i="1"/>
  <c r="I110" i="1"/>
  <c r="L110" i="1"/>
  <c r="H110" i="1" s="1"/>
  <c r="I77" i="1"/>
  <c r="L77" i="1"/>
  <c r="H77" i="1" s="1"/>
  <c r="J110" i="1" l="1"/>
  <c r="J77" i="1"/>
  <c r="I61" i="1" l="1"/>
  <c r="L61" i="1"/>
  <c r="H61" i="1" s="1"/>
  <c r="I53" i="1"/>
  <c r="L53" i="1"/>
  <c r="H53" i="1" s="1"/>
  <c r="J61" i="1" l="1"/>
  <c r="J53" i="1"/>
  <c r="I119" i="1"/>
  <c r="L119" i="1" l="1"/>
  <c r="H119" i="1" s="1"/>
  <c r="J119" i="1" s="1"/>
  <c r="I108" i="1"/>
  <c r="L108" i="1"/>
  <c r="H108" i="1" s="1"/>
  <c r="I67" i="1"/>
  <c r="L67" i="1"/>
  <c r="H67" i="1" s="1"/>
  <c r="I35" i="1"/>
  <c r="L35" i="1"/>
  <c r="H35" i="1" s="1"/>
  <c r="I55" i="1"/>
  <c r="L55" i="1"/>
  <c r="H55" i="1" s="1"/>
  <c r="I56" i="1"/>
  <c r="L56" i="1"/>
  <c r="H56" i="1" s="1"/>
  <c r="I106" i="1"/>
  <c r="L106" i="1"/>
  <c r="H106" i="1" s="1"/>
  <c r="I71" i="1"/>
  <c r="L71" i="1"/>
  <c r="H71" i="1" s="1"/>
  <c r="J108" i="1" l="1"/>
  <c r="J67" i="1"/>
  <c r="J35" i="1"/>
  <c r="J71" i="1"/>
  <c r="J55" i="1"/>
  <c r="J56" i="1"/>
  <c r="J106" i="1"/>
  <c r="L93" i="1" l="1"/>
  <c r="H93" i="1" s="1"/>
  <c r="I50" i="1" l="1"/>
  <c r="L65" i="1" l="1"/>
  <c r="H65" i="1" s="1"/>
  <c r="I65" i="1"/>
  <c r="I44" i="1" l="1"/>
  <c r="I34" i="1" l="1"/>
  <c r="L34" i="1"/>
  <c r="H34" i="1" s="1"/>
  <c r="I49" i="1"/>
  <c r="I59" i="1"/>
  <c r="J34" i="1" l="1"/>
  <c r="I45" i="1"/>
  <c r="I63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5" i="1" l="1"/>
  <c r="I16" i="1" l="1"/>
  <c r="K14" i="1" l="1"/>
  <c r="I15" i="1" l="1"/>
  <c r="I18" i="1" l="1"/>
  <c r="I17" i="1"/>
  <c r="K18" i="1"/>
  <c r="M18" i="1"/>
  <c r="M7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34" i="1" l="1"/>
  <c r="H434" i="1" s="1"/>
  <c r="I434" i="1"/>
  <c r="J434" i="1" l="1"/>
  <c r="L100" i="1"/>
  <c r="H100" i="1" s="1"/>
  <c r="I100" i="1"/>
  <c r="J100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7" i="1" l="1"/>
  <c r="L97" i="1"/>
  <c r="H97" i="1" s="1"/>
  <c r="I27" i="1"/>
  <c r="J97" i="1" l="1"/>
  <c r="I163" i="1"/>
  <c r="L163" i="1"/>
  <c r="H163" i="1" s="1"/>
  <c r="I162" i="1"/>
  <c r="L162" i="1"/>
  <c r="H162" i="1" s="1"/>
  <c r="J163" i="1" l="1"/>
  <c r="J162" i="1"/>
  <c r="L114" i="1"/>
  <c r="H114" i="1" s="1"/>
  <c r="I114" i="1"/>
  <c r="F12" i="5" a="1"/>
  <c r="F12" i="5" s="1"/>
  <c r="I319" i="1"/>
  <c r="L319" i="1"/>
  <c r="H319" i="1" s="1"/>
  <c r="I324" i="1"/>
  <c r="L324" i="1"/>
  <c r="G324" i="1"/>
  <c r="J114" i="1" l="1"/>
  <c r="H324" i="1"/>
  <c r="J324" i="1" s="1"/>
  <c r="J319" i="1"/>
  <c r="I9" i="1"/>
  <c r="R9" i="1"/>
  <c r="Q9" i="1"/>
  <c r="P9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8" i="1"/>
  <c r="G15" i="6" l="1"/>
  <c r="AO52" i="6"/>
  <c r="G52" i="6" s="1"/>
  <c r="J52" i="6" l="1"/>
  <c r="I70" i="1"/>
  <c r="L70" i="1"/>
  <c r="H70" i="1" s="1"/>
  <c r="J70" i="1" l="1"/>
  <c r="L164" i="1"/>
  <c r="H164" i="1" s="1"/>
  <c r="I164" i="1"/>
  <c r="J164" i="1" l="1"/>
  <c r="I104" i="1"/>
  <c r="L104" i="1"/>
  <c r="H104" i="1" s="1"/>
  <c r="J104" i="1" l="1"/>
  <c r="L92" i="1"/>
  <c r="H92" i="1" s="1"/>
  <c r="I64" i="1" l="1"/>
  <c r="L64" i="1"/>
  <c r="H64" i="1" s="1"/>
  <c r="J64" i="1" l="1"/>
  <c r="I26" i="1"/>
  <c r="H26" i="1"/>
  <c r="J26" i="1" l="1"/>
  <c r="L59" i="1"/>
  <c r="H59" i="1" s="1"/>
  <c r="J59" i="1" s="1"/>
  <c r="L49" i="1"/>
  <c r="H49" i="1" s="1"/>
  <c r="I79" i="1"/>
  <c r="L79" i="1"/>
  <c r="H79" i="1" s="1"/>
  <c r="J49" i="1" l="1"/>
  <c r="J79" i="1"/>
  <c r="M12" i="1"/>
  <c r="I48" i="1" l="1"/>
  <c r="I47" i="1"/>
  <c r="L48" i="1"/>
  <c r="H48" i="1" s="1"/>
  <c r="L47" i="1"/>
  <c r="H47" i="1" s="1"/>
  <c r="I115" i="1"/>
  <c r="L115" i="1"/>
  <c r="H115" i="1" s="1"/>
  <c r="I66" i="1"/>
  <c r="L66" i="1"/>
  <c r="H66" i="1" s="1"/>
  <c r="I107" i="1"/>
  <c r="L107" i="1"/>
  <c r="H107" i="1" s="1"/>
  <c r="J115" i="1" l="1"/>
  <c r="J48" i="1"/>
  <c r="J47" i="1"/>
  <c r="J66" i="1"/>
  <c r="J107" i="1"/>
  <c r="I51" i="1"/>
  <c r="L51" i="1"/>
  <c r="H51" i="1" s="1"/>
  <c r="L44" i="1"/>
  <c r="H44" i="1" s="1"/>
  <c r="J51" i="1" l="1"/>
  <c r="J44" i="1"/>
  <c r="L73" i="1"/>
  <c r="H73" i="1" s="1"/>
  <c r="I73" i="1"/>
  <c r="J73" i="1" l="1"/>
  <c r="L16" i="1" l="1"/>
  <c r="I118" i="1" l="1"/>
  <c r="L118" i="1"/>
  <c r="H118" i="1" s="1"/>
  <c r="J118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5" i="1"/>
  <c r="H5" i="1" s="1"/>
  <c r="J5" i="1" l="1"/>
  <c r="L45" i="1" l="1"/>
  <c r="H45" i="1" s="1"/>
  <c r="J45" i="1" s="1"/>
  <c r="L50" i="1"/>
  <c r="H50" i="1" s="1"/>
  <c r="I93" i="1"/>
  <c r="L32" i="1"/>
  <c r="H32" i="1" s="1" a="1"/>
  <c r="H32" i="1" s="1"/>
  <c r="J32" i="1" s="1"/>
  <c r="H205" i="1"/>
  <c r="J50" i="1" l="1"/>
  <c r="J93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6" i="1" l="1"/>
  <c r="L36" i="1"/>
  <c r="H36" i="1" s="1"/>
  <c r="L58" i="1"/>
  <c r="H58" i="1" s="1"/>
  <c r="I58" i="1"/>
  <c r="J36" i="1" l="1"/>
  <c r="I43" i="1"/>
  <c r="L43" i="1"/>
  <c r="H43" i="1" s="1"/>
  <c r="J43" i="1" l="1"/>
  <c r="I12" i="1" l="1"/>
  <c r="L12" i="1"/>
  <c r="H12" i="1" s="1"/>
  <c r="J12" i="1" l="1"/>
  <c r="L41" i="1"/>
  <c r="H41" i="1" s="1"/>
  <c r="J41" i="1" l="1"/>
  <c r="I39" i="1"/>
  <c r="L39" i="1"/>
  <c r="H39" i="1" s="1"/>
  <c r="J39" i="1" l="1"/>
  <c r="H16" i="1"/>
  <c r="J16" i="1" s="1"/>
  <c r="D7" i="1" l="1"/>
  <c r="D8" i="1" s="1"/>
  <c r="H46" i="1"/>
  <c r="J46" i="1" s="1"/>
  <c r="D9" i="1" l="1"/>
  <c r="J65" i="1"/>
  <c r="L37" i="1"/>
  <c r="H37" i="1" s="1"/>
  <c r="I37" i="1"/>
  <c r="H29" i="1"/>
  <c r="J29" i="1" s="1"/>
  <c r="I14" i="1"/>
  <c r="L14" i="1"/>
  <c r="H14" i="1" s="1"/>
  <c r="I13" i="1"/>
  <c r="L13" i="1"/>
  <c r="H13" i="1" s="1"/>
  <c r="J37" i="1" l="1"/>
  <c r="J14" i="1"/>
  <c r="J13" i="1"/>
  <c r="I40" i="1"/>
  <c r="L40" i="1"/>
  <c r="H40" i="1" s="1"/>
  <c r="J40" i="1" l="1"/>
  <c r="L33" i="1" l="1"/>
  <c r="H33" i="1" s="1"/>
  <c r="J33" i="1" s="1"/>
  <c r="L31" i="1"/>
  <c r="H31" i="1" s="1"/>
  <c r="J31" i="1" l="1"/>
  <c r="L30" i="1"/>
  <c r="H30" i="1" s="1"/>
  <c r="J30" i="1" l="1"/>
  <c r="I38" i="1"/>
  <c r="L38" i="1" l="1"/>
  <c r="I217" i="1" l="1"/>
  <c r="L217" i="1"/>
  <c r="H217" i="1" s="1"/>
  <c r="L117" i="1"/>
  <c r="H117" i="1" s="1"/>
  <c r="I117" i="1"/>
  <c r="I160" i="1"/>
  <c r="L160" i="1"/>
  <c r="H160" i="1" s="1"/>
  <c r="J217" i="1" l="1"/>
  <c r="J160" i="1"/>
  <c r="J117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5" i="1"/>
  <c r="L95" i="1"/>
  <c r="H95" i="1" s="1"/>
  <c r="J95" i="1" l="1"/>
  <c r="J242" i="1"/>
  <c r="L63" i="1"/>
  <c r="H63" i="1" s="1"/>
  <c r="J63" i="1" s="1"/>
  <c r="L72" i="1" l="1"/>
  <c r="H72" i="1" s="1"/>
  <c r="I72" i="1"/>
  <c r="L21" i="1"/>
  <c r="J72" i="1" l="1"/>
  <c r="L22" i="1"/>
  <c r="H22" i="1" s="1"/>
  <c r="J22" i="1" s="1"/>
  <c r="L17" i="1" l="1"/>
  <c r="L18" i="1" s="1"/>
  <c r="H18" i="1" s="1"/>
  <c r="J18" i="1" s="1"/>
  <c r="L15" i="1" l="1"/>
  <c r="H15" i="1" s="1"/>
  <c r="I11" i="1" l="1"/>
  <c r="I19" i="1" l="1"/>
  <c r="L19" i="1"/>
  <c r="H19" i="1" s="1"/>
  <c r="L11" i="1" l="1"/>
  <c r="H11" i="1" l="1"/>
  <c r="H24" i="1" l="1"/>
  <c r="H23" i="1"/>
  <c r="M24" i="1"/>
  <c r="M2" i="1" s="1"/>
  <c r="I25" i="1" l="1"/>
  <c r="H38" i="1"/>
  <c r="L25" i="1"/>
  <c r="H25" i="1" s="1"/>
  <c r="J25" i="1" l="1"/>
  <c r="I249" i="1"/>
  <c r="L249" i="1"/>
  <c r="H249" i="1" s="1"/>
  <c r="I88" i="1"/>
  <c r="L88" i="1"/>
  <c r="H88" i="1" s="1"/>
  <c r="J88" i="1" l="1"/>
  <c r="J249" i="1"/>
  <c r="L20" i="1"/>
  <c r="H20" i="1" s="1"/>
  <c r="J20" i="1" s="1"/>
  <c r="L9" i="1" l="1"/>
  <c r="H9" i="1" s="1"/>
  <c r="J9" i="1" s="1"/>
  <c r="I7" i="1" l="1"/>
  <c r="I6" i="1"/>
  <c r="L7" i="1"/>
  <c r="H7" i="1" s="1"/>
  <c r="L6" i="1"/>
  <c r="H6" i="1" s="1"/>
  <c r="J7" i="1" l="1"/>
  <c r="I4" i="1" l="1"/>
  <c r="L4" i="1"/>
  <c r="H4" i="1" s="1"/>
  <c r="I10" i="1" l="1"/>
  <c r="L10" i="1" l="1"/>
  <c r="H10" i="1" s="1"/>
  <c r="L8" i="1" l="1"/>
  <c r="I74" i="1" l="1"/>
  <c r="L74" i="1"/>
  <c r="H74" i="1" s="1"/>
  <c r="J74" i="1" l="1"/>
  <c r="I216" i="1"/>
  <c r="H216" i="1"/>
  <c r="J216" i="1" l="1"/>
  <c r="J58" i="1" l="1"/>
  <c r="I211" i="1"/>
  <c r="H21" i="1"/>
  <c r="I21" i="1"/>
  <c r="J211" i="1" l="1"/>
  <c r="J21" i="1"/>
  <c r="I246" i="1"/>
  <c r="H246" i="1"/>
  <c r="J38" i="1" l="1"/>
  <c r="J246" i="1"/>
  <c r="I92" i="1"/>
  <c r="J92" i="1" l="1"/>
  <c r="H8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6" i="1"/>
  <c r="J8" i="1"/>
  <c r="H2" i="1" l="1"/>
  <c r="J252" i="1"/>
  <c r="J24" i="1"/>
  <c r="J11" i="1"/>
  <c r="J251" i="1"/>
  <c r="J253" i="1"/>
  <c r="J17" i="1"/>
  <c r="J23" i="1"/>
  <c r="J247" i="1"/>
  <c r="J15" i="1"/>
  <c r="J241" i="1"/>
  <c r="J245" i="1"/>
  <c r="J10" i="1"/>
  <c r="J19" i="1"/>
  <c r="J250" i="1"/>
  <c r="J4" i="1" l="1"/>
  <c r="B3" i="5" l="1"/>
  <c r="D12" i="1" l="1"/>
  <c r="D13" i="1" l="1"/>
  <c r="D14" i="1" s="1"/>
  <c r="D15" i="1" s="1"/>
  <c r="D16" i="1" s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7" i="1" s="1"/>
  <c r="D38" i="1" s="1"/>
  <c r="D39" i="1" s="1"/>
  <c r="B5" i="5"/>
  <c r="B6" i="5" s="1"/>
  <c r="B7" i="5" s="1"/>
  <c r="D40" i="1" l="1"/>
  <c r="D36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D60" i="1" l="1"/>
  <c r="D61" i="1" s="1"/>
  <c r="D62" i="1" s="1"/>
  <c r="D64" i="1" s="1"/>
  <c r="D65" i="1" s="1"/>
  <c r="D66" i="1" s="1"/>
  <c r="D67" i="1" s="1"/>
  <c r="D68" i="1" s="1"/>
  <c r="D69" i="1" s="1"/>
  <c r="D70" i="1" s="1"/>
  <c r="D71" i="1" s="1"/>
  <c r="D72" i="1" l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l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l="1"/>
  <c r="D97" i="1" s="1"/>
  <c r="D98" i="1" s="1"/>
  <c r="D99" i="1" s="1"/>
  <c r="D100" i="1" s="1"/>
  <c r="D63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7" i="1" l="1"/>
  <c r="D118" i="1" s="1"/>
  <c r="D119" i="1" s="1"/>
  <c r="D120" i="1" s="1"/>
  <c r="D121" i="1" s="1"/>
  <c r="D116" i="1" s="1"/>
  <c r="D122" i="1"/>
  <c r="D123" i="1" s="1"/>
  <c r="D124" i="1" s="1"/>
  <c r="D125" i="1" s="1"/>
  <c r="D126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l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2" i="1" s="1"/>
  <c r="D163" i="1" s="1"/>
  <c r="D164" i="1" s="1"/>
  <c r="D165" i="1" s="1"/>
  <c r="D166" i="1" s="1"/>
  <c r="D167" i="1" s="1"/>
  <c r="D168" i="1" s="1"/>
  <c r="D169" i="1" s="1"/>
  <c r="D170" i="1" s="1"/>
  <c r="D127" i="1" s="1"/>
  <c r="D171" i="1" s="1"/>
  <c r="D172" i="1" s="1"/>
  <c r="D173" i="1" s="1"/>
  <c r="D174" i="1" l="1"/>
  <c r="D175" i="1" s="1"/>
  <c r="D161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2" i="1"/>
  <c r="D456" i="1" l="1"/>
  <c r="D457" i="1" s="1"/>
  <c r="D458" i="1" s="1"/>
  <c r="D459" i="1" s="1"/>
  <c r="D460" i="1" s="1"/>
  <c r="D461" i="1" s="1"/>
  <c r="D438" i="1"/>
  <c r="D439" i="1" l="1"/>
  <c r="D462" i="1"/>
  <c r="D463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D432" i="1" l="1"/>
  <c r="D464" i="1"/>
  <c r="D465" i="1" s="1"/>
  <c r="D466" i="1" s="1"/>
  <c r="D467" i="1" s="1"/>
  <c r="A34" i="6"/>
  <c r="A35" i="6" s="1"/>
  <c r="A23" i="6" s="1"/>
  <c r="A17" i="6" s="1"/>
  <c r="A24" i="6" s="1"/>
  <c r="A18" i="6"/>
  <c r="D425" i="1" l="1"/>
  <c r="D468" i="1"/>
  <c r="D469" i="1" s="1"/>
  <c r="D470" i="1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8" i="1" l="1"/>
  <c r="O8" i="1" s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tc={B2572E6F-40CC-4FA7-9340-8AC8902D6330}</author>
    <author>tc={C7B21EC5-CCB1-4871-B59C-1D6C7B04AAA3}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9" authorId="1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  <comment ref="AE11" authorId="2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<sst xmlns="http://schemas.openxmlformats.org/spreadsheetml/2006/main" count="2979" uniqueCount="1814">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</sst>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sheetMetadata" Target="metadata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theme" Target="theme/theme1.xml"/><Relationship Id="rId200" Type="http://schemas.microsoft.com/office/2017/10/relationships/person" Target="persons/person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styles" Target="styles.xml"/><Relationship Id="rId201" Type="http://schemas.openxmlformats.org/officeDocument/2006/relationships/calcChain" Target="calcChain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sharedStrings" Target="sharedStrings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VVD.xlsx" TargetMode="External"/><Relationship Id="rId1" Type="http://schemas.openxmlformats.org/officeDocument/2006/relationships/externalLinkPath" Target="IVVD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889.42837156339556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225.39710014777074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>
        <row r="76">
          <cell r="EZ76">
            <v>10.082666502598578</v>
          </cell>
          <cell r="FA76">
            <v>9.4302222435610581</v>
          </cell>
          <cell r="FB76">
            <v>9.6219595012797736</v>
          </cell>
        </row>
        <row r="77">
          <cell r="FN77">
            <v>0.01</v>
          </cell>
        </row>
        <row r="78">
          <cell r="FN78">
            <v>5.0000000000000001E-3</v>
          </cell>
        </row>
        <row r="79">
          <cell r="FN79">
            <v>6.5500000000000003E-2</v>
          </cell>
        </row>
        <row r="85">
          <cell r="FN85">
            <v>181.27751648882833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15168</v>
          </cell>
        </row>
        <row r="6">
          <cell r="J6">
            <v>38131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91.846496875259717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4">
          <cell r="EM54">
            <v>0.01</v>
          </cell>
        </row>
        <row r="55">
          <cell r="EM55">
            <v>-0.02</v>
          </cell>
        </row>
        <row r="56">
          <cell r="EM56">
            <v>0.08</v>
          </cell>
        </row>
        <row r="58">
          <cell r="EM58">
            <v>315.06048256970598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</sheetNames>
    <sheetDataSet>
      <sheetData sheetId="0">
        <row r="3">
          <cell r="L3">
            <v>69.799148000000002</v>
          </cell>
        </row>
        <row r="5">
          <cell r="L5">
            <v>787.07100000000003</v>
          </cell>
        </row>
        <row r="6">
          <cell r="L6">
            <v>35.122999999999998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68.712999999999994</v>
          </cell>
        </row>
        <row r="5">
          <cell r="O5">
            <v>1121.6000000000001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22.172450999999999</v>
          </cell>
        </row>
        <row r="5">
          <cell r="M5">
            <v>33.552</v>
          </cell>
        </row>
        <row r="6">
          <cell r="M6">
            <v>2.4940000000000002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119.616035</v>
          </cell>
        </row>
        <row r="5">
          <cell r="M5">
            <v>106.869</v>
          </cell>
        </row>
        <row r="6">
          <cell r="M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9" dT="2025-01-25T23:30:42.16" personId="{5A20BCEA-4C45-4B42-BEED-323725F9E7FF}" id="{B2572E6F-40CC-4FA7-9340-8AC8902D6330}">
    <text>Expropriated from Merck in Germany</text>
  </threadedComment>
  <threadedComment ref="AE11" dT="2025-01-25T23:31:27.11" personId="{5A20BCEA-4C45-4B42-BEED-323725F9E7FF}" id="{C7B21EC5-CCB1-4871-B59C-1D6C7B04AAA3}">
    <text>Merger created Novartis in 1996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comments" Target="../comments1.xm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206" Type="http://schemas.microsoft.com/office/2017/10/relationships/threadedComment" Target="../threadedComments/threadedComment1.xm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printerSettings" Target="../printerSettings/printerSettings1.bin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vmlDrawing" Target="../drawings/vmlDrawing1.vm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../Downloads/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71"/>
  <sheetViews>
    <sheetView tabSelected="1" zoomScale="145" zoomScaleNormal="145" workbookViewId="0">
      <pane xSplit="5" ySplit="3" topLeftCell="F28" activePane="bottomRight" state="frozen"/>
      <selection pane="topRight" activeCell="C1" sqref="C1"/>
      <selection pane="bottomLeft" activeCell="A4" sqref="A4"/>
      <selection pane="bottomRight" activeCell="A41" sqref="A41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RANDBETWEEN(1,D242)</f>
        <v>171</v>
      </c>
      <c r="H2" s="6">
        <f>SUM(H4:H456)-H6-H13-H11-H17-H23-H27-H47-H55</f>
        <v>5103845.8510663453</v>
      </c>
      <c r="M2" s="9">
        <f>MIN(M4:M93)</f>
        <v>45530</v>
      </c>
      <c r="O2" s="10">
        <f>AVERAGE(O4:O22)</f>
        <v>0.12096219596528746</v>
      </c>
      <c r="S2" s="103" t="s">
        <v>312</v>
      </c>
      <c r="T2" s="103"/>
      <c r="U2" s="103"/>
      <c r="V2" s="103"/>
      <c r="W2" s="103"/>
      <c r="X2" s="103"/>
      <c r="Y2" s="103" t="s">
        <v>311</v>
      </c>
      <c r="Z2" s="103"/>
      <c r="AA2" s="103"/>
      <c r="AB2" s="103"/>
      <c r="AC2" s="103"/>
      <c r="AD2" s="103"/>
    </row>
    <row r="3" spans="1:32" x14ac:dyDescent="0.25">
      <c r="B3" s="1" t="s">
        <v>1639</v>
      </c>
      <c r="C3" s="1" t="s">
        <v>1640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997</v>
      </c>
    </row>
    <row r="4" spans="1:32" x14ac:dyDescent="0.25">
      <c r="A4" s="102" t="s">
        <v>334</v>
      </c>
      <c r="D4" s="1">
        <v>1</v>
      </c>
      <c r="E4" s="5" t="s">
        <v>19</v>
      </c>
      <c r="F4" s="1" t="s">
        <v>20</v>
      </c>
      <c r="G4" s="7">
        <v>835</v>
      </c>
      <c r="H4" s="6">
        <f>+G4*L4</f>
        <v>792678.60449000006</v>
      </c>
      <c r="I4" s="6">
        <f>+[1]Main!$J$5-[1]Main!$J$6</f>
        <v>-24401</v>
      </c>
      <c r="J4" s="6">
        <f t="shared" ref="J4:J19" si="0">H4-I4</f>
        <v>817079.60449000006</v>
      </c>
      <c r="K4" s="3" t="s">
        <v>1279</v>
      </c>
      <c r="L4" s="6">
        <f>+[1]Main!$J$3</f>
        <v>949.31569400000001</v>
      </c>
      <c r="M4" s="9">
        <v>45670</v>
      </c>
      <c r="N4" s="7">
        <f>[1]Model!$FY$101</f>
        <v>889.42837156339556</v>
      </c>
      <c r="O4" s="10">
        <f>+N4/G4-1</f>
        <v>6.5183678519036503E-2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334</v>
      </c>
      <c r="B5"/>
      <c r="C5"/>
      <c r="D5">
        <f>+D4+1</f>
        <v>2</v>
      </c>
      <c r="E5" s="5" t="s">
        <v>17</v>
      </c>
      <c r="F5" t="s">
        <v>18</v>
      </c>
      <c r="G5" s="54">
        <v>190.82</v>
      </c>
      <c r="H5" s="30">
        <f>+G5*L5</f>
        <v>338133.04</v>
      </c>
      <c r="I5" s="30">
        <f>+[2]Main!$K$5-[2]Main!$K$6</f>
        <v>-63527</v>
      </c>
      <c r="J5" s="30">
        <f>H5-I5</f>
        <v>401660.04</v>
      </c>
      <c r="K5" s="28" t="s">
        <v>1279</v>
      </c>
      <c r="L5" s="30">
        <f>+[2]Main!$K$3</f>
        <v>1772</v>
      </c>
      <c r="M5" s="9">
        <v>45670</v>
      </c>
      <c r="N5" s="7">
        <f>[2]Model!$DT$78</f>
        <v>225.39710014777074</v>
      </c>
      <c r="O5" s="10">
        <f>+N5/G5-1</f>
        <v>0.18120270489346368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334</v>
      </c>
      <c r="B6"/>
      <c r="C6"/>
      <c r="D6" s="1">
        <f>+D5+1</f>
        <v>3</v>
      </c>
      <c r="E6" s="5" t="s">
        <v>25</v>
      </c>
      <c r="F6" s="1" t="s">
        <v>26</v>
      </c>
      <c r="G6" s="7">
        <v>86.25</v>
      </c>
      <c r="H6" s="6">
        <f>+L6*G6</f>
        <v>384761.25</v>
      </c>
      <c r="I6" s="6">
        <f>([3]Main!$J$5-[3]Main!$J$6)/DKK</f>
        <v>2576.3072126966131</v>
      </c>
      <c r="J6" s="6">
        <f t="shared" si="0"/>
        <v>382184.94278730341</v>
      </c>
      <c r="K6" s="3" t="s">
        <v>1279</v>
      </c>
      <c r="L6" s="6">
        <f>+[3]Main!$J$3</f>
        <v>4461</v>
      </c>
      <c r="M6" s="9">
        <v>45671</v>
      </c>
      <c r="N6" s="7" t="s">
        <v>1684</v>
      </c>
      <c r="O6" s="10" t="s">
        <v>1684</v>
      </c>
      <c r="P6" s="3" t="s">
        <v>1684</v>
      </c>
      <c r="Q6" s="3" t="s">
        <v>1684</v>
      </c>
      <c r="R6" s="3" t="s">
        <v>1684</v>
      </c>
      <c r="AE6" s="1">
        <v>1923</v>
      </c>
    </row>
    <row r="7" spans="1:32" x14ac:dyDescent="0.25">
      <c r="A7" s="102" t="s">
        <v>334</v>
      </c>
      <c r="B7"/>
      <c r="C7"/>
      <c r="D7" s="1">
        <f>+D6</f>
        <v>3</v>
      </c>
      <c r="E7" s="5" t="s">
        <v>25</v>
      </c>
      <c r="F7" t="s">
        <v>318</v>
      </c>
      <c r="G7" s="56">
        <v>603.5</v>
      </c>
      <c r="H7" s="6">
        <f>+G7*L7/DKK</f>
        <v>381495.46549525292</v>
      </c>
      <c r="I7" s="6">
        <f>([3]Main!$J$5-[3]Main!$J$6)/DKK</f>
        <v>2576.3072126966131</v>
      </c>
      <c r="J7" s="6">
        <f t="shared" si="0"/>
        <v>378919.15828255634</v>
      </c>
      <c r="K7" s="3" t="str">
        <f>+K6</f>
        <v>Q324</v>
      </c>
      <c r="L7" s="6">
        <f>+[3]Main!$J$3</f>
        <v>4461</v>
      </c>
      <c r="M7" s="9">
        <f>+M6</f>
        <v>45671</v>
      </c>
      <c r="N7" s="7">
        <f>+[3]Model!$DM$53</f>
        <v>712.2625599390999</v>
      </c>
      <c r="O7" s="10">
        <f>N7/G7-1</f>
        <v>0.18021965192891454</v>
      </c>
      <c r="P7" s="10">
        <f>[3]Model!$DM$49*-1</f>
        <v>0.01</v>
      </c>
      <c r="Q7" s="10">
        <f>+[3]Model!$DM$50</f>
        <v>-0.01</v>
      </c>
      <c r="R7" s="10">
        <f>+[3]Model!$DM$51</f>
        <v>0.08</v>
      </c>
      <c r="AE7" s="1">
        <v>1923</v>
      </c>
    </row>
    <row r="8" spans="1:32" x14ac:dyDescent="0.25">
      <c r="A8" s="102" t="s">
        <v>334</v>
      </c>
      <c r="D8" s="1">
        <f>+D7+1</f>
        <v>4</v>
      </c>
      <c r="E8" s="5" t="s">
        <v>14</v>
      </c>
      <c r="F8" s="1" t="s">
        <v>15</v>
      </c>
      <c r="G8" s="7">
        <v>153.97</v>
      </c>
      <c r="H8" s="6">
        <f>G8*[4]Main!$R$3</f>
        <v>370605.79</v>
      </c>
      <c r="I8" s="6">
        <f>+[4]Main!$R$5-[4]Main!$R$6</f>
        <v>-15454</v>
      </c>
      <c r="J8" s="6">
        <f>H8-I8</f>
        <v>386059.79</v>
      </c>
      <c r="K8" s="3" t="s">
        <v>1279</v>
      </c>
      <c r="L8" s="6">
        <f>+[4]Main!$R$3</f>
        <v>2407</v>
      </c>
      <c r="M8" s="9">
        <v>45682</v>
      </c>
      <c r="N8" s="7">
        <f>[4]Model!$FN$85</f>
        <v>181.27751648882833</v>
      </c>
      <c r="O8" s="10">
        <f>N8/G8-1</f>
        <v>0.17735608552853366</v>
      </c>
      <c r="P8" s="10">
        <f>[4]Model!$FN$77</f>
        <v>0.01</v>
      </c>
      <c r="Q8" s="10">
        <f>[4]Model!$FN$78</f>
        <v>5.0000000000000001E-3</v>
      </c>
      <c r="R8" s="10">
        <f>[4]Model!$FN$79</f>
        <v>6.5500000000000003E-2</v>
      </c>
      <c r="AB8" s="63">
        <f>+[4]Model!$EZ$76</f>
        <v>10.082666502598578</v>
      </c>
      <c r="AC8" s="63">
        <f>+[4]Model!$FA$76</f>
        <v>9.4302222435610581</v>
      </c>
      <c r="AD8" s="63">
        <f>+[4]Model!$FB$76</f>
        <v>9.6219595012797736</v>
      </c>
      <c r="AE8">
        <v>1886</v>
      </c>
    </row>
    <row r="9" spans="1:32" x14ac:dyDescent="0.25">
      <c r="A9" s="102" t="s">
        <v>334</v>
      </c>
      <c r="B9"/>
      <c r="C9"/>
      <c r="D9" s="1">
        <f>+D8+1</f>
        <v>5</v>
      </c>
      <c r="E9" s="5" t="s">
        <v>27</v>
      </c>
      <c r="F9" s="1" t="s">
        <v>28</v>
      </c>
      <c r="G9" s="7">
        <v>87.81</v>
      </c>
      <c r="H9" s="6">
        <f>+G9*L9</f>
        <v>223388.64</v>
      </c>
      <c r="I9" s="6">
        <f>+[5]Main!$J$5-[5]Main!$J$6</f>
        <v>-22963</v>
      </c>
      <c r="J9" s="6">
        <f t="shared" si="0"/>
        <v>246351.64</v>
      </c>
      <c r="K9" s="3" t="s">
        <v>1279</v>
      </c>
      <c r="L9" s="6">
        <f>+[5]Main!$J$3</f>
        <v>2544</v>
      </c>
      <c r="M9" s="9">
        <v>45682</v>
      </c>
      <c r="N9" s="7">
        <f>[5]Model!$EM$111</f>
        <v>91.846496875259717</v>
      </c>
      <c r="O9" s="10">
        <f>N9/G9-1</f>
        <v>4.5968532914926641E-2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  <c r="AE9">
        <v>1919</v>
      </c>
    </row>
    <row r="10" spans="1:32" x14ac:dyDescent="0.25">
      <c r="A10" s="102" t="s">
        <v>334</v>
      </c>
      <c r="B10"/>
      <c r="C10"/>
      <c r="D10" s="1">
        <f>+D9+1</f>
        <v>6</v>
      </c>
      <c r="E10" s="5" t="s">
        <v>21</v>
      </c>
      <c r="F10" s="1" t="s">
        <v>22</v>
      </c>
      <c r="G10" s="21">
        <v>285.7</v>
      </c>
      <c r="H10" s="6">
        <f>+L10*G10</f>
        <v>228675.13709999999</v>
      </c>
      <c r="I10" s="6">
        <f>+[6]Main!$J$5-[6]Main!$J$6</f>
        <v>-18699</v>
      </c>
      <c r="J10" s="6">
        <f>H10-I10</f>
        <v>247374.13709999999</v>
      </c>
      <c r="K10" s="3" t="s">
        <v>1116</v>
      </c>
      <c r="L10" s="6">
        <f>+[6]Main!$J$3</f>
        <v>800.40300000000002</v>
      </c>
      <c r="M10" s="9">
        <v>45618</v>
      </c>
      <c r="N10" s="9"/>
      <c r="O10" s="9"/>
      <c r="P10" s="9"/>
      <c r="Q10" s="9"/>
      <c r="R10" s="9"/>
      <c r="AE10" s="1">
        <v>1896</v>
      </c>
    </row>
    <row r="11" spans="1:32" x14ac:dyDescent="0.25">
      <c r="A11" s="102" t="s">
        <v>334</v>
      </c>
      <c r="B11"/>
      <c r="C11"/>
      <c r="D11" s="1">
        <f>+D10+1</f>
        <v>7</v>
      </c>
      <c r="E11" s="5" t="s">
        <v>29</v>
      </c>
      <c r="F11" s="1" t="s">
        <v>30</v>
      </c>
      <c r="G11" s="7">
        <v>108.19</v>
      </c>
      <c r="H11" s="6">
        <f>+G11*L11</f>
        <v>216301.02487026999</v>
      </c>
      <c r="I11" s="6">
        <f>+[7]Main!$K$6-[7]Main!$K$7</f>
        <v>-16296</v>
      </c>
      <c r="J11" s="6">
        <f t="shared" ref="J11:J15" si="1">H11-I11</f>
        <v>232597.02487026999</v>
      </c>
      <c r="K11" s="3" t="s">
        <v>1073</v>
      </c>
      <c r="L11" s="6">
        <f>+[7]Main!$K$4</f>
        <v>1999.270033</v>
      </c>
      <c r="M11" s="9">
        <v>45690</v>
      </c>
    </row>
    <row r="12" spans="1:32" x14ac:dyDescent="0.25">
      <c r="A12" s="102" t="s">
        <v>334</v>
      </c>
      <c r="B12"/>
      <c r="C12"/>
      <c r="D12" s="1">
        <f>+D11</f>
        <v>7</v>
      </c>
      <c r="E12" s="5" t="s">
        <v>29</v>
      </c>
      <c r="F12" t="s">
        <v>422</v>
      </c>
      <c r="G12" s="21">
        <v>93.44</v>
      </c>
      <c r="H12" s="6">
        <f>+G12*L12/CHF</f>
        <v>205287.68338848351</v>
      </c>
      <c r="I12" s="6">
        <f>+[7]Main!$K$6-[7]Main!$K$7</f>
        <v>-16296</v>
      </c>
      <c r="J12" s="6">
        <f t="shared" si="1"/>
        <v>221583.68338848351</v>
      </c>
      <c r="K12" s="3" t="s">
        <v>1073</v>
      </c>
      <c r="L12" s="6">
        <f>+[7]Main!$K$4</f>
        <v>1999.270033</v>
      </c>
      <c r="M12" s="9">
        <f>+M11</f>
        <v>45690</v>
      </c>
      <c r="N12" s="3" t="s">
        <v>1684</v>
      </c>
      <c r="O12" s="3" t="s">
        <v>1684</v>
      </c>
      <c r="P12" s="3" t="s">
        <v>1684</v>
      </c>
      <c r="Q12" s="3" t="s">
        <v>1684</v>
      </c>
      <c r="R12" s="3" t="s">
        <v>1684</v>
      </c>
    </row>
    <row r="13" spans="1:32" x14ac:dyDescent="0.25">
      <c r="A13" s="102" t="s">
        <v>334</v>
      </c>
      <c r="B13"/>
      <c r="C13"/>
      <c r="D13" s="1">
        <f>+D12+1</f>
        <v>8</v>
      </c>
      <c r="E13" s="5" t="s">
        <v>37</v>
      </c>
      <c r="F13" s="1" t="s">
        <v>38</v>
      </c>
      <c r="G13" s="7">
        <v>70.010000000000005</v>
      </c>
      <c r="H13" s="6">
        <f>+G13*L13*2</f>
        <v>218431.2</v>
      </c>
      <c r="I13" s="6">
        <f>+[8]Main!$K$5-[8]Main!$K$6</f>
        <v>-26324</v>
      </c>
      <c r="J13" s="6">
        <f>H13-I13</f>
        <v>244755.20000000001</v>
      </c>
      <c r="K13" s="3" t="s">
        <v>1073</v>
      </c>
      <c r="L13" s="6">
        <f>+[8]Main!$K$3</f>
        <v>1560</v>
      </c>
      <c r="M13" s="9">
        <v>45608</v>
      </c>
    </row>
    <row r="14" spans="1:32" x14ac:dyDescent="0.25">
      <c r="A14" s="102" t="s">
        <v>334</v>
      </c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  <c r="N14" s="3" t="s">
        <v>1684</v>
      </c>
      <c r="O14" s="3" t="s">
        <v>1684</v>
      </c>
      <c r="P14" s="3" t="s">
        <v>1684</v>
      </c>
      <c r="Q14" s="3" t="s">
        <v>1684</v>
      </c>
      <c r="R14" s="3" t="s">
        <v>1684</v>
      </c>
    </row>
    <row r="15" spans="1:32" x14ac:dyDescent="0.25">
      <c r="A15" s="102" t="s">
        <v>334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292.85000000000002</v>
      </c>
      <c r="H15" s="6">
        <f>+G15*L15</f>
        <v>157846.15000000002</v>
      </c>
      <c r="I15" s="6">
        <f>[9]Main!$J$5-[9]Main!$J$6</f>
        <v>-51387</v>
      </c>
      <c r="J15" s="6">
        <f t="shared" si="1"/>
        <v>209233.15000000002</v>
      </c>
      <c r="K15" s="3" t="s">
        <v>1279</v>
      </c>
      <c r="L15" s="6">
        <f>+[10]Main!$J$3</f>
        <v>539</v>
      </c>
      <c r="M15" s="9">
        <v>45700</v>
      </c>
      <c r="N15" s="7">
        <f>+[9]Model!$EM$58</f>
        <v>315.06048256970598</v>
      </c>
      <c r="O15" s="10">
        <f>N15/G15-1</f>
        <v>7.5842522006849711E-2</v>
      </c>
      <c r="P15" s="10">
        <f>+[9]Model!$EM$54</f>
        <v>0.01</v>
      </c>
      <c r="Q15" s="10">
        <f>+[9]Model!$EM$55</f>
        <v>-0.02</v>
      </c>
      <c r="R15" s="10">
        <f>+[9]Model!$EM$56</f>
        <v>0.08</v>
      </c>
      <c r="AE15" s="1">
        <v>1980</v>
      </c>
    </row>
    <row r="16" spans="1:32" x14ac:dyDescent="0.25">
      <c r="A16" s="102" t="s">
        <v>334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25.95</v>
      </c>
      <c r="H16" s="6">
        <f>+L16*G16</f>
        <v>147050.73525</v>
      </c>
      <c r="I16" s="6">
        <f>+[11]Main!$K$5-[11]Main!$K$6</f>
        <v>-51202</v>
      </c>
      <c r="J16" s="6">
        <f>H16-I16</f>
        <v>198252.73525</v>
      </c>
      <c r="K16" s="3" t="s">
        <v>1073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5">
      <c r="A17" s="102" t="s">
        <v>334</v>
      </c>
      <c r="B17"/>
      <c r="C17"/>
      <c r="D17" s="1">
        <f>+D16+1</f>
        <v>11</v>
      </c>
      <c r="E17" s="5" t="s">
        <v>35</v>
      </c>
      <c r="F17" s="1" t="s">
        <v>1115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1073</v>
      </c>
      <c r="L17" s="6">
        <f>+[12]Main!$K$3</f>
        <v>1251</v>
      </c>
      <c r="M17" s="9">
        <v>45530</v>
      </c>
    </row>
    <row r="18" spans="1:31" x14ac:dyDescent="0.25">
      <c r="A18" s="102" t="s">
        <v>334</v>
      </c>
      <c r="B18"/>
      <c r="C18"/>
      <c r="D18">
        <f>+D17</f>
        <v>11</v>
      </c>
      <c r="E18" s="5" t="s">
        <v>35</v>
      </c>
      <c r="F18" t="s">
        <v>36</v>
      </c>
      <c r="G18" s="7">
        <v>53.78</v>
      </c>
      <c r="H18" s="6">
        <f>+G18*L18*2</f>
        <v>134557.56</v>
      </c>
      <c r="I18" s="6">
        <f>([13]Main!$K$5-[13]Main!$K$6)*EUR</f>
        <v>-12746.130000000001</v>
      </c>
      <c r="J18" s="6">
        <f>H18-I18</f>
        <v>147303.69</v>
      </c>
      <c r="K18" s="3" t="str">
        <f>+K17</f>
        <v>Q224</v>
      </c>
      <c r="L18" s="6">
        <f>+L17</f>
        <v>1251</v>
      </c>
      <c r="M18" s="9">
        <f>+M17</f>
        <v>45530</v>
      </c>
      <c r="N18" s="3" t="s">
        <v>1684</v>
      </c>
      <c r="O18" s="3" t="s">
        <v>1684</v>
      </c>
      <c r="P18" s="3" t="s">
        <v>1684</v>
      </c>
      <c r="Q18" s="3" t="s">
        <v>1684</v>
      </c>
      <c r="R18" s="3" t="s">
        <v>1684</v>
      </c>
    </row>
    <row r="19" spans="1:31" x14ac:dyDescent="0.25">
      <c r="A19" s="102" t="s">
        <v>334</v>
      </c>
      <c r="B19"/>
      <c r="C19"/>
      <c r="D19" s="1">
        <f>+D18+1</f>
        <v>12</v>
      </c>
      <c r="E19" s="5" t="s">
        <v>31</v>
      </c>
      <c r="F19" s="1" t="s">
        <v>32</v>
      </c>
      <c r="G19" s="3">
        <v>59.65</v>
      </c>
      <c r="H19" s="6">
        <f>+G19*L19</f>
        <v>120934.12236769999</v>
      </c>
      <c r="I19" s="6">
        <f>+[14]Main!$K$5-[14]Main!$K$6</f>
        <v>-45379</v>
      </c>
      <c r="J19" s="6">
        <f t="shared" si="0"/>
        <v>166313.12236769998</v>
      </c>
      <c r="K19" s="3" t="s">
        <v>1073</v>
      </c>
      <c r="L19" s="6">
        <f>+[14]Main!$K$3</f>
        <v>2027.395178</v>
      </c>
      <c r="M19" s="9">
        <v>45578</v>
      </c>
    </row>
    <row r="20" spans="1:31" x14ac:dyDescent="0.25">
      <c r="A20" s="102" t="s">
        <v>334</v>
      </c>
      <c r="B20"/>
      <c r="C20"/>
      <c r="D20" s="1">
        <f>+D25+1</f>
        <v>14</v>
      </c>
      <c r="E20" s="5" t="s">
        <v>45</v>
      </c>
      <c r="F20" s="1" t="s">
        <v>46</v>
      </c>
      <c r="G20" s="7">
        <v>98.88</v>
      </c>
      <c r="H20" s="6">
        <f>+G20*L20</f>
        <v>123104.81696928</v>
      </c>
      <c r="I20" s="6">
        <f>+[15]Main!$J$5-[15]Main!$J$6</f>
        <v>-20578</v>
      </c>
      <c r="J20" s="6">
        <f t="shared" ref="J20:J26" si="2">H20-I20</f>
        <v>143682.81696928001</v>
      </c>
      <c r="K20" s="3" t="s">
        <v>1073</v>
      </c>
      <c r="L20" s="6">
        <f>+[15]Main!$J$3</f>
        <v>1244.9920810000001</v>
      </c>
      <c r="M20" s="9">
        <v>45593</v>
      </c>
    </row>
    <row r="21" spans="1:31" x14ac:dyDescent="0.25">
      <c r="A21" s="102" t="s">
        <v>334</v>
      </c>
      <c r="B21"/>
      <c r="C21"/>
      <c r="D21" s="1">
        <f>+D20+1</f>
        <v>15</v>
      </c>
      <c r="E21" s="5" t="s">
        <v>47</v>
      </c>
      <c r="F21" s="1" t="s">
        <v>48</v>
      </c>
      <c r="G21" s="7">
        <v>485.99</v>
      </c>
      <c r="H21" s="6">
        <f>+G21*[16]Main!$M$3</f>
        <v>125435.08963596998</v>
      </c>
      <c r="I21" s="6">
        <f>+[16]Main!$M$5-[16]Main!$M$6</f>
        <v>10188.6</v>
      </c>
      <c r="J21" s="6">
        <f t="shared" si="2"/>
        <v>115246.48963596998</v>
      </c>
      <c r="K21" s="3" t="s">
        <v>1073</v>
      </c>
      <c r="L21" s="6">
        <f>+[16]Main!$M$3</f>
        <v>258.10220299999997</v>
      </c>
      <c r="M21" s="9">
        <v>45540</v>
      </c>
    </row>
    <row r="22" spans="1:31" x14ac:dyDescent="0.25">
      <c r="A22" s="102" t="s">
        <v>334</v>
      </c>
      <c r="B22"/>
      <c r="C22"/>
      <c r="D22" s="1">
        <f>+D21+1</f>
        <v>16</v>
      </c>
      <c r="E22" s="5" t="s">
        <v>44</v>
      </c>
      <c r="F22" s="1" t="s">
        <v>421</v>
      </c>
      <c r="G22" s="57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1073</v>
      </c>
      <c r="L22" s="6">
        <f>+[17]Main!$J$3</f>
        <v>485.19930699999998</v>
      </c>
      <c r="M22" s="9">
        <v>45535</v>
      </c>
    </row>
    <row r="23" spans="1:31" x14ac:dyDescent="0.25">
      <c r="A23" s="102" t="s">
        <v>334</v>
      </c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1073</v>
      </c>
      <c r="L23" s="6">
        <f>+[18]Main!$J$4</f>
        <v>4079</v>
      </c>
      <c r="M23" s="9">
        <v>45532</v>
      </c>
    </row>
    <row r="24" spans="1:31" x14ac:dyDescent="0.25">
      <c r="A24" s="102" t="s">
        <v>334</v>
      </c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1073</v>
      </c>
      <c r="L24" s="6">
        <f>+L23</f>
        <v>4079</v>
      </c>
      <c r="M24" s="9">
        <f>+M23</f>
        <v>45532</v>
      </c>
      <c r="N24" s="3" t="s">
        <v>1684</v>
      </c>
      <c r="O24" s="3" t="s">
        <v>1684</v>
      </c>
      <c r="P24" s="3" t="s">
        <v>1684</v>
      </c>
      <c r="Q24" s="3" t="s">
        <v>1684</v>
      </c>
      <c r="R24" s="3" t="s">
        <v>1684</v>
      </c>
    </row>
    <row r="25" spans="1:31" x14ac:dyDescent="0.25">
      <c r="A25" s="102" t="s">
        <v>334</v>
      </c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1073</v>
      </c>
      <c r="L25" s="6">
        <f>+[19]Main!$J$3</f>
        <v>115.4</v>
      </c>
      <c r="M25" s="9">
        <v>45530</v>
      </c>
      <c r="AE25" s="1">
        <v>1988</v>
      </c>
    </row>
    <row r="26" spans="1:31" x14ac:dyDescent="0.25">
      <c r="A26" s="102" t="s">
        <v>334</v>
      </c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1073</v>
      </c>
      <c r="L26" s="3">
        <v>435</v>
      </c>
      <c r="M26" s="9">
        <v>45532</v>
      </c>
    </row>
    <row r="27" spans="1:31" x14ac:dyDescent="0.25">
      <c r="A27" s="102" t="s">
        <v>334</v>
      </c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1073</v>
      </c>
      <c r="L27" s="6">
        <f>+[21]Main!$K$4</f>
        <v>1569</v>
      </c>
      <c r="M27" s="9">
        <v>45535</v>
      </c>
    </row>
    <row r="28" spans="1:31" x14ac:dyDescent="0.25">
      <c r="A28" s="102" t="s">
        <v>334</v>
      </c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1073</v>
      </c>
      <c r="L28" s="6">
        <f>+[21]Main!$K$4</f>
        <v>1569</v>
      </c>
      <c r="M28" s="9">
        <v>45535</v>
      </c>
    </row>
    <row r="29" spans="1:31" x14ac:dyDescent="0.25">
      <c r="A29" s="102" t="s">
        <v>334</v>
      </c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1073</v>
      </c>
      <c r="L29" s="6">
        <f>+[22]Main!$M$3</f>
        <v>1914.36284</v>
      </c>
      <c r="M29" s="9">
        <v>45535</v>
      </c>
    </row>
    <row r="30" spans="1:31" x14ac:dyDescent="0.25">
      <c r="A30" s="102" t="s">
        <v>334</v>
      </c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1073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5">
      <c r="A31" s="102" t="s">
        <v>334</v>
      </c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1073</v>
      </c>
      <c r="L31" s="6">
        <f>+[24]Main!$J$3</f>
        <v>982.42</v>
      </c>
      <c r="M31" s="9">
        <v>45534</v>
      </c>
    </row>
    <row r="32" spans="1:31" x14ac:dyDescent="0.25">
      <c r="A32" s="102" t="s">
        <v>334</v>
      </c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1073</v>
      </c>
      <c r="L32" s="6">
        <f>+[25]Main!$J$3</f>
        <v>2399</v>
      </c>
      <c r="M32" s="9">
        <v>45537</v>
      </c>
      <c r="AE32" s="1">
        <v>1983</v>
      </c>
    </row>
    <row r="33" spans="1:32" x14ac:dyDescent="0.25">
      <c r="A33" s="102" t="s">
        <v>334</v>
      </c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1043</v>
      </c>
      <c r="L33" s="6">
        <f>+[26]Main!$M$3</f>
        <v>71.174000000000007</v>
      </c>
      <c r="M33" s="9">
        <v>45536</v>
      </c>
    </row>
    <row r="34" spans="1:32" x14ac:dyDescent="0.25">
      <c r="A34" s="102" t="s">
        <v>334</v>
      </c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1073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95</v>
      </c>
      <c r="F35" s="1" t="s">
        <v>96</v>
      </c>
      <c r="G35" s="3">
        <v>21.42</v>
      </c>
      <c r="H35" s="6">
        <f>+G35*L35</f>
        <v>24268.86</v>
      </c>
      <c r="I35" s="6">
        <f>+[28]Main!$M$5-[28]Main!$M$6</f>
        <v>-16382</v>
      </c>
      <c r="J35" s="6">
        <f>+H35-I35</f>
        <v>40650.86</v>
      </c>
      <c r="K35" s="3" t="s">
        <v>1073</v>
      </c>
      <c r="L35" s="6">
        <f>+[28]Main!$M$3</f>
        <v>1133</v>
      </c>
      <c r="M35" s="9">
        <v>45542</v>
      </c>
    </row>
    <row r="36" spans="1:32" x14ac:dyDescent="0.25">
      <c r="A36" s="102" t="s">
        <v>334</v>
      </c>
      <c r="B36"/>
      <c r="C36"/>
      <c r="D36" s="1">
        <f>+D40+1</f>
        <v>31</v>
      </c>
      <c r="E36" s="5" t="s">
        <v>63</v>
      </c>
      <c r="F36" s="1" t="s">
        <v>64</v>
      </c>
      <c r="G36" s="7">
        <v>660.76</v>
      </c>
      <c r="H36" s="6">
        <f>+G36*L36</f>
        <v>39711.675999999999</v>
      </c>
      <c r="I36" s="6">
        <f>+[29]Main!$K$5-[29]Main!$K$6</f>
        <v>3374</v>
      </c>
      <c r="J36" s="6">
        <f>H36-I36</f>
        <v>36337.675999999999</v>
      </c>
      <c r="K36" s="3" t="s">
        <v>1073</v>
      </c>
      <c r="L36" s="6">
        <f>+[29]Main!$K$3</f>
        <v>60.1</v>
      </c>
      <c r="M36" s="9">
        <v>45673</v>
      </c>
      <c r="AE36">
        <v>2008</v>
      </c>
    </row>
    <row r="37" spans="1:32" x14ac:dyDescent="0.25">
      <c r="A37" s="102" t="s">
        <v>334</v>
      </c>
      <c r="B37"/>
      <c r="C37"/>
      <c r="D37" s="1">
        <f>+D35+1</f>
        <v>27</v>
      </c>
      <c r="E37" s="5" t="s">
        <v>57</v>
      </c>
      <c r="F37" s="1" t="s">
        <v>58</v>
      </c>
      <c r="G37" s="7">
        <v>252</v>
      </c>
      <c r="H37" s="6">
        <f>+G37*L37</f>
        <v>32351.889276000002</v>
      </c>
      <c r="I37" s="6">
        <f>+[30]Main!$L$5-[30]Main!$L$6</f>
        <v>246.8090000000002</v>
      </c>
      <c r="J37" s="6">
        <f>H37-I37</f>
        <v>32105.080276000001</v>
      </c>
      <c r="K37" s="3" t="s">
        <v>1073</v>
      </c>
      <c r="L37" s="6">
        <f>+[30]Main!$L$3</f>
        <v>128.38051300000001</v>
      </c>
      <c r="M37" s="9">
        <v>45537</v>
      </c>
      <c r="AE37" s="1">
        <v>2002</v>
      </c>
      <c r="AF37" s="1" t="s">
        <v>609</v>
      </c>
    </row>
    <row r="38" spans="1:32" x14ac:dyDescent="0.25">
      <c r="D38" s="1">
        <f t="shared" si="4"/>
        <v>28</v>
      </c>
      <c r="E38" s="5" t="s">
        <v>75</v>
      </c>
      <c r="F38" s="1" t="s">
        <v>76</v>
      </c>
      <c r="G38" s="7">
        <v>12.08</v>
      </c>
      <c r="H38" s="6">
        <f>G38*[31]Main!$M$3</f>
        <v>14417.72719304</v>
      </c>
      <c r="I38" s="6">
        <f>[31]Main!$M$5-[31]Main!$M$6</f>
        <v>-16182</v>
      </c>
      <c r="J38" s="6">
        <f>H38-I38</f>
        <v>30599.727193040002</v>
      </c>
      <c r="K38" s="3" t="s">
        <v>1073</v>
      </c>
      <c r="L38" s="6">
        <f>+[31]Main!$M$3</f>
        <v>1193.5204630000001</v>
      </c>
      <c r="M38" s="9">
        <v>45537</v>
      </c>
      <c r="AE38" s="1">
        <v>1961</v>
      </c>
    </row>
    <row r="39" spans="1:32" x14ac:dyDescent="0.25">
      <c r="A39"/>
      <c r="B39"/>
      <c r="C39"/>
      <c r="D39" s="1">
        <f t="shared" si="4"/>
        <v>29</v>
      </c>
      <c r="E39" s="5" t="s">
        <v>65</v>
      </c>
      <c r="F39" s="1" t="s">
        <v>66</v>
      </c>
      <c r="G39" s="3">
        <v>37.94</v>
      </c>
      <c r="H39" s="6">
        <f>+G39*L39</f>
        <v>19349.399999999998</v>
      </c>
      <c r="I39" s="6">
        <f>+[32]Main!$K$5-[32]Main!$K$6</f>
        <v>-10809</v>
      </c>
      <c r="J39" s="6">
        <f>+H39-I39</f>
        <v>30158.399999999998</v>
      </c>
      <c r="K39" s="3" t="s">
        <v>1073</v>
      </c>
      <c r="L39" s="6">
        <f>+[32]Main!$K$3</f>
        <v>510</v>
      </c>
      <c r="M39" s="9">
        <v>45536</v>
      </c>
      <c r="AE39" s="1">
        <v>1931</v>
      </c>
    </row>
    <row r="40" spans="1:32" x14ac:dyDescent="0.25">
      <c r="A40" s="102" t="s">
        <v>334</v>
      </c>
      <c r="B40"/>
      <c r="C40"/>
      <c r="D40" s="1">
        <f t="shared" si="4"/>
        <v>30</v>
      </c>
      <c r="E40" s="5" t="s">
        <v>263</v>
      </c>
      <c r="F40" t="s">
        <v>264</v>
      </c>
      <c r="G40" s="7">
        <v>204.76</v>
      </c>
      <c r="H40" s="6">
        <f>+G40*L40</f>
        <v>29690.199999999997</v>
      </c>
      <c r="I40" s="6">
        <f>+[33]Main!$J$5-[33]Main!$J$6</f>
        <v>1117</v>
      </c>
      <c r="J40" s="6">
        <f>+H40-I40</f>
        <v>28573.199999999997</v>
      </c>
      <c r="K40" s="3" t="s">
        <v>1073</v>
      </c>
      <c r="L40" s="6">
        <f>+[33]Main!$J$3</f>
        <v>145</v>
      </c>
      <c r="M40" s="9">
        <v>45536</v>
      </c>
      <c r="AE40" s="1">
        <v>1978</v>
      </c>
      <c r="AF40" s="1" t="s">
        <v>609</v>
      </c>
    </row>
    <row r="41" spans="1:32" x14ac:dyDescent="0.25">
      <c r="A41" s="102" t="s">
        <v>334</v>
      </c>
      <c r="D41" s="1">
        <f>+D36+1</f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1073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5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1073</v>
      </c>
      <c r="L42" s="6">
        <f>+[35]Main!$L$3</f>
        <v>542.72572500000001</v>
      </c>
      <c r="M42" s="9">
        <v>45539</v>
      </c>
    </row>
    <row r="43" spans="1:32" x14ac:dyDescent="0.25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1073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5">
      <c r="A44" s="102" t="s">
        <v>334</v>
      </c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1073</v>
      </c>
      <c r="L44" s="6">
        <f>+[37]Main!$J$3</f>
        <v>142.48709700000001</v>
      </c>
      <c r="M44" s="9">
        <v>45537</v>
      </c>
    </row>
    <row r="45" spans="1:32" x14ac:dyDescent="0.25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1073</v>
      </c>
      <c r="L45" s="6">
        <f>+[38]Main!$L$3</f>
        <v>104.69865899999999</v>
      </c>
      <c r="M45" s="9">
        <v>45537</v>
      </c>
    </row>
    <row r="46" spans="1:32" x14ac:dyDescent="0.25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1073</v>
      </c>
      <c r="L46" s="6">
        <f>+[39]Main!$L$3</f>
        <v>190.382822</v>
      </c>
      <c r="M46" s="9">
        <v>45537</v>
      </c>
      <c r="AE46">
        <v>1997</v>
      </c>
      <c r="AF46" s="1" t="s">
        <v>1127</v>
      </c>
    </row>
    <row r="47" spans="1:32" x14ac:dyDescent="0.25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1073</v>
      </c>
      <c r="L47" s="6">
        <f>+[40]Main!$K$4</f>
        <v>66.136909000000003</v>
      </c>
      <c r="M47" s="9">
        <v>45537</v>
      </c>
      <c r="AE47" s="1">
        <v>1999</v>
      </c>
      <c r="AF47" s="1" t="s">
        <v>1128</v>
      </c>
    </row>
    <row r="48" spans="1:32" x14ac:dyDescent="0.25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1073</v>
      </c>
      <c r="L48" s="6">
        <f>+[40]Main!$K$4</f>
        <v>66.136909000000003</v>
      </c>
      <c r="M48" s="9">
        <v>45537</v>
      </c>
      <c r="AE48" s="1">
        <v>1999</v>
      </c>
      <c r="AF48" s="1" t="s">
        <v>1128</v>
      </c>
    </row>
    <row r="49" spans="1:31" x14ac:dyDescent="0.25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1073</v>
      </c>
      <c r="L49" s="6">
        <f>+[41]Main!$L$3</f>
        <v>687.55490800000007</v>
      </c>
      <c r="M49" s="9">
        <v>45537</v>
      </c>
    </row>
    <row r="50" spans="1:31" x14ac:dyDescent="0.25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1116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5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1073</v>
      </c>
      <c r="L51" s="6">
        <f>+[43]Main!$L$3</f>
        <v>95.366333999999995</v>
      </c>
      <c r="M51" s="9">
        <v>45537</v>
      </c>
    </row>
    <row r="52" spans="1:31" x14ac:dyDescent="0.25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1073</v>
      </c>
      <c r="L52" s="6">
        <f>+[44]Main!$K$3</f>
        <v>44.491176000000003</v>
      </c>
      <c r="M52" s="9">
        <v>45537</v>
      </c>
    </row>
    <row r="53" spans="1:31" x14ac:dyDescent="0.25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1073</v>
      </c>
      <c r="L53" s="6">
        <f>+[45]Main!$K$3</f>
        <v>724.53775099999996</v>
      </c>
      <c r="M53" s="9">
        <v>45544</v>
      </c>
    </row>
    <row r="54" spans="1:31" x14ac:dyDescent="0.25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1073</v>
      </c>
      <c r="L54" s="6">
        <f>+[46]Main!$L$3</f>
        <v>257.473477</v>
      </c>
      <c r="M54" s="9">
        <v>45562</v>
      </c>
    </row>
    <row r="55" spans="1:31" customFormat="1" x14ac:dyDescent="0.25">
      <c r="D55" s="1">
        <f t="shared" si="4"/>
        <v>46</v>
      </c>
      <c r="E55" s="5" t="s">
        <v>381</v>
      </c>
      <c r="F55" t="s">
        <v>382</v>
      </c>
      <c r="G55" s="46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1116</v>
      </c>
      <c r="L55" s="6">
        <f>+[47]Main!$K$4</f>
        <v>2672.3987109999998</v>
      </c>
      <c r="M55" s="9">
        <v>45542</v>
      </c>
    </row>
    <row r="56" spans="1:31" x14ac:dyDescent="0.25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1116</v>
      </c>
      <c r="L56" s="6">
        <f>+[47]Main!$K$4</f>
        <v>2672.3987109999998</v>
      </c>
      <c r="M56" s="9">
        <v>45542</v>
      </c>
    </row>
    <row r="57" spans="1:31" x14ac:dyDescent="0.25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1073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5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1073</v>
      </c>
      <c r="L58" s="6">
        <f>+[49]Main!$K$3</f>
        <v>192.598027</v>
      </c>
      <c r="M58" s="9">
        <v>45537</v>
      </c>
    </row>
    <row r="59" spans="1:31" x14ac:dyDescent="0.25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1073</v>
      </c>
      <c r="L59" s="6">
        <f>+[50]Main!$K$3</f>
        <v>286.34741200000002</v>
      </c>
      <c r="M59" s="9">
        <v>45537</v>
      </c>
    </row>
    <row r="60" spans="1:31" x14ac:dyDescent="0.25">
      <c r="A60"/>
      <c r="B60"/>
      <c r="C60"/>
      <c r="D60" s="1">
        <f t="shared" ref="D60:D90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1073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5">
      <c r="A61"/>
      <c r="B61"/>
      <c r="C61"/>
      <c r="D61" s="1">
        <f t="shared" si="6"/>
        <v>51</v>
      </c>
      <c r="E61" s="5" t="s">
        <v>1121</v>
      </c>
      <c r="F61" t="s">
        <v>1122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1073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5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1073</v>
      </c>
      <c r="L62" s="6">
        <f>+[53]Main!$L$3</f>
        <v>83.814526000000001</v>
      </c>
      <c r="M62" s="9">
        <v>45563</v>
      </c>
    </row>
    <row r="63" spans="1:31" x14ac:dyDescent="0.25">
      <c r="A63" s="89" t="s">
        <v>334</v>
      </c>
      <c r="B63"/>
      <c r="C63"/>
      <c r="D63" s="1">
        <f>+D100+1</f>
        <v>90</v>
      </c>
      <c r="E63" s="5" t="s">
        <v>73</v>
      </c>
      <c r="F63" s="1" t="s">
        <v>74</v>
      </c>
      <c r="G63" s="7">
        <v>117.75</v>
      </c>
      <c r="H63" s="6">
        <f>+G63*L63</f>
        <v>28229.355798000001</v>
      </c>
      <c r="I63" s="6">
        <f>+[54]Main!$K$5-[54]Main!$K$6</f>
        <v>18066.8</v>
      </c>
      <c r="J63" s="6">
        <f>+H63-I63</f>
        <v>10162.555798000001</v>
      </c>
      <c r="K63" s="3" t="s">
        <v>1279</v>
      </c>
      <c r="L63" s="6">
        <f>+[54]Main!$K$3</f>
        <v>239.73975200000001</v>
      </c>
      <c r="M63" s="9">
        <v>45684</v>
      </c>
      <c r="AE63" s="1">
        <v>2008</v>
      </c>
    </row>
    <row r="64" spans="1:31" x14ac:dyDescent="0.25">
      <c r="D64" s="1">
        <f>+D62+1</f>
        <v>53</v>
      </c>
      <c r="E64" s="5" t="s">
        <v>364</v>
      </c>
      <c r="F64" t="s">
        <v>365</v>
      </c>
      <c r="G64" s="15">
        <v>38.75</v>
      </c>
      <c r="H64" s="24">
        <f>G64*L64</f>
        <v>7994.0924500000001</v>
      </c>
      <c r="I64" s="6">
        <f>([55]Main!$M$5-[55]Main!$M$6)*EUR</f>
        <v>-1631.0340000000003</v>
      </c>
      <c r="J64" s="6">
        <f>+H64-I64</f>
        <v>9625.1264499999997</v>
      </c>
      <c r="K64" s="3" t="s">
        <v>1073</v>
      </c>
      <c r="L64" s="6">
        <f>[55]Main!$M$3</f>
        <v>206.29916</v>
      </c>
      <c r="M64" s="9">
        <v>45540</v>
      </c>
      <c r="AE64" s="1">
        <v>1926</v>
      </c>
    </row>
    <row r="65" spans="1:32" x14ac:dyDescent="0.25">
      <c r="D65" s="1">
        <f t="shared" si="6"/>
        <v>54</v>
      </c>
      <c r="E65" s="5" t="s">
        <v>91</v>
      </c>
      <c r="F65" s="1" t="s">
        <v>92</v>
      </c>
      <c r="G65" s="7">
        <v>113</v>
      </c>
      <c r="H65" s="6">
        <f>+G65*L65</f>
        <v>11410.316137</v>
      </c>
      <c r="I65" s="6">
        <f>+[56]Main!$L$5-[56]Main!$L$6</f>
        <v>1820.3</v>
      </c>
      <c r="J65" s="6">
        <f>H65-I65</f>
        <v>9590.0161370000005</v>
      </c>
      <c r="K65" s="3" t="s">
        <v>1073</v>
      </c>
      <c r="L65" s="6">
        <f>+[56]Main!$L$3</f>
        <v>100.976249</v>
      </c>
      <c r="M65" s="9">
        <v>45572</v>
      </c>
    </row>
    <row r="66" spans="1:32" x14ac:dyDescent="0.25">
      <c r="A66"/>
      <c r="B66"/>
      <c r="C66"/>
      <c r="D66" s="1">
        <f t="shared" si="6"/>
        <v>55</v>
      </c>
      <c r="E66" s="5" t="s">
        <v>99</v>
      </c>
      <c r="F66" s="1" t="s">
        <v>100</v>
      </c>
      <c r="G66" s="7">
        <v>64</v>
      </c>
      <c r="H66" s="6">
        <f>+G66*L66</f>
        <v>8107.3919999999998</v>
      </c>
      <c r="I66" s="6">
        <f>+[57]Main!$M$5-[57]Main!$M$6</f>
        <v>-973.48500000000013</v>
      </c>
      <c r="J66" s="6">
        <f>+H66-I66</f>
        <v>9080.8770000000004</v>
      </c>
      <c r="K66" s="3" t="s">
        <v>1073</v>
      </c>
      <c r="L66" s="6">
        <f>+[57]Main!$M$3</f>
        <v>126.678</v>
      </c>
      <c r="M66" s="9">
        <v>45538</v>
      </c>
    </row>
    <row r="67" spans="1:32" x14ac:dyDescent="0.25">
      <c r="D67" s="1">
        <f t="shared" si="6"/>
        <v>56</v>
      </c>
      <c r="E67" s="5" t="s">
        <v>118</v>
      </c>
      <c r="F67" s="1" t="s">
        <v>119</v>
      </c>
      <c r="G67" s="7">
        <v>31.61</v>
      </c>
      <c r="H67" s="6">
        <f>+G67*L67</f>
        <v>5772.0516539700002</v>
      </c>
      <c r="I67" s="6">
        <f>+[58]Main!$K$5-[58]Main!$K$6</f>
        <v>1008.441</v>
      </c>
      <c r="J67" s="6">
        <f>+H67-I67</f>
        <v>4763.6106539700004</v>
      </c>
      <c r="K67" s="3" t="s">
        <v>1073</v>
      </c>
      <c r="L67" s="6">
        <f>+[58]Main!$K$3</f>
        <v>182.60207700000001</v>
      </c>
      <c r="M67" s="9">
        <v>45574</v>
      </c>
    </row>
    <row r="68" spans="1:32" x14ac:dyDescent="0.25">
      <c r="A68"/>
      <c r="B68"/>
      <c r="C68"/>
      <c r="D68" s="1">
        <f t="shared" si="6"/>
        <v>57</v>
      </c>
      <c r="E68" s="5" t="s">
        <v>139</v>
      </c>
      <c r="F68" s="1" t="s">
        <v>140</v>
      </c>
      <c r="G68" s="3">
        <v>116.81</v>
      </c>
      <c r="H68" s="6">
        <f>+G68*L68</f>
        <v>8110.1932920200006</v>
      </c>
      <c r="I68" s="6">
        <f>+[59]Main!$K$5-[59]Main!$K$6</f>
        <v>310.25300000000004</v>
      </c>
      <c r="J68" s="6">
        <f>+H68-I68</f>
        <v>7799.9402920200009</v>
      </c>
      <c r="K68" s="3" t="s">
        <v>1073</v>
      </c>
      <c r="L68" s="6">
        <f>+[59]Main!$K$3</f>
        <v>69.430642000000006</v>
      </c>
      <c r="M68" s="9">
        <v>45586</v>
      </c>
    </row>
    <row r="69" spans="1:32" x14ac:dyDescent="0.25">
      <c r="A69"/>
      <c r="B69"/>
      <c r="C69"/>
      <c r="D69" s="1">
        <f t="shared" si="6"/>
        <v>58</v>
      </c>
      <c r="E69" s="5" t="s">
        <v>372</v>
      </c>
      <c r="F69" t="s">
        <v>373</v>
      </c>
      <c r="G69" s="3">
        <v>49.22</v>
      </c>
      <c r="H69" s="6">
        <f>+G69*L69*EUR</f>
        <v>7710.7431827999999</v>
      </c>
      <c r="I69" s="6">
        <f>([60]Main!$L$5-[60]Main!$L$6)*EUR</f>
        <v>-123.432</v>
      </c>
      <c r="J69" s="6">
        <f>+H69-I69</f>
        <v>7834.1751827999997</v>
      </c>
      <c r="K69" s="3" t="s">
        <v>1073</v>
      </c>
      <c r="L69" s="6">
        <f>+[60]Main!$L$3</f>
        <v>141.13399999999999</v>
      </c>
      <c r="M69" s="9">
        <v>45566</v>
      </c>
    </row>
    <row r="70" spans="1:32" x14ac:dyDescent="0.25">
      <c r="D70" s="1">
        <f t="shared" si="6"/>
        <v>59</v>
      </c>
      <c r="E70" s="5" t="s">
        <v>137</v>
      </c>
      <c r="F70" s="1" t="s">
        <v>138</v>
      </c>
      <c r="G70" s="7">
        <v>126</v>
      </c>
      <c r="H70" s="6">
        <f>G70*L70</f>
        <v>7337.1059999999998</v>
      </c>
      <c r="I70" s="6">
        <f>[61]Main!$K$5-[61]Main!$K$6</f>
        <v>-413.63900000000001</v>
      </c>
      <c r="J70" s="6">
        <f>H70-I70</f>
        <v>7750.7449999999999</v>
      </c>
      <c r="K70" s="3" t="s">
        <v>1073</v>
      </c>
      <c r="L70" s="6">
        <f>[61]Main!$K$3</f>
        <v>58.231000000000002</v>
      </c>
      <c r="M70" s="9">
        <v>45539</v>
      </c>
      <c r="AE70" s="1">
        <v>2007</v>
      </c>
      <c r="AF70" s="1" t="s">
        <v>1144</v>
      </c>
    </row>
    <row r="71" spans="1:32" s="25" customFormat="1" ht="13" x14ac:dyDescent="0.3">
      <c r="D71" s="25">
        <f t="shared" si="6"/>
        <v>60</v>
      </c>
      <c r="E71" s="43" t="s">
        <v>1061</v>
      </c>
      <c r="F71" s="25" t="s">
        <v>1062</v>
      </c>
      <c r="G71" s="47">
        <v>78</v>
      </c>
      <c r="H71" s="27">
        <f>+G71*L71</f>
        <v>8112</v>
      </c>
      <c r="I71" s="26">
        <f>+[62]Main!$K$5-[62]Main!$K$6</f>
        <v>711</v>
      </c>
      <c r="J71" s="27">
        <f t="shared" ref="J71" si="8">+H71-I71</f>
        <v>7401</v>
      </c>
      <c r="K71" s="26" t="s">
        <v>1116</v>
      </c>
      <c r="L71" s="26">
        <f>+[62]Main!$K$3</f>
        <v>104</v>
      </c>
      <c r="M71" s="44">
        <v>45541</v>
      </c>
      <c r="N71" s="26"/>
      <c r="O71" s="26"/>
      <c r="P71" s="26"/>
      <c r="Q71" s="26"/>
      <c r="R71" s="26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</row>
    <row r="72" spans="1:32" ht="13" x14ac:dyDescent="0.3">
      <c r="A72"/>
      <c r="B72"/>
      <c r="C72"/>
      <c r="D72" s="25">
        <f t="shared" si="6"/>
        <v>61</v>
      </c>
      <c r="E72" s="14" t="s">
        <v>53</v>
      </c>
      <c r="F72" s="1" t="s">
        <v>54</v>
      </c>
      <c r="G72" s="7">
        <v>35.880000000000003</v>
      </c>
      <c r="H72" s="6">
        <f>+G72*L72</f>
        <v>13807.263058680001</v>
      </c>
      <c r="I72" s="6">
        <f>+[63]Main!$K$5-[63]Main!$K$6</f>
        <v>9202</v>
      </c>
      <c r="J72" s="6">
        <f>H72-I72</f>
        <v>4605.2630586800005</v>
      </c>
      <c r="K72" s="3" t="s">
        <v>1279</v>
      </c>
      <c r="L72" s="6">
        <f>+[63]Main!$K$3</f>
        <v>384.81781100000001</v>
      </c>
      <c r="M72" s="9">
        <v>45631</v>
      </c>
      <c r="AF72" s="1" t="s">
        <v>609</v>
      </c>
    </row>
    <row r="73" spans="1:32" x14ac:dyDescent="0.25">
      <c r="D73">
        <f t="shared" si="6"/>
        <v>62</v>
      </c>
      <c r="E73" s="5" t="s">
        <v>101</v>
      </c>
      <c r="F73" s="1" t="s">
        <v>102</v>
      </c>
      <c r="G73" s="3">
        <v>49.82</v>
      </c>
      <c r="H73" s="6">
        <f>+G73*L73</f>
        <v>7284.2365536200004</v>
      </c>
      <c r="I73" s="6">
        <f>+[64]Main!$L$5-[64]Main!$L$6</f>
        <v>309.9079999999999</v>
      </c>
      <c r="J73" s="6">
        <f>+H73-I73</f>
        <v>6974.3285536200001</v>
      </c>
      <c r="K73" s="9" t="s">
        <v>1073</v>
      </c>
      <c r="L73" s="6">
        <f>+[64]Main!$L$3</f>
        <v>146.21109100000001</v>
      </c>
      <c r="M73" s="9">
        <v>45539</v>
      </c>
      <c r="AE73" s="1">
        <v>1989</v>
      </c>
    </row>
    <row r="74" spans="1:32" x14ac:dyDescent="0.25">
      <c r="D74" s="1">
        <f t="shared" si="6"/>
        <v>63</v>
      </c>
      <c r="E74" s="5" t="s">
        <v>296</v>
      </c>
      <c r="F74" t="s">
        <v>297</v>
      </c>
      <c r="G74" s="22">
        <v>1992</v>
      </c>
      <c r="H74" s="6">
        <f>+G74*L74/100*GBP</f>
        <v>5742.3752022000008</v>
      </c>
      <c r="I74" s="6">
        <f>+[65]Main!$K$5-[65]Main!$K$6</f>
        <v>-1276</v>
      </c>
      <c r="J74" s="6">
        <f t="shared" ref="J74:J87" si="9">+H74-I74</f>
        <v>7018.3752022000008</v>
      </c>
      <c r="K74" s="3" t="s">
        <v>1073</v>
      </c>
      <c r="L74" s="6">
        <f>+[65]Main!$K$3</f>
        <v>221.74757500000001</v>
      </c>
      <c r="M74" s="9">
        <v>45541</v>
      </c>
    </row>
    <row r="75" spans="1:32" x14ac:dyDescent="0.25">
      <c r="D75" s="1">
        <f t="shared" si="6"/>
        <v>64</v>
      </c>
      <c r="E75" s="5" t="s">
        <v>276</v>
      </c>
      <c r="F75" t="s">
        <v>277</v>
      </c>
      <c r="G75" s="3">
        <v>2587.5</v>
      </c>
      <c r="H75" s="6">
        <f>+G75*L75/JPY</f>
        <v>9510.5627333907069</v>
      </c>
      <c r="I75" s="6">
        <f>([66]Main!$L$5-[66]Main!$L$6)/JPY</f>
        <v>2512.9707401032701</v>
      </c>
      <c r="J75" s="6">
        <f>+H75-I75</f>
        <v>6997.5919932874367</v>
      </c>
      <c r="K75" s="3" t="s">
        <v>1073</v>
      </c>
      <c r="L75" s="6">
        <f>+[66]Main!$L$3</f>
        <v>533.87796600000001</v>
      </c>
      <c r="M75" s="9">
        <v>45567</v>
      </c>
    </row>
    <row r="76" spans="1:32" x14ac:dyDescent="0.25">
      <c r="A76" t="s">
        <v>334</v>
      </c>
      <c r="B76"/>
      <c r="C76"/>
      <c r="D76" s="1">
        <f t="shared" si="6"/>
        <v>65</v>
      </c>
      <c r="E76" s="5" t="s">
        <v>131</v>
      </c>
      <c r="F76" s="1" t="s">
        <v>132</v>
      </c>
      <c r="G76" s="3">
        <v>25.49</v>
      </c>
      <c r="H76" s="6">
        <f t="shared" ref="H76:H81" si="10">+G76*L76</f>
        <v>3477.2290048199993</v>
      </c>
      <c r="I76" s="6">
        <f>+[67]Main!$N$5-[67]Main!$N$6</f>
        <v>-3514.8</v>
      </c>
      <c r="J76" s="6">
        <f>+H76-I76</f>
        <v>6992.0290048199995</v>
      </c>
      <c r="K76" s="3" t="s">
        <v>1073</v>
      </c>
      <c r="L76" s="6">
        <f>+[67]Main!$N$3</f>
        <v>136.41541799999999</v>
      </c>
      <c r="M76" s="9">
        <v>45566</v>
      </c>
    </row>
    <row r="77" spans="1:32" s="34" customFormat="1" ht="13" x14ac:dyDescent="0.3">
      <c r="A77" s="34" t="s">
        <v>334</v>
      </c>
      <c r="D77" s="34">
        <f t="shared" si="6"/>
        <v>66</v>
      </c>
      <c r="E77" s="59" t="s">
        <v>129</v>
      </c>
      <c r="F77" s="34" t="s">
        <v>130</v>
      </c>
      <c r="G77" s="60">
        <v>84.24</v>
      </c>
      <c r="H77" s="36">
        <f t="shared" si="10"/>
        <v>8901.3817620000009</v>
      </c>
      <c r="I77" s="36">
        <f>+[68]Main!$L$5-[68]Main!$L$6</f>
        <v>1024.6570000000002</v>
      </c>
      <c r="J77" s="36">
        <f>+H77-I77</f>
        <v>7876.7247620000007</v>
      </c>
      <c r="K77" s="60" t="s">
        <v>1073</v>
      </c>
      <c r="L77" s="36">
        <f>+[68]Main!$L$3</f>
        <v>105.66692500000001</v>
      </c>
      <c r="M77" s="61">
        <v>45545</v>
      </c>
      <c r="N77" s="60"/>
      <c r="O77" s="60"/>
      <c r="P77" s="60"/>
      <c r="Q77" s="60"/>
      <c r="R77" s="60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2" x14ac:dyDescent="0.25">
      <c r="D78" s="1">
        <f t="shared" si="6"/>
        <v>67</v>
      </c>
      <c r="E78" s="5" t="s">
        <v>686</v>
      </c>
      <c r="F78" t="s">
        <v>687</v>
      </c>
      <c r="G78" s="7">
        <v>56.68</v>
      </c>
      <c r="H78" s="6">
        <f t="shared" si="10"/>
        <v>6668.9448810399999</v>
      </c>
      <c r="I78" s="6">
        <f>+[69]Main!$K$5-[69]Main!$K$6</f>
        <v>707.18499999999995</v>
      </c>
      <c r="J78" s="6">
        <f>+H78-I78</f>
        <v>5961.7598810399995</v>
      </c>
      <c r="K78" s="3" t="s">
        <v>1073</v>
      </c>
      <c r="L78" s="6">
        <f>+[69]Main!$K$3</f>
        <v>117.659578</v>
      </c>
      <c r="M78" s="9">
        <v>45570</v>
      </c>
    </row>
    <row r="79" spans="1:32" x14ac:dyDescent="0.25">
      <c r="D79" s="1">
        <f t="shared" si="6"/>
        <v>68</v>
      </c>
      <c r="E79" s="5" t="s">
        <v>122</v>
      </c>
      <c r="F79" s="1" t="s">
        <v>123</v>
      </c>
      <c r="G79" s="3">
        <v>25.59</v>
      </c>
      <c r="H79" s="6">
        <f t="shared" si="10"/>
        <v>7299.5916427500006</v>
      </c>
      <c r="I79" s="6">
        <f>+[70]Main!$M$5-[70]Main!$M$6</f>
        <v>1434.3040000000001</v>
      </c>
      <c r="J79" s="6">
        <f t="shared" si="9"/>
        <v>5865.2876427500005</v>
      </c>
      <c r="K79" s="3" t="s">
        <v>1073</v>
      </c>
      <c r="L79" s="6">
        <f>+[70]Main!$M$3</f>
        <v>285.25172500000002</v>
      </c>
      <c r="M79" s="9">
        <v>45540</v>
      </c>
    </row>
    <row r="80" spans="1:32" x14ac:dyDescent="0.25">
      <c r="D80" s="1">
        <f t="shared" si="6"/>
        <v>69</v>
      </c>
      <c r="E80" s="5" t="s">
        <v>698</v>
      </c>
      <c r="F80" t="s">
        <v>699</v>
      </c>
      <c r="G80" s="54">
        <v>25</v>
      </c>
      <c r="H80" s="30">
        <f>+G80*L80</f>
        <v>4689.6500000000005</v>
      </c>
      <c r="I80" s="30">
        <f>+[71]Main!$N$5-[71]Main!$N$6</f>
        <v>-1130.3990000000001</v>
      </c>
      <c r="J80" s="30">
        <f t="shared" ref="J80:J86" si="11">+H80-I80</f>
        <v>5820.0490000000009</v>
      </c>
      <c r="K80" s="28" t="s">
        <v>1073</v>
      </c>
      <c r="L80" s="30">
        <f>+[71]Main!$N$3</f>
        <v>187.58600000000001</v>
      </c>
      <c r="M80" s="37">
        <v>45579</v>
      </c>
    </row>
    <row r="81" spans="1:32" x14ac:dyDescent="0.25">
      <c r="A81"/>
      <c r="B81"/>
      <c r="C81"/>
      <c r="D81" s="1">
        <f>+D80+1</f>
        <v>70</v>
      </c>
      <c r="E81" s="5" t="s">
        <v>152</v>
      </c>
      <c r="F81" s="1" t="s">
        <v>153</v>
      </c>
      <c r="G81" s="3">
        <v>86.43</v>
      </c>
      <c r="H81" s="6">
        <f t="shared" si="10"/>
        <v>5432.4712200000004</v>
      </c>
      <c r="I81" s="6">
        <f>+[72]Main!$K$5-[72]Main!$K$6</f>
        <v>481.55700000000002</v>
      </c>
      <c r="J81" s="6">
        <f t="shared" si="11"/>
        <v>4950.9142200000006</v>
      </c>
      <c r="K81" s="3" t="s">
        <v>1073</v>
      </c>
      <c r="L81" s="6">
        <f>+[72]Main!$K$3</f>
        <v>62.853999999999999</v>
      </c>
      <c r="M81" s="9">
        <v>45549</v>
      </c>
    </row>
    <row r="82" spans="1:32" x14ac:dyDescent="0.25">
      <c r="A82"/>
      <c r="B82"/>
      <c r="C82"/>
      <c r="D82" s="1">
        <f t="shared" si="6"/>
        <v>71</v>
      </c>
      <c r="E82" s="5" t="s">
        <v>681</v>
      </c>
      <c r="F82" t="s">
        <v>998</v>
      </c>
      <c r="G82" s="3">
        <v>35.46</v>
      </c>
      <c r="H82" s="6">
        <f>+G82*L82/DKK</f>
        <v>4983.0922488309479</v>
      </c>
      <c r="I82" s="6">
        <f>([73]Main!$K$5-[73]Main!$K$6)/DKK</f>
        <v>356.95054555760237</v>
      </c>
      <c r="J82" s="6">
        <f t="shared" si="11"/>
        <v>4626.1417032733452</v>
      </c>
      <c r="K82" s="3" t="s">
        <v>1073</v>
      </c>
      <c r="L82" s="6">
        <f>+[73]Main!$K$3</f>
        <v>991.7</v>
      </c>
      <c r="M82" s="9">
        <v>45581</v>
      </c>
    </row>
    <row r="83" spans="1:32" x14ac:dyDescent="0.25">
      <c r="A83" s="1" t="s">
        <v>334</v>
      </c>
      <c r="D83" s="1">
        <f t="shared" si="6"/>
        <v>72</v>
      </c>
      <c r="E83" s="5" t="s">
        <v>805</v>
      </c>
      <c r="F83" t="s">
        <v>806</v>
      </c>
      <c r="G83" s="3">
        <v>19.79</v>
      </c>
      <c r="H83" s="6">
        <f>+G83*L83</f>
        <v>4789.1799999999994</v>
      </c>
      <c r="I83" s="6">
        <f>+[74]Main!$L$5-[74]Main!$L$6</f>
        <v>-43</v>
      </c>
      <c r="J83" s="6">
        <f t="shared" si="11"/>
        <v>4832.1799999999994</v>
      </c>
      <c r="K83" s="3" t="s">
        <v>1073</v>
      </c>
      <c r="L83" s="6">
        <f>+[74]Main!$L$3</f>
        <v>242</v>
      </c>
      <c r="M83" s="9">
        <v>45566</v>
      </c>
    </row>
    <row r="84" spans="1:32" x14ac:dyDescent="0.25">
      <c r="A84"/>
      <c r="B84"/>
      <c r="C84"/>
      <c r="D84" s="1">
        <f t="shared" si="6"/>
        <v>73</v>
      </c>
      <c r="E84" s="5" t="s">
        <v>198</v>
      </c>
      <c r="F84" s="1" t="s">
        <v>199</v>
      </c>
      <c r="G84" s="7">
        <v>184</v>
      </c>
      <c r="H84" s="6">
        <f>+G84*L84</f>
        <v>5291.9408320000002</v>
      </c>
      <c r="I84" s="6">
        <f>+[75]Main!$K$5-[75]Main!$K$6</f>
        <v>694.2120000000001</v>
      </c>
      <c r="J84" s="6">
        <f>+H84-I84</f>
        <v>4597.7288319999998</v>
      </c>
      <c r="K84" s="3" t="s">
        <v>1279</v>
      </c>
      <c r="L84" s="6">
        <f>+[75]Main!$K$3</f>
        <v>28.760548</v>
      </c>
      <c r="M84" s="9">
        <v>45631</v>
      </c>
    </row>
    <row r="85" spans="1:32" x14ac:dyDescent="0.25">
      <c r="A85" t="s">
        <v>334</v>
      </c>
      <c r="B85"/>
      <c r="C85"/>
      <c r="D85" s="1">
        <f t="shared" si="6"/>
        <v>74</v>
      </c>
      <c r="E85" s="5" t="s">
        <v>87</v>
      </c>
      <c r="F85" s="1" t="s">
        <v>88</v>
      </c>
      <c r="G85" s="7">
        <v>52</v>
      </c>
      <c r="H85" s="6">
        <f>+G85*L85</f>
        <v>4916.1971560000002</v>
      </c>
      <c r="I85" s="6">
        <f>+[76]Main!$L$5-[76]Main!$L$6</f>
        <v>436.94799999999998</v>
      </c>
      <c r="J85" s="6">
        <f t="shared" si="11"/>
        <v>4479.2491559999999</v>
      </c>
      <c r="K85" s="3" t="s">
        <v>1073</v>
      </c>
      <c r="L85" s="6">
        <f>+[76]Main!$L$3</f>
        <v>94.542253000000002</v>
      </c>
      <c r="M85" s="9">
        <v>45583</v>
      </c>
    </row>
    <row r="86" spans="1:32" x14ac:dyDescent="0.25">
      <c r="A86"/>
      <c r="B86"/>
      <c r="C86"/>
      <c r="D86" s="1">
        <f t="shared" si="6"/>
        <v>75</v>
      </c>
      <c r="E86" s="5" t="s">
        <v>679</v>
      </c>
      <c r="F86" t="s">
        <v>680</v>
      </c>
      <c r="G86" s="7">
        <v>245</v>
      </c>
      <c r="H86" s="6">
        <f>+G86*L86</f>
        <v>5319.6058649999995</v>
      </c>
      <c r="I86" s="6">
        <f>+[77]Main!$M$5-[77]Main!$M$6</f>
        <v>946.1869999999999</v>
      </c>
      <c r="J86" s="6">
        <f t="shared" si="11"/>
        <v>4373.4188649999996</v>
      </c>
      <c r="K86" s="3" t="s">
        <v>1073</v>
      </c>
      <c r="L86" s="6">
        <f>+[77]Main!$M$3</f>
        <v>21.712676999999999</v>
      </c>
      <c r="M86" s="9">
        <v>45556</v>
      </c>
    </row>
    <row r="87" spans="1:32" x14ac:dyDescent="0.25">
      <c r="A87" t="s">
        <v>334</v>
      </c>
      <c r="B87"/>
      <c r="C87"/>
      <c r="D87" s="1">
        <f t="shared" si="6"/>
        <v>76</v>
      </c>
      <c r="E87" s="5" t="s">
        <v>431</v>
      </c>
      <c r="F87" t="s">
        <v>432</v>
      </c>
      <c r="G87" s="7">
        <v>97</v>
      </c>
      <c r="H87" s="6">
        <f>+G87*L87</f>
        <v>4698.3024759999998</v>
      </c>
      <c r="I87" s="6">
        <f>+[78]Main!$L$5-[78]Main!$L$6</f>
        <v>206.86999999999998</v>
      </c>
      <c r="J87" s="6">
        <f t="shared" si="9"/>
        <v>4491.432476</v>
      </c>
      <c r="K87" s="3" t="s">
        <v>1073</v>
      </c>
      <c r="L87" s="6">
        <f>+[78]Main!$L$3</f>
        <v>48.436107999999997</v>
      </c>
      <c r="M87" s="9">
        <v>45540</v>
      </c>
    </row>
    <row r="88" spans="1:32" x14ac:dyDescent="0.25">
      <c r="A88" t="s">
        <v>334</v>
      </c>
      <c r="B88"/>
      <c r="C88"/>
      <c r="D88" s="1">
        <f t="shared" si="6"/>
        <v>77</v>
      </c>
      <c r="E88" s="5" t="s">
        <v>135</v>
      </c>
      <c r="F88" s="1" t="s">
        <v>136</v>
      </c>
      <c r="G88" s="3">
        <v>28.45</v>
      </c>
      <c r="H88" s="6">
        <f>+L88*G88</f>
        <v>4684.8139600499999</v>
      </c>
      <c r="I88" s="6">
        <f>+[79]Main!$L$5-[79]Main!$L$6</f>
        <v>673.06</v>
      </c>
      <c r="J88" s="6">
        <f>+H88-I88</f>
        <v>4011.7539600499999</v>
      </c>
      <c r="K88" s="3" t="s">
        <v>1073</v>
      </c>
      <c r="L88" s="6">
        <f>+[79]Main!$L$3</f>
        <v>164.668329</v>
      </c>
      <c r="M88" s="9">
        <v>45540</v>
      </c>
    </row>
    <row r="89" spans="1:32" ht="13" x14ac:dyDescent="0.3">
      <c r="D89" s="1">
        <f t="shared" si="6"/>
        <v>78</v>
      </c>
      <c r="E89" s="43" t="s">
        <v>336</v>
      </c>
      <c r="F89" s="25" t="s">
        <v>337</v>
      </c>
      <c r="G89" s="47">
        <v>85</v>
      </c>
      <c r="H89" s="27">
        <f>+G89*L89</f>
        <v>4569.2327150000001</v>
      </c>
      <c r="I89" s="27">
        <f>+[80]Main!$K$5-[80]Main!$K$6</f>
        <v>649.44200000000001</v>
      </c>
      <c r="J89" s="27">
        <f>+H89-I89</f>
        <v>3919.7907150000001</v>
      </c>
      <c r="K89" s="26" t="s">
        <v>1073</v>
      </c>
      <c r="L89" s="27">
        <f>+[80]Main!$K$3</f>
        <v>53.755679000000001</v>
      </c>
      <c r="M89" s="44">
        <v>45591</v>
      </c>
    </row>
    <row r="90" spans="1:32" x14ac:dyDescent="0.25">
      <c r="A90" s="1" t="s">
        <v>334</v>
      </c>
      <c r="D90" s="1">
        <f t="shared" si="6"/>
        <v>79</v>
      </c>
      <c r="E90" s="5" t="s">
        <v>506</v>
      </c>
      <c r="F90" t="s">
        <v>507</v>
      </c>
      <c r="G90" s="7">
        <v>24</v>
      </c>
      <c r="H90" s="6">
        <f>+G90*L90</f>
        <v>3715.7552880000003</v>
      </c>
      <c r="I90" s="6">
        <f>+[81]Main!$J$5-[81]Main!$J$6</f>
        <v>115.66200000000001</v>
      </c>
      <c r="J90" s="6">
        <f>+H90-I90</f>
        <v>3600.0932880000005</v>
      </c>
      <c r="K90" s="3" t="s">
        <v>1073</v>
      </c>
      <c r="L90" s="6">
        <f>+[81]Main!$J$3</f>
        <v>154.823137</v>
      </c>
      <c r="M90" s="9">
        <v>45580</v>
      </c>
    </row>
    <row r="91" spans="1:32" x14ac:dyDescent="0.25">
      <c r="D91" s="1">
        <f t="shared" ref="D91:D136" si="12">+D90+1</f>
        <v>80</v>
      </c>
      <c r="E91" s="5" t="s">
        <v>789</v>
      </c>
      <c r="F91" t="s">
        <v>1176</v>
      </c>
      <c r="G91" s="7">
        <v>44</v>
      </c>
      <c r="H91" s="6">
        <f>+G91*L91</f>
        <v>5153.3414680000005</v>
      </c>
      <c r="I91" s="6">
        <f>+[82]Main!$L$5-[82]Main!$L$6</f>
        <v>1590.0459999999998</v>
      </c>
      <c r="J91" s="6">
        <f>+H91-I91</f>
        <v>3563.2954680000007</v>
      </c>
      <c r="K91" s="3" t="s">
        <v>1073</v>
      </c>
      <c r="L91" s="6">
        <f>+[82]Main!$L$3</f>
        <v>117.121397</v>
      </c>
      <c r="M91" s="9">
        <v>45558</v>
      </c>
    </row>
    <row r="92" spans="1:32" x14ac:dyDescent="0.25">
      <c r="A92" t="s">
        <v>334</v>
      </c>
      <c r="B92"/>
      <c r="C92"/>
      <c r="D92" s="1">
        <f t="shared" si="12"/>
        <v>81</v>
      </c>
      <c r="E92" s="5" t="s">
        <v>133</v>
      </c>
      <c r="F92" s="1" t="s">
        <v>134</v>
      </c>
      <c r="G92" s="7">
        <v>26.99</v>
      </c>
      <c r="H92" s="6">
        <f>G92*L92</f>
        <v>3286.47319272</v>
      </c>
      <c r="I92" s="6">
        <f>+[83]Main!$L$5-[83]Main!$L$6</f>
        <v>-96.746999999999957</v>
      </c>
      <c r="J92" s="6">
        <f>+H92-I92</f>
        <v>3383.2201927199999</v>
      </c>
      <c r="K92" s="3" t="s">
        <v>1073</v>
      </c>
      <c r="L92" s="6">
        <f>[83]Main!$L$3</f>
        <v>121.766328</v>
      </c>
      <c r="M92" s="9">
        <v>45540</v>
      </c>
      <c r="AE92" s="1">
        <v>2009</v>
      </c>
      <c r="AF92" s="1" t="s">
        <v>996</v>
      </c>
    </row>
    <row r="93" spans="1:32" x14ac:dyDescent="0.25">
      <c r="A93"/>
      <c r="B93"/>
      <c r="C93"/>
      <c r="D93" s="1">
        <f t="shared" si="12"/>
        <v>82</v>
      </c>
      <c r="E93" s="5" t="s">
        <v>407</v>
      </c>
      <c r="F93" t="s">
        <v>408</v>
      </c>
      <c r="G93" s="19">
        <v>3.14</v>
      </c>
      <c r="H93" s="6">
        <f>+G93*L93/HKD</f>
        <v>7410.5214572128207</v>
      </c>
      <c r="I93" s="6">
        <f>([84]Main!$K$5-[84]Main!$K$6)/HKD</f>
        <v>3986.4565384615375</v>
      </c>
      <c r="J93" s="6">
        <f t="shared" ref="J93" si="13">H93-I93</f>
        <v>3424.0649187512831</v>
      </c>
      <c r="K93" s="3" t="s">
        <v>1073</v>
      </c>
      <c r="L93" s="6">
        <f>+[84]Main!$K$3</f>
        <v>18408.301708999999</v>
      </c>
      <c r="M93" s="9">
        <v>45539</v>
      </c>
    </row>
    <row r="94" spans="1:32" x14ac:dyDescent="0.25">
      <c r="A94" t="s">
        <v>334</v>
      </c>
      <c r="B94"/>
      <c r="C94"/>
      <c r="D94" s="1">
        <f t="shared" si="12"/>
        <v>83</v>
      </c>
      <c r="E94" s="5" t="s">
        <v>164</v>
      </c>
      <c r="F94" s="1" t="s">
        <v>165</v>
      </c>
      <c r="G94" s="7">
        <v>10.43</v>
      </c>
      <c r="H94" s="6">
        <f>+G94*L94</f>
        <v>3093.44341033</v>
      </c>
      <c r="I94" s="6">
        <f>+[85]Main!$M$5-[85]Main!$M$6</f>
        <v>-128.87700000000001</v>
      </c>
      <c r="J94" s="6">
        <f t="shared" ref="J94:J100" si="14">+H94-I94</f>
        <v>3222.32041033</v>
      </c>
      <c r="K94" s="3" t="s">
        <v>1073</v>
      </c>
      <c r="L94" s="6">
        <f>+[85]Main!$M$3</f>
        <v>296.59093100000001</v>
      </c>
      <c r="M94" s="9">
        <v>45580</v>
      </c>
    </row>
    <row r="95" spans="1:32" x14ac:dyDescent="0.25">
      <c r="A95"/>
      <c r="B95"/>
      <c r="C95"/>
      <c r="D95" s="1">
        <f t="shared" si="12"/>
        <v>84</v>
      </c>
      <c r="E95" s="5" t="s">
        <v>350</v>
      </c>
      <c r="F95" t="s">
        <v>691</v>
      </c>
      <c r="G95" s="3">
        <v>12.01</v>
      </c>
      <c r="H95" s="6">
        <f>+G95*L95</f>
        <v>8881.6571062399998</v>
      </c>
      <c r="I95" s="6">
        <f>+[86]Main!$K$5-[86]Main!$K$6</f>
        <v>5617.777</v>
      </c>
      <c r="J95" s="6">
        <f t="shared" si="14"/>
        <v>3263.8801062399998</v>
      </c>
      <c r="K95" s="3" t="s">
        <v>1073</v>
      </c>
      <c r="L95" s="6">
        <f>+[86]Main!$K$3</f>
        <v>739.52182400000004</v>
      </c>
      <c r="M95" s="9">
        <v>45540</v>
      </c>
    </row>
    <row r="96" spans="1:32" x14ac:dyDescent="0.25">
      <c r="A96" t="s">
        <v>334</v>
      </c>
      <c r="B96"/>
      <c r="C96"/>
      <c r="D96" s="1">
        <f t="shared" si="12"/>
        <v>85</v>
      </c>
      <c r="E96" s="5" t="s">
        <v>692</v>
      </c>
      <c r="F96" t="s">
        <v>693</v>
      </c>
      <c r="G96" s="7">
        <v>56</v>
      </c>
      <c r="H96" s="6">
        <f>+G96*L96</f>
        <v>3908.7522880000001</v>
      </c>
      <c r="I96" s="6">
        <f>+[87]Main!$L$5-[87]Main!$L$6</f>
        <v>751.94799999999998</v>
      </c>
      <c r="J96" s="6">
        <f>+H96-I96</f>
        <v>3156.8042880000003</v>
      </c>
      <c r="K96" s="3" t="s">
        <v>1279</v>
      </c>
      <c r="L96" s="6">
        <f>+[87]Main!$L$3</f>
        <v>69.799148000000002</v>
      </c>
      <c r="M96" s="9">
        <v>45684</v>
      </c>
    </row>
    <row r="97" spans="1:31" x14ac:dyDescent="0.25">
      <c r="A97" t="s">
        <v>334</v>
      </c>
      <c r="B97"/>
      <c r="C97"/>
      <c r="D97" s="1">
        <f t="shared" si="12"/>
        <v>86</v>
      </c>
      <c r="E97" s="5" t="s">
        <v>684</v>
      </c>
      <c r="F97" t="s">
        <v>685</v>
      </c>
      <c r="G97" s="3">
        <v>25.25</v>
      </c>
      <c r="H97" s="6">
        <f>G97*L97</f>
        <v>4272.5860572500005</v>
      </c>
      <c r="I97" s="6">
        <f>[88]Main!$K$5-[88]Main!$K$6</f>
        <v>1347.038</v>
      </c>
      <c r="J97" s="6">
        <f t="shared" si="14"/>
        <v>2925.5480572500005</v>
      </c>
      <c r="K97" s="3" t="s">
        <v>1073</v>
      </c>
      <c r="L97" s="6">
        <f>[88]Main!$K$3</f>
        <v>169.21132900000001</v>
      </c>
      <c r="M97" s="9">
        <v>45545</v>
      </c>
    </row>
    <row r="98" spans="1:31" x14ac:dyDescent="0.25">
      <c r="A98" s="1" t="s">
        <v>334</v>
      </c>
      <c r="D98" s="1">
        <f t="shared" si="12"/>
        <v>87</v>
      </c>
      <c r="E98" s="5" t="s">
        <v>148</v>
      </c>
      <c r="F98" s="1" t="s">
        <v>149</v>
      </c>
      <c r="G98" s="3">
        <v>53.29</v>
      </c>
      <c r="H98" s="6">
        <v>3560</v>
      </c>
      <c r="I98" s="6">
        <f>+[89]Main!$L$5-[89]Main!$L$6</f>
        <v>568.66099999999994</v>
      </c>
      <c r="J98" s="6">
        <f t="shared" si="14"/>
        <v>2991.3389999999999</v>
      </c>
      <c r="K98" s="3" t="s">
        <v>1043</v>
      </c>
      <c r="L98" s="6">
        <f>[89]Main!$L$3</f>
        <v>83.133341000000001</v>
      </c>
      <c r="M98" s="9">
        <v>45571</v>
      </c>
    </row>
    <row r="99" spans="1:31" x14ac:dyDescent="0.25">
      <c r="A99" t="s">
        <v>334</v>
      </c>
      <c r="B99"/>
      <c r="C99"/>
      <c r="D99" s="1">
        <f t="shared" si="12"/>
        <v>88</v>
      </c>
      <c r="E99" s="5" t="s">
        <v>212</v>
      </c>
      <c r="F99" s="1" t="s">
        <v>213</v>
      </c>
      <c r="G99" s="7">
        <v>3.52</v>
      </c>
      <c r="H99" s="6">
        <f t="shared" ref="H99:H103" si="15">+G99*L99</f>
        <v>2451.7976313599997</v>
      </c>
      <c r="I99" s="6">
        <f>+[90]Main!$J$5-[90]Main!$J$6</f>
        <v>-474.93899999999996</v>
      </c>
      <c r="J99" s="6">
        <f t="shared" si="14"/>
        <v>2926.7366313599996</v>
      </c>
      <c r="K99" s="3" t="s">
        <v>1073</v>
      </c>
      <c r="L99" s="6">
        <f>+[90]Main!$J$3</f>
        <v>696.53341799999998</v>
      </c>
      <c r="M99" s="9">
        <v>45572</v>
      </c>
    </row>
    <row r="100" spans="1:31" x14ac:dyDescent="0.25">
      <c r="A100" s="1" t="s">
        <v>334</v>
      </c>
      <c r="D100" s="1">
        <f t="shared" si="12"/>
        <v>89</v>
      </c>
      <c r="E100" s="5" t="s">
        <v>214</v>
      </c>
      <c r="F100" s="1" t="s">
        <v>215</v>
      </c>
      <c r="G100" s="3">
        <v>9.35</v>
      </c>
      <c r="H100" s="6">
        <f t="shared" si="15"/>
        <v>2837.8547031999997</v>
      </c>
      <c r="I100" s="6">
        <f>+[91]Main!$I$5-[91]Main!$I$6</f>
        <v>417.97200000000004</v>
      </c>
      <c r="J100" s="6">
        <f t="shared" si="14"/>
        <v>2419.8827031999995</v>
      </c>
      <c r="K100" s="3" t="s">
        <v>1073</v>
      </c>
      <c r="L100" s="6">
        <f>+[91]Main!$I$3</f>
        <v>303.51387199999999</v>
      </c>
      <c r="M100" s="9">
        <v>45525</v>
      </c>
    </row>
    <row r="101" spans="1:31" x14ac:dyDescent="0.25">
      <c r="A101"/>
      <c r="B101"/>
      <c r="C101"/>
      <c r="D101" s="1">
        <f>+D63+1</f>
        <v>91</v>
      </c>
      <c r="E101" s="5" t="s">
        <v>1293</v>
      </c>
      <c r="F101" t="s">
        <v>1294</v>
      </c>
      <c r="G101" s="7">
        <v>35</v>
      </c>
      <c r="H101" s="6">
        <f t="shared" si="15"/>
        <v>2801.12</v>
      </c>
      <c r="I101" s="6">
        <f>+[92]Main!$K$5-[92]Main!$K$6</f>
        <v>140.42099999999999</v>
      </c>
      <c r="J101" s="6">
        <f>+H101-I101</f>
        <v>2660.6990000000001</v>
      </c>
      <c r="K101" s="3" t="s">
        <v>1073</v>
      </c>
      <c r="L101" s="6">
        <f>+[92]Main!$K$3</f>
        <v>80.031999999999996</v>
      </c>
      <c r="M101" s="9">
        <v>45572</v>
      </c>
    </row>
    <row r="102" spans="1:31" x14ac:dyDescent="0.25">
      <c r="A102" t="s">
        <v>334</v>
      </c>
      <c r="B102"/>
      <c r="C102"/>
      <c r="D102" s="1">
        <f t="shared" si="12"/>
        <v>92</v>
      </c>
      <c r="E102" s="5" t="s">
        <v>204</v>
      </c>
      <c r="F102" s="1" t="s">
        <v>205</v>
      </c>
      <c r="G102" s="3">
        <v>46.29</v>
      </c>
      <c r="H102" s="6">
        <f t="shared" si="15"/>
        <v>2253.2038003799998</v>
      </c>
      <c r="I102" s="6">
        <f>+[93]Main!$L$5-[93]Main!$L$6</f>
        <v>-356.94799999999998</v>
      </c>
      <c r="J102" s="6">
        <f>+H102-I102</f>
        <v>2610.1518003799997</v>
      </c>
      <c r="K102" s="3" t="s">
        <v>1073</v>
      </c>
      <c r="L102" s="6">
        <f>+[93]Main!$L$3</f>
        <v>48.675821999999997</v>
      </c>
      <c r="M102" s="9">
        <v>45576</v>
      </c>
    </row>
    <row r="103" spans="1:31" x14ac:dyDescent="0.25">
      <c r="A103" t="s">
        <v>334</v>
      </c>
      <c r="B103"/>
      <c r="C103"/>
      <c r="D103" s="1">
        <f t="shared" si="12"/>
        <v>93</v>
      </c>
      <c r="E103" s="5" t="s">
        <v>849</v>
      </c>
      <c r="F103" t="s">
        <v>850</v>
      </c>
      <c r="G103" s="3">
        <v>29.07</v>
      </c>
      <c r="H103" s="6">
        <f t="shared" si="15"/>
        <v>2725.96041216</v>
      </c>
      <c r="I103" s="6">
        <f>+[94]Main!$J$5-[94]Main!$J$6</f>
        <v>511.75100000000003</v>
      </c>
      <c r="J103" s="6">
        <f>+H103-I103</f>
        <v>2214.2094121599998</v>
      </c>
      <c r="K103" s="3" t="s">
        <v>1073</v>
      </c>
      <c r="L103" s="6">
        <f>+[94]Main!$J$3</f>
        <v>93.772288000000003</v>
      </c>
      <c r="M103" s="9">
        <v>45554</v>
      </c>
    </row>
    <row r="104" spans="1:31" x14ac:dyDescent="0.25">
      <c r="A104"/>
      <c r="B104"/>
      <c r="C104"/>
      <c r="D104" s="1">
        <f t="shared" si="12"/>
        <v>94</v>
      </c>
      <c r="E104" s="5" t="s">
        <v>120</v>
      </c>
      <c r="F104" s="1" t="s">
        <v>121</v>
      </c>
      <c r="G104" s="7">
        <v>47</v>
      </c>
      <c r="H104" s="6">
        <f>G104*L104</f>
        <v>4002.9034260000003</v>
      </c>
      <c r="I104" s="6">
        <f>[95]Main!$L$5-[95]Main!$L$6</f>
        <v>2012.8349999999998</v>
      </c>
      <c r="J104" s="6">
        <f>+H104-I104</f>
        <v>1990.0684260000005</v>
      </c>
      <c r="K104" s="3" t="s">
        <v>1073</v>
      </c>
      <c r="L104" s="6">
        <f>[95]Main!$L$3</f>
        <v>85.168158000000005</v>
      </c>
      <c r="M104" s="9">
        <v>45565</v>
      </c>
    </row>
    <row r="105" spans="1:31" x14ac:dyDescent="0.25">
      <c r="A105" t="s">
        <v>334</v>
      </c>
      <c r="B105"/>
      <c r="C105"/>
      <c r="D105" s="1">
        <f t="shared" si="12"/>
        <v>95</v>
      </c>
      <c r="E105" s="5" t="s">
        <v>712</v>
      </c>
      <c r="F105" t="s">
        <v>713</v>
      </c>
      <c r="G105" s="7">
        <v>38</v>
      </c>
      <c r="H105" s="6">
        <f>+G105*L105</f>
        <v>2238.3742299999999</v>
      </c>
      <c r="I105" s="6">
        <f>+[96]Main!$L$5-[96]Main!$L$6</f>
        <v>595.44399999999996</v>
      </c>
      <c r="J105" s="6">
        <f>+H105-I105</f>
        <v>1642.9302299999999</v>
      </c>
      <c r="K105" s="3" t="s">
        <v>1073</v>
      </c>
      <c r="L105" s="6">
        <f>+[96]Main!$L$3</f>
        <v>58.904584999999997</v>
      </c>
      <c r="M105" s="9">
        <v>45553</v>
      </c>
    </row>
    <row r="106" spans="1:31" x14ac:dyDescent="0.25">
      <c r="A106" t="s">
        <v>334</v>
      </c>
      <c r="B106"/>
      <c r="C106"/>
      <c r="D106" s="1">
        <f t="shared" si="12"/>
        <v>96</v>
      </c>
      <c r="E106" s="5" t="s">
        <v>125</v>
      </c>
      <c r="F106" s="1" t="s">
        <v>126</v>
      </c>
      <c r="G106" s="3">
        <v>16.22</v>
      </c>
      <c r="H106" s="6">
        <f>+G106*L106</f>
        <v>2695.3422799999998</v>
      </c>
      <c r="I106" s="6">
        <f>+[97]Main!$K$5-[97]Main!$K$6</f>
        <v>501</v>
      </c>
      <c r="J106" s="6">
        <f t="shared" ref="J106:J119" si="16">+H106-I106</f>
        <v>2194.3422799999998</v>
      </c>
      <c r="K106" s="3" t="s">
        <v>1073</v>
      </c>
      <c r="L106" s="6">
        <f>+[97]Main!$K$3</f>
        <v>166.17400000000001</v>
      </c>
      <c r="M106" s="9">
        <v>45541</v>
      </c>
    </row>
    <row r="107" spans="1:31" x14ac:dyDescent="0.25">
      <c r="A107" t="s">
        <v>334</v>
      </c>
      <c r="B107"/>
      <c r="C107"/>
      <c r="D107" s="1">
        <f t="shared" si="12"/>
        <v>97</v>
      </c>
      <c r="E107" s="5" t="s">
        <v>112</v>
      </c>
      <c r="F107" s="1" t="s">
        <v>113</v>
      </c>
      <c r="G107" s="3">
        <v>19.670000000000002</v>
      </c>
      <c r="H107" s="6">
        <f>+G107*L107</f>
        <v>2445.2814395800001</v>
      </c>
      <c r="I107" s="6">
        <f>+[98]Main!$L$5-[98]Main!$L$6</f>
        <v>436.77100000000002</v>
      </c>
      <c r="J107" s="6">
        <f>+H107-I107</f>
        <v>2008.5104395800001</v>
      </c>
      <c r="K107" s="3" t="s">
        <v>1073</v>
      </c>
      <c r="L107" s="6">
        <f>+[98]Main!$L$3</f>
        <v>124.315274</v>
      </c>
      <c r="M107" s="9">
        <v>45562</v>
      </c>
    </row>
    <row r="108" spans="1:31" x14ac:dyDescent="0.25">
      <c r="A108" t="s">
        <v>334</v>
      </c>
      <c r="B108"/>
      <c r="C108"/>
      <c r="D108" s="1">
        <f t="shared" si="12"/>
        <v>98</v>
      </c>
      <c r="E108" s="5" t="s">
        <v>368</v>
      </c>
      <c r="F108" t="s">
        <v>369</v>
      </c>
      <c r="G108" s="42">
        <v>51800</v>
      </c>
      <c r="H108" s="6">
        <f>+G108*L108/KRW</f>
        <v>2777.1378925331474</v>
      </c>
      <c r="I108" s="6">
        <f>([99]Main!$L$5-[99]Main!$L$6)/KRW</f>
        <v>792.45638520586181</v>
      </c>
      <c r="J108" s="6">
        <f t="shared" si="16"/>
        <v>1984.6815073272855</v>
      </c>
      <c r="K108" s="3" t="s">
        <v>1073</v>
      </c>
      <c r="L108" s="6">
        <f>+[99]Main!$L$3</f>
        <v>76.826999999999998</v>
      </c>
      <c r="M108" s="9">
        <v>45542</v>
      </c>
    </row>
    <row r="109" spans="1:31" x14ac:dyDescent="0.25">
      <c r="D109" s="1">
        <f t="shared" si="12"/>
        <v>99</v>
      </c>
      <c r="E109" s="5" t="s">
        <v>1298</v>
      </c>
      <c r="F109" t="s">
        <v>1299</v>
      </c>
      <c r="G109" s="7">
        <v>10</v>
      </c>
      <c r="H109" s="6">
        <f>+G109*[100]Main!$K$3</f>
        <v>1589.8400000000001</v>
      </c>
      <c r="I109" s="6">
        <f>+[100]Main!$K$5-[100]Main!$K$6</f>
        <v>371.63900000000001</v>
      </c>
      <c r="J109" s="6">
        <f>+H109-I109</f>
        <v>1218.201</v>
      </c>
      <c r="K109" s="3" t="s">
        <v>1073</v>
      </c>
      <c r="L109" s="6">
        <f>+[100]Main!$K$3</f>
        <v>158.98400000000001</v>
      </c>
      <c r="M109" s="9">
        <v>45600</v>
      </c>
    </row>
    <row r="110" spans="1:31" x14ac:dyDescent="0.25">
      <c r="D110" s="1">
        <f t="shared" si="12"/>
        <v>100</v>
      </c>
      <c r="E110" s="40" t="s">
        <v>1164</v>
      </c>
      <c r="F110" t="s">
        <v>1165</v>
      </c>
      <c r="G110" s="3">
        <v>49.43</v>
      </c>
      <c r="H110" s="6">
        <f>+G110*L110</f>
        <v>1921.42289142</v>
      </c>
      <c r="I110" s="6">
        <f>+[101]Main!$J$5-[101]Main!$J$6</f>
        <v>294.60500000000002</v>
      </c>
      <c r="J110" s="6">
        <f t="shared" si="16"/>
        <v>1626.81789142</v>
      </c>
      <c r="K110" s="3" t="s">
        <v>1073</v>
      </c>
      <c r="L110" s="6">
        <f>+[101]Main!$J$3</f>
        <v>38.871594000000002</v>
      </c>
      <c r="M110" s="9">
        <v>45546</v>
      </c>
      <c r="AE110" s="1">
        <v>1999</v>
      </c>
    </row>
    <row r="111" spans="1:31" x14ac:dyDescent="0.25">
      <c r="A111" t="s">
        <v>334</v>
      </c>
      <c r="B111"/>
      <c r="C111"/>
      <c r="D111" s="1">
        <f t="shared" si="12"/>
        <v>101</v>
      </c>
      <c r="E111" s="5" t="s">
        <v>847</v>
      </c>
      <c r="F111" t="s">
        <v>848</v>
      </c>
      <c r="G111" s="7">
        <v>41</v>
      </c>
      <c r="H111" s="6">
        <f>+G111*L111</f>
        <v>2151.7628199999999</v>
      </c>
      <c r="I111" s="6">
        <f>+[102]Main!$L$5-[102]Main!$L$6</f>
        <v>658</v>
      </c>
      <c r="J111" s="6">
        <f>+H111-I111</f>
        <v>1493.7628199999999</v>
      </c>
      <c r="K111" s="3" t="s">
        <v>1279</v>
      </c>
      <c r="L111" s="6">
        <f>+[102]Main!$L$3</f>
        <v>52.482019999999999</v>
      </c>
      <c r="M111" s="9">
        <v>45628</v>
      </c>
      <c r="AE111" s="1">
        <v>2017</v>
      </c>
    </row>
    <row r="112" spans="1:31" s="25" customFormat="1" ht="13" x14ac:dyDescent="0.3">
      <c r="A112" s="25" t="s">
        <v>334</v>
      </c>
      <c r="D112" s="1">
        <f t="shared" si="12"/>
        <v>102</v>
      </c>
      <c r="E112" s="43" t="s">
        <v>663</v>
      </c>
      <c r="F112" s="25" t="s">
        <v>664</v>
      </c>
      <c r="G112" s="54">
        <v>42</v>
      </c>
      <c r="H112" s="30">
        <f>+G112*L112</f>
        <v>2402.253854</v>
      </c>
      <c r="I112" s="30">
        <f>+[103]Main!$N$5-[103]Main!$N$6</f>
        <v>927.11899999999991</v>
      </c>
      <c r="J112" s="30">
        <f>+H112-I112</f>
        <v>1475.1348540000001</v>
      </c>
      <c r="K112" s="28" t="s">
        <v>1073</v>
      </c>
      <c r="L112" s="30">
        <f>+[103]Main!$N$3</f>
        <v>57.196520333333332</v>
      </c>
      <c r="M112" s="37">
        <v>45572</v>
      </c>
      <c r="N112" s="26"/>
      <c r="O112" s="26"/>
      <c r="P112" s="26"/>
      <c r="Q112" s="26"/>
      <c r="R112" s="26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</row>
    <row r="113" spans="1:32" x14ac:dyDescent="0.25">
      <c r="A113" t="s">
        <v>334</v>
      </c>
      <c r="B113"/>
      <c r="C113"/>
      <c r="D113" s="1">
        <f t="shared" si="12"/>
        <v>103</v>
      </c>
      <c r="E113" s="5" t="s">
        <v>293</v>
      </c>
      <c r="F113" s="1" t="s">
        <v>185</v>
      </c>
      <c r="G113" s="7">
        <v>7</v>
      </c>
      <c r="H113" s="6">
        <f>+G113*L113</f>
        <v>1444.6396159999999</v>
      </c>
      <c r="I113" s="6">
        <f>+[104]Main!$M$5-[104]Main!$M$6</f>
        <v>28.069999999999993</v>
      </c>
      <c r="J113" s="6">
        <f>+H113-I113</f>
        <v>1416.569616</v>
      </c>
      <c r="K113" s="3" t="s">
        <v>1043</v>
      </c>
      <c r="L113" s="6">
        <f>+[104]Main!$M$3</f>
        <v>206.37708799999999</v>
      </c>
      <c r="M113" s="9">
        <v>45567</v>
      </c>
    </row>
    <row r="114" spans="1:32" x14ac:dyDescent="0.25">
      <c r="A114" t="s">
        <v>334</v>
      </c>
      <c r="B114"/>
      <c r="C114"/>
      <c r="D114" s="1">
        <f t="shared" si="12"/>
        <v>104</v>
      </c>
      <c r="E114" s="5" t="s">
        <v>206</v>
      </c>
      <c r="F114" s="1" t="s">
        <v>207</v>
      </c>
      <c r="G114" s="7">
        <v>6.14</v>
      </c>
      <c r="H114" s="6">
        <f>G114*L114</f>
        <v>1759.9747146199998</v>
      </c>
      <c r="I114" s="6">
        <f>[105]Main!$K$5-[105]Main!$K$6</f>
        <v>398.91800000000001</v>
      </c>
      <c r="J114" s="6">
        <f>H114-I114</f>
        <v>1361.0567146199996</v>
      </c>
      <c r="K114" s="3" t="s">
        <v>1073</v>
      </c>
      <c r="L114" s="6">
        <f>[105]Main!$K$3</f>
        <v>286.64083299999999</v>
      </c>
      <c r="M114" s="9">
        <v>45572</v>
      </c>
    </row>
    <row r="115" spans="1:32" x14ac:dyDescent="0.25">
      <c r="A115" t="s">
        <v>334</v>
      </c>
      <c r="B115"/>
      <c r="C115"/>
      <c r="D115" s="1">
        <f t="shared" si="12"/>
        <v>105</v>
      </c>
      <c r="E115" s="5" t="s">
        <v>97</v>
      </c>
      <c r="F115" s="1" t="s">
        <v>98</v>
      </c>
      <c r="G115" s="3">
        <v>17.149999999999999</v>
      </c>
      <c r="H115" s="6">
        <f>+G115*L115</f>
        <v>1559.8953999999999</v>
      </c>
      <c r="I115" s="6">
        <f>+[106]Main!$K$5-[106]Main!$K$6</f>
        <v>278.82499999999999</v>
      </c>
      <c r="J115" s="6">
        <f>+H115-I115</f>
        <v>1281.0703999999998</v>
      </c>
      <c r="K115" s="3" t="s">
        <v>1073</v>
      </c>
      <c r="L115" s="6">
        <f>+[106]Main!$K$3</f>
        <v>90.956000000000003</v>
      </c>
      <c r="M115" s="9">
        <v>45573</v>
      </c>
    </row>
    <row r="116" spans="1:32" x14ac:dyDescent="0.25">
      <c r="D116" s="1">
        <f>+D121+1</f>
        <v>110</v>
      </c>
      <c r="E116" s="5" t="s">
        <v>739</v>
      </c>
      <c r="F116" t="s">
        <v>740</v>
      </c>
      <c r="G116" s="3">
        <v>5.92</v>
      </c>
      <c r="H116" s="6">
        <f>+G116*L116</f>
        <v>1317.2</v>
      </c>
      <c r="I116" s="6">
        <f>+[107]Main!$I$5-[107]Main!$I$6</f>
        <v>251.643</v>
      </c>
      <c r="J116" s="6">
        <f>+H116-I116</f>
        <v>1065.557</v>
      </c>
      <c r="K116" s="3" t="s">
        <v>1073</v>
      </c>
      <c r="L116" s="6">
        <f>+[107]Main!$I$3</f>
        <v>222.5</v>
      </c>
      <c r="M116" s="9">
        <v>45593</v>
      </c>
    </row>
    <row r="117" spans="1:32" x14ac:dyDescent="0.25">
      <c r="A117" t="s">
        <v>334</v>
      </c>
      <c r="B117"/>
      <c r="C117"/>
      <c r="D117" s="1">
        <f>+D115+1</f>
        <v>106</v>
      </c>
      <c r="E117" s="5" t="s">
        <v>158</v>
      </c>
      <c r="F117" s="1" t="s">
        <v>159</v>
      </c>
      <c r="G117" s="7">
        <v>24.5</v>
      </c>
      <c r="H117" s="6">
        <f>+G117*L117</f>
        <v>2019.1826655000002</v>
      </c>
      <c r="I117" s="6">
        <f>+[108]Main!$K$5-[108]Main!$K$6</f>
        <v>1008.165</v>
      </c>
      <c r="J117" s="6">
        <f>+H117-I117</f>
        <v>1011.0176655000002</v>
      </c>
      <c r="K117" s="3" t="s">
        <v>1073</v>
      </c>
      <c r="L117" s="6">
        <f>+[108]Main!$K$3</f>
        <v>82.415619000000007</v>
      </c>
      <c r="M117" s="9">
        <v>45565</v>
      </c>
    </row>
    <row r="118" spans="1:32" x14ac:dyDescent="0.25">
      <c r="A118" t="s">
        <v>334</v>
      </c>
      <c r="B118"/>
      <c r="C118"/>
      <c r="D118" s="1">
        <f t="shared" si="12"/>
        <v>107</v>
      </c>
      <c r="E118" s="5" t="s">
        <v>145</v>
      </c>
      <c r="F118" s="1" t="s">
        <v>146</v>
      </c>
      <c r="G118" s="7">
        <v>20</v>
      </c>
      <c r="H118" s="6">
        <f>+G118*L118</f>
        <v>1929.5</v>
      </c>
      <c r="I118" s="6">
        <f>+[109]Main!$J$5-[109]Main!$J$6</f>
        <v>939.9</v>
      </c>
      <c r="J118" s="6">
        <f t="shared" ref="J118" si="17">+H118-I118</f>
        <v>989.6</v>
      </c>
      <c r="K118" s="3" t="s">
        <v>1043</v>
      </c>
      <c r="L118" s="6">
        <f>+[109]Main!$J$3</f>
        <v>96.474999999999994</v>
      </c>
      <c r="M118" s="9">
        <v>45565</v>
      </c>
    </row>
    <row r="119" spans="1:32" x14ac:dyDescent="0.25">
      <c r="A119" t="s">
        <v>334</v>
      </c>
      <c r="B119"/>
      <c r="C119"/>
      <c r="D119" s="1">
        <f t="shared" si="12"/>
        <v>108</v>
      </c>
      <c r="E119" s="5" t="s">
        <v>370</v>
      </c>
      <c r="F119" t="s">
        <v>371</v>
      </c>
      <c r="G119" s="19">
        <v>10.7</v>
      </c>
      <c r="H119" s="6">
        <f>+G119*L119/HKD</f>
        <v>1352.1643102179487</v>
      </c>
      <c r="I119" s="6">
        <f>([110]Main!$J$6-[110]Main!$J$7)/HKD</f>
        <v>376.08884615384613</v>
      </c>
      <c r="J119" s="6">
        <f t="shared" si="16"/>
        <v>976.07546406410256</v>
      </c>
      <c r="K119" s="3" t="s">
        <v>1116</v>
      </c>
      <c r="L119" s="6">
        <f>+[110]Main!$J$4</f>
        <v>985.68987100000004</v>
      </c>
      <c r="M119" s="9">
        <v>45543</v>
      </c>
      <c r="AF119" s="1">
        <v>2012</v>
      </c>
    </row>
    <row r="120" spans="1:32" x14ac:dyDescent="0.25">
      <c r="A120"/>
      <c r="B120"/>
      <c r="C120"/>
      <c r="D120" s="1">
        <f>+D119</f>
        <v>108</v>
      </c>
      <c r="E120" s="5" t="s">
        <v>370</v>
      </c>
      <c r="F120" t="s">
        <v>1186</v>
      </c>
      <c r="G120" s="7">
        <v>27.72</v>
      </c>
      <c r="H120" s="6"/>
      <c r="K120" s="3" t="str">
        <f>+K119</f>
        <v>Q423</v>
      </c>
      <c r="L120" s="6"/>
      <c r="M120" s="9">
        <f>+M119</f>
        <v>45543</v>
      </c>
    </row>
    <row r="121" spans="1:32" x14ac:dyDescent="0.25">
      <c r="A121" s="1" t="s">
        <v>334</v>
      </c>
      <c r="D121" s="1">
        <f t="shared" si="12"/>
        <v>109</v>
      </c>
      <c r="E121" s="5" t="s">
        <v>110</v>
      </c>
      <c r="F121" s="1" t="s">
        <v>111</v>
      </c>
      <c r="G121" s="7">
        <v>20.25</v>
      </c>
      <c r="H121" s="6">
        <f>+G121*L121</f>
        <v>1252.1289825000001</v>
      </c>
      <c r="I121" s="6">
        <f>+[111]Main!$O$5-[111]Main!$O$6</f>
        <v>637.79299999999989</v>
      </c>
      <c r="J121" s="6">
        <f>+H121-I121</f>
        <v>614.33598250000023</v>
      </c>
      <c r="K121" s="3" t="s">
        <v>1073</v>
      </c>
      <c r="L121" s="6">
        <f>+[111]Main!$O$3</f>
        <v>61.833530000000003</v>
      </c>
      <c r="M121" s="9">
        <v>45563</v>
      </c>
    </row>
    <row r="122" spans="1:32" x14ac:dyDescent="0.25">
      <c r="A122" t="s">
        <v>334</v>
      </c>
      <c r="B122"/>
      <c r="C122"/>
      <c r="D122" s="1">
        <f>+D115+1</f>
        <v>106</v>
      </c>
      <c r="E122" s="5" t="s">
        <v>763</v>
      </c>
      <c r="F122" t="s">
        <v>764</v>
      </c>
      <c r="G122" s="7">
        <v>11.13</v>
      </c>
      <c r="H122" s="6">
        <f>+G122*L122</f>
        <v>760.17899999999997</v>
      </c>
      <c r="I122" s="6">
        <f>+[112]Main!$K$5-[112]Main!$K$6</f>
        <v>423.93200000000002</v>
      </c>
      <c r="J122" s="6">
        <f>+H122-I122</f>
        <v>336.24699999999996</v>
      </c>
      <c r="K122" s="3" t="s">
        <v>1073</v>
      </c>
      <c r="L122" s="6">
        <v>68.3</v>
      </c>
      <c r="M122" s="9">
        <v>45565</v>
      </c>
      <c r="AE122" s="1">
        <v>2015</v>
      </c>
    </row>
    <row r="123" spans="1:32" x14ac:dyDescent="0.25">
      <c r="A123"/>
      <c r="B123"/>
      <c r="C123"/>
      <c r="D123" s="1">
        <f t="shared" si="12"/>
        <v>107</v>
      </c>
      <c r="E123" s="5" t="s">
        <v>1160</v>
      </c>
      <c r="F123" t="s">
        <v>1161</v>
      </c>
      <c r="G123" s="3">
        <v>3.04</v>
      </c>
      <c r="H123" s="6">
        <f>+G123*L123</f>
        <v>757.70519216000002</v>
      </c>
      <c r="I123" s="6">
        <f>+[113]Main!$K$5-[113]Main!$K$6</f>
        <v>565.53499999999997</v>
      </c>
      <c r="J123" s="6">
        <f>+H123-I123</f>
        <v>192.17019216000006</v>
      </c>
      <c r="K123" s="3" t="s">
        <v>1073</v>
      </c>
      <c r="L123" s="6">
        <f>+[113]Main!$K$3</f>
        <v>249.24512899999999</v>
      </c>
      <c r="M123" s="9">
        <v>45505</v>
      </c>
      <c r="AE123" s="1">
        <v>2018</v>
      </c>
    </row>
    <row r="124" spans="1:32" x14ac:dyDescent="0.25">
      <c r="A124" t="s">
        <v>334</v>
      </c>
      <c r="B124"/>
      <c r="C124"/>
      <c r="D124" s="1">
        <f t="shared" si="12"/>
        <v>108</v>
      </c>
      <c r="E124" s="5" t="s">
        <v>156</v>
      </c>
      <c r="F124" s="1" t="s">
        <v>157</v>
      </c>
      <c r="G124" s="3">
        <v>2.38</v>
      </c>
      <c r="H124" s="6">
        <f>+G124*L124</f>
        <v>701.30396615999996</v>
      </c>
      <c r="I124" s="6">
        <f>+[114]Main!$L$5-[114]Main!$L$6</f>
        <v>851.52300000000002</v>
      </c>
      <c r="J124" s="6">
        <f>+H124-I124</f>
        <v>-150.21903384000007</v>
      </c>
      <c r="K124" s="3" t="s">
        <v>1073</v>
      </c>
      <c r="L124" s="6">
        <f>+[114]Main!$L$3</f>
        <v>294.66553199999998</v>
      </c>
      <c r="M124" s="9">
        <v>45536</v>
      </c>
    </row>
    <row r="125" spans="1:32" x14ac:dyDescent="0.25">
      <c r="D125" s="1">
        <f t="shared" si="12"/>
        <v>109</v>
      </c>
      <c r="E125" t="s">
        <v>731</v>
      </c>
      <c r="F125" t="s">
        <v>732</v>
      </c>
      <c r="G125" s="3">
        <v>50.49</v>
      </c>
      <c r="H125" s="6">
        <v>4000</v>
      </c>
    </row>
    <row r="126" spans="1:32" x14ac:dyDescent="0.25">
      <c r="D126" s="1">
        <f>+D125+1</f>
        <v>110</v>
      </c>
      <c r="E126" s="1" t="s">
        <v>498</v>
      </c>
      <c r="F126" s="1" t="s">
        <v>499</v>
      </c>
      <c r="G126" s="3">
        <v>12.37</v>
      </c>
      <c r="H126" s="6">
        <v>3700</v>
      </c>
    </row>
    <row r="127" spans="1:32" x14ac:dyDescent="0.25">
      <c r="A127" t="s">
        <v>334</v>
      </c>
      <c r="B127"/>
      <c r="C127"/>
      <c r="D127" s="1">
        <f>+D170+1</f>
        <v>152</v>
      </c>
      <c r="E127" t="s">
        <v>694</v>
      </c>
      <c r="F127" t="s">
        <v>695</v>
      </c>
      <c r="G127" s="7">
        <v>24.18</v>
      </c>
      <c r="H127" s="6">
        <v>3500</v>
      </c>
    </row>
    <row r="128" spans="1:32" x14ac:dyDescent="0.25">
      <c r="A128" t="s">
        <v>334</v>
      </c>
      <c r="B128"/>
      <c r="C128"/>
      <c r="D128" s="1">
        <f>+D126+1</f>
        <v>111</v>
      </c>
      <c r="E128" s="1" t="s">
        <v>166</v>
      </c>
      <c r="F128" s="1" t="s">
        <v>167</v>
      </c>
      <c r="G128" s="3">
        <v>55.33</v>
      </c>
      <c r="H128" s="6">
        <v>3280</v>
      </c>
    </row>
    <row r="129" spans="1:8" x14ac:dyDescent="0.25">
      <c r="A129" t="s">
        <v>334</v>
      </c>
      <c r="B129"/>
      <c r="C129"/>
      <c r="D129" s="1">
        <f t="shared" si="12"/>
        <v>112</v>
      </c>
      <c r="E129" s="1" t="s">
        <v>154</v>
      </c>
      <c r="F129" s="1" t="s">
        <v>155</v>
      </c>
      <c r="G129" s="3">
        <v>29.49</v>
      </c>
      <c r="H129" s="6">
        <v>2880</v>
      </c>
    </row>
    <row r="130" spans="1:8" x14ac:dyDescent="0.25">
      <c r="A130" t="s">
        <v>334</v>
      </c>
      <c r="B130"/>
      <c r="C130"/>
      <c r="D130" s="1">
        <f t="shared" si="12"/>
        <v>113</v>
      </c>
      <c r="E130" s="5" t="s">
        <v>162</v>
      </c>
      <c r="F130" s="1" t="s">
        <v>163</v>
      </c>
      <c r="G130" s="7">
        <v>8.08</v>
      </c>
      <c r="H130" s="6">
        <v>2230</v>
      </c>
    </row>
    <row r="131" spans="1:8" x14ac:dyDescent="0.25">
      <c r="A131"/>
      <c r="B131"/>
      <c r="C131"/>
      <c r="D131" s="1">
        <f t="shared" si="12"/>
        <v>114</v>
      </c>
      <c r="E131" s="1" t="s">
        <v>522</v>
      </c>
      <c r="F131" t="s">
        <v>124</v>
      </c>
      <c r="G131" s="3">
        <v>18.91</v>
      </c>
      <c r="H131" s="6"/>
    </row>
    <row r="132" spans="1:8" x14ac:dyDescent="0.25">
      <c r="A132" t="s">
        <v>334</v>
      </c>
      <c r="B132"/>
      <c r="C132"/>
      <c r="D132" s="1">
        <f t="shared" si="12"/>
        <v>115</v>
      </c>
      <c r="E132" t="s">
        <v>716</v>
      </c>
      <c r="F132" t="s">
        <v>717</v>
      </c>
      <c r="G132" s="3">
        <v>4.0599999999999996</v>
      </c>
      <c r="H132" s="6">
        <v>2400</v>
      </c>
    </row>
    <row r="133" spans="1:8" x14ac:dyDescent="0.25">
      <c r="A133" t="s">
        <v>334</v>
      </c>
      <c r="B133"/>
      <c r="C133"/>
      <c r="D133" s="1">
        <f t="shared" si="12"/>
        <v>116</v>
      </c>
      <c r="E133" s="1" t="s">
        <v>173</v>
      </c>
      <c r="F133" s="1" t="s">
        <v>174</v>
      </c>
      <c r="G133" s="7">
        <v>20.010000000000002</v>
      </c>
      <c r="H133" s="6">
        <v>2150</v>
      </c>
    </row>
    <row r="134" spans="1:8" x14ac:dyDescent="0.25">
      <c r="A134" t="s">
        <v>334</v>
      </c>
      <c r="B134"/>
      <c r="C134"/>
      <c r="D134" s="1">
        <f t="shared" si="12"/>
        <v>117</v>
      </c>
      <c r="E134" s="1" t="s">
        <v>202</v>
      </c>
      <c r="F134" s="1" t="s">
        <v>203</v>
      </c>
      <c r="G134" s="7">
        <v>57.1</v>
      </c>
      <c r="H134" s="6">
        <v>2590</v>
      </c>
    </row>
    <row r="135" spans="1:8" x14ac:dyDescent="0.25">
      <c r="A135" t="s">
        <v>334</v>
      </c>
      <c r="B135"/>
      <c r="C135"/>
      <c r="D135" s="1">
        <f t="shared" si="12"/>
        <v>118</v>
      </c>
      <c r="E135" s="1" t="s">
        <v>179</v>
      </c>
      <c r="F135" s="1" t="s">
        <v>180</v>
      </c>
      <c r="G135" s="3">
        <v>48.73</v>
      </c>
      <c r="H135" s="6">
        <v>2540</v>
      </c>
    </row>
    <row r="136" spans="1:8" x14ac:dyDescent="0.25">
      <c r="A136" t="s">
        <v>334</v>
      </c>
      <c r="B136"/>
      <c r="C136"/>
      <c r="D136" s="1">
        <f t="shared" si="12"/>
        <v>119</v>
      </c>
      <c r="E136" s="1" t="s">
        <v>190</v>
      </c>
      <c r="F136" s="1" t="s">
        <v>191</v>
      </c>
      <c r="G136" s="3">
        <v>37.96</v>
      </c>
      <c r="H136" s="6">
        <v>2360</v>
      </c>
    </row>
    <row r="137" spans="1:8" x14ac:dyDescent="0.25">
      <c r="A137" t="s">
        <v>334</v>
      </c>
      <c r="B137"/>
      <c r="C137"/>
      <c r="D137" s="1">
        <f t="shared" ref="D137:D139" si="18">+D136+1</f>
        <v>120</v>
      </c>
      <c r="E137" s="1" t="s">
        <v>210</v>
      </c>
      <c r="F137" s="1" t="s">
        <v>211</v>
      </c>
      <c r="G137" s="3">
        <v>36.86</v>
      </c>
      <c r="H137" s="6">
        <v>1990</v>
      </c>
    </row>
    <row r="138" spans="1:8" x14ac:dyDescent="0.25">
      <c r="A138"/>
      <c r="B138"/>
      <c r="C138"/>
      <c r="D138" s="1">
        <f t="shared" si="18"/>
        <v>121</v>
      </c>
      <c r="E138" t="s">
        <v>358</v>
      </c>
      <c r="F138" t="s">
        <v>359</v>
      </c>
    </row>
    <row r="139" spans="1:8" x14ac:dyDescent="0.25">
      <c r="A139"/>
      <c r="B139"/>
      <c r="C139"/>
      <c r="D139" s="1">
        <f t="shared" si="18"/>
        <v>122</v>
      </c>
      <c r="E139" t="s">
        <v>356</v>
      </c>
      <c r="F139" t="s">
        <v>357</v>
      </c>
    </row>
    <row r="140" spans="1:8" x14ac:dyDescent="0.25">
      <c r="D140" s="1">
        <f t="shared" ref="D140:D201" si="19">+D139+1</f>
        <v>123</v>
      </c>
      <c r="E140" t="s">
        <v>272</v>
      </c>
      <c r="F140" t="s">
        <v>273</v>
      </c>
    </row>
    <row r="141" spans="1:8" x14ac:dyDescent="0.25">
      <c r="D141" s="1">
        <f t="shared" si="19"/>
        <v>124</v>
      </c>
      <c r="E141" t="s">
        <v>1425</v>
      </c>
      <c r="F141" t="s">
        <v>1426</v>
      </c>
      <c r="G141" s="7">
        <v>2.1</v>
      </c>
    </row>
    <row r="142" spans="1:8" x14ac:dyDescent="0.25">
      <c r="D142" s="1">
        <f t="shared" si="19"/>
        <v>125</v>
      </c>
      <c r="E142" t="s">
        <v>1427</v>
      </c>
      <c r="F142" t="s">
        <v>1428</v>
      </c>
      <c r="G142" s="7"/>
    </row>
    <row r="143" spans="1:8" x14ac:dyDescent="0.25">
      <c r="D143" s="1">
        <f t="shared" si="19"/>
        <v>126</v>
      </c>
      <c r="E143" t="s">
        <v>269</v>
      </c>
      <c r="F143" t="s">
        <v>270</v>
      </c>
    </row>
    <row r="144" spans="1:8" x14ac:dyDescent="0.25">
      <c r="D144" s="1">
        <f t="shared" si="19"/>
        <v>127</v>
      </c>
      <c r="E144" s="5" t="s">
        <v>1429</v>
      </c>
      <c r="F144" t="s">
        <v>1430</v>
      </c>
      <c r="G144" s="7">
        <v>2.06</v>
      </c>
    </row>
    <row r="145" spans="1:31" x14ac:dyDescent="0.25">
      <c r="D145" s="1">
        <f>+D143+1</f>
        <v>127</v>
      </c>
      <c r="E145" t="s">
        <v>362</v>
      </c>
      <c r="F145" t="s">
        <v>363</v>
      </c>
    </row>
    <row r="146" spans="1:31" x14ac:dyDescent="0.25">
      <c r="A146"/>
      <c r="B146"/>
      <c r="C146"/>
      <c r="D146" s="1">
        <f t="shared" si="19"/>
        <v>128</v>
      </c>
      <c r="E146" t="s">
        <v>1059</v>
      </c>
      <c r="F146" t="s">
        <v>1060</v>
      </c>
    </row>
    <row r="147" spans="1:31" x14ac:dyDescent="0.25">
      <c r="A147" s="89" t="s">
        <v>334</v>
      </c>
      <c r="B147"/>
      <c r="C147"/>
      <c r="D147" s="1">
        <f t="shared" si="19"/>
        <v>129</v>
      </c>
      <c r="E147" t="s">
        <v>1057</v>
      </c>
      <c r="F147" t="s">
        <v>1058</v>
      </c>
      <c r="G147" s="7"/>
    </row>
    <row r="148" spans="1:31" x14ac:dyDescent="0.25">
      <c r="A148"/>
      <c r="B148"/>
      <c r="C148"/>
      <c r="D148" s="1">
        <f t="shared" si="19"/>
        <v>130</v>
      </c>
      <c r="E148" t="s">
        <v>1431</v>
      </c>
      <c r="F148"/>
      <c r="G148" s="7"/>
    </row>
    <row r="149" spans="1:31" x14ac:dyDescent="0.25">
      <c r="A149"/>
      <c r="B149"/>
      <c r="C149"/>
      <c r="D149" s="1">
        <f t="shared" si="19"/>
        <v>131</v>
      </c>
      <c r="E149" t="s">
        <v>597</v>
      </c>
      <c r="F149" t="s">
        <v>598</v>
      </c>
    </row>
    <row r="150" spans="1:31" x14ac:dyDescent="0.25">
      <c r="D150" s="1">
        <f t="shared" si="19"/>
        <v>132</v>
      </c>
      <c r="E150" s="1" t="s">
        <v>116</v>
      </c>
      <c r="F150" s="1" t="s">
        <v>117</v>
      </c>
      <c r="G150" s="3">
        <v>83.97</v>
      </c>
    </row>
    <row r="151" spans="1:31" x14ac:dyDescent="0.25">
      <c r="A151"/>
      <c r="B151"/>
      <c r="C151"/>
      <c r="D151" s="1">
        <f t="shared" si="19"/>
        <v>133</v>
      </c>
      <c r="E151" t="s">
        <v>1063</v>
      </c>
      <c r="F151" t="s">
        <v>1064</v>
      </c>
      <c r="H151" s="6"/>
    </row>
    <row r="152" spans="1:31" x14ac:dyDescent="0.25">
      <c r="A152"/>
      <c r="B152"/>
      <c r="C152"/>
      <c r="D152" s="1">
        <f t="shared" si="19"/>
        <v>134</v>
      </c>
      <c r="E152" t="s">
        <v>1119</v>
      </c>
      <c r="F152" t="s">
        <v>1120</v>
      </c>
      <c r="H152" s="6"/>
    </row>
    <row r="153" spans="1:31" x14ac:dyDescent="0.25">
      <c r="A153"/>
      <c r="B153"/>
      <c r="C153"/>
      <c r="D153" s="1">
        <f t="shared" si="19"/>
        <v>135</v>
      </c>
      <c r="E153" t="s">
        <v>1068</v>
      </c>
      <c r="H153" s="6"/>
    </row>
    <row r="154" spans="1:31" x14ac:dyDescent="0.25">
      <c r="A154"/>
      <c r="B154"/>
      <c r="C154"/>
      <c r="D154" s="1">
        <f t="shared" si="19"/>
        <v>136</v>
      </c>
      <c r="E154" t="s">
        <v>1069</v>
      </c>
      <c r="H154" s="6"/>
    </row>
    <row r="155" spans="1:31" x14ac:dyDescent="0.25">
      <c r="A155"/>
      <c r="B155"/>
      <c r="C155"/>
      <c r="D155" s="1">
        <f t="shared" si="19"/>
        <v>137</v>
      </c>
      <c r="E155" t="s">
        <v>336</v>
      </c>
      <c r="F155" t="s">
        <v>337</v>
      </c>
      <c r="H155" s="6"/>
    </row>
    <row r="156" spans="1:31" x14ac:dyDescent="0.25">
      <c r="A156"/>
      <c r="B156"/>
      <c r="C156"/>
      <c r="D156" s="1">
        <f t="shared" si="19"/>
        <v>138</v>
      </c>
      <c r="E156" t="s">
        <v>1067</v>
      </c>
      <c r="H156" s="6"/>
    </row>
    <row r="157" spans="1:31" x14ac:dyDescent="0.25">
      <c r="A157"/>
      <c r="B157"/>
      <c r="C157"/>
      <c r="D157" s="1">
        <f t="shared" si="19"/>
        <v>139</v>
      </c>
      <c r="E157" t="s">
        <v>1149</v>
      </c>
      <c r="F157" s="1" t="s">
        <v>1150</v>
      </c>
      <c r="H157" s="6"/>
    </row>
    <row r="158" spans="1:31" x14ac:dyDescent="0.25">
      <c r="A158" t="s">
        <v>334</v>
      </c>
      <c r="B158"/>
      <c r="C158"/>
      <c r="D158" s="1">
        <f t="shared" si="19"/>
        <v>140</v>
      </c>
      <c r="E158" t="s">
        <v>682</v>
      </c>
      <c r="F158" t="s">
        <v>683</v>
      </c>
    </row>
    <row r="159" spans="1:31" x14ac:dyDescent="0.25">
      <c r="A159"/>
      <c r="B159"/>
      <c r="C159"/>
      <c r="D159" s="1">
        <f t="shared" si="19"/>
        <v>141</v>
      </c>
      <c r="E159" t="s">
        <v>307</v>
      </c>
      <c r="F159" t="s">
        <v>308</v>
      </c>
      <c r="G159" s="3">
        <v>4.26</v>
      </c>
      <c r="H159" s="6"/>
      <c r="AE159" s="1">
        <v>2011</v>
      </c>
    </row>
    <row r="160" spans="1:31" x14ac:dyDescent="0.25">
      <c r="A160" t="s">
        <v>334</v>
      </c>
      <c r="B160"/>
      <c r="C160"/>
      <c r="D160" s="1">
        <f t="shared" si="19"/>
        <v>142</v>
      </c>
      <c r="E160" s="5" t="s">
        <v>375</v>
      </c>
      <c r="F160" t="s">
        <v>376</v>
      </c>
      <c r="G160" s="3">
        <v>32.26</v>
      </c>
      <c r="H160" s="6">
        <f>+G160*L160</f>
        <v>1873.2795513199999</v>
      </c>
      <c r="I160" s="6">
        <f>+[115]Main!$J$5-[115]Main!$J$6</f>
        <v>566.44900000000007</v>
      </c>
      <c r="J160" s="6">
        <f t="shared" ref="J160:J163" si="20">+H160-I160</f>
        <v>1306.8305513199998</v>
      </c>
      <c r="K160" s="3" t="s">
        <v>301</v>
      </c>
      <c r="L160" s="6">
        <f>+[115]Main!$J$3</f>
        <v>58.068182</v>
      </c>
      <c r="M160" s="9">
        <v>44824</v>
      </c>
    </row>
    <row r="161" spans="1:13" x14ac:dyDescent="0.25">
      <c r="A161" t="s">
        <v>334</v>
      </c>
      <c r="B161"/>
      <c r="C161"/>
      <c r="D161" s="1">
        <f>+D175+1</f>
        <v>158</v>
      </c>
      <c r="E161" s="5" t="s">
        <v>183</v>
      </c>
      <c r="F161" s="1" t="s">
        <v>184</v>
      </c>
      <c r="G161" s="3">
        <v>20.14</v>
      </c>
      <c r="H161" s="6">
        <f>+G161*L161</f>
        <v>1383.8798199999999</v>
      </c>
      <c r="I161" s="6">
        <f>+[116]Main!$O$5-[116]Main!$O$6</f>
        <v>1121.0000000000002</v>
      </c>
      <c r="J161" s="6">
        <f>+H161-I161</f>
        <v>262.87981999999965</v>
      </c>
      <c r="K161" s="3" t="s">
        <v>1279</v>
      </c>
      <c r="L161" s="6">
        <f>+[116]Main!$O$3</f>
        <v>68.712999999999994</v>
      </c>
      <c r="M161" s="9">
        <v>45684</v>
      </c>
    </row>
    <row r="162" spans="1:13" x14ac:dyDescent="0.25">
      <c r="A162" t="s">
        <v>334</v>
      </c>
      <c r="B162"/>
      <c r="C162"/>
      <c r="D162" s="1">
        <f>+D160+1</f>
        <v>143</v>
      </c>
      <c r="E162" s="5" t="s">
        <v>512</v>
      </c>
      <c r="F162" t="s">
        <v>513</v>
      </c>
      <c r="G162" s="3">
        <v>12.41</v>
      </c>
      <c r="H162" s="6">
        <f>G162*L162</f>
        <v>686.11028007999994</v>
      </c>
      <c r="I162" s="6">
        <f>[117]Main!$L$5-[117]Main!$L$6</f>
        <v>578</v>
      </c>
      <c r="J162" s="6">
        <f t="shared" si="20"/>
        <v>108.11028007999994</v>
      </c>
      <c r="K162" s="3" t="s">
        <v>649</v>
      </c>
      <c r="L162" s="6">
        <f>[117]Main!$L$3</f>
        <v>55.286887999999998</v>
      </c>
      <c r="M162" s="9">
        <v>45064</v>
      </c>
    </row>
    <row r="163" spans="1:13" x14ac:dyDescent="0.25">
      <c r="A163" t="s">
        <v>334</v>
      </c>
      <c r="B163"/>
      <c r="C163"/>
      <c r="D163" s="1">
        <f t="shared" si="19"/>
        <v>144</v>
      </c>
      <c r="E163" s="5" t="s">
        <v>782</v>
      </c>
      <c r="F163" t="s">
        <v>783</v>
      </c>
      <c r="G163" s="7">
        <v>3.06</v>
      </c>
      <c r="H163" s="6">
        <f>G163*L163</f>
        <v>205.55876502000001</v>
      </c>
      <c r="I163" s="6">
        <f>[118]Main!$O$5-[118]Main!$O$6</f>
        <v>345.67399999999998</v>
      </c>
      <c r="J163" s="6">
        <f t="shared" si="20"/>
        <v>-140.11523497999997</v>
      </c>
      <c r="K163" s="3" t="s">
        <v>649</v>
      </c>
      <c r="L163" s="6">
        <f>[118]Main!$O$3</f>
        <v>67.176067000000003</v>
      </c>
      <c r="M163" s="9">
        <v>45067</v>
      </c>
    </row>
    <row r="164" spans="1:13" x14ac:dyDescent="0.25">
      <c r="A164" t="s">
        <v>334</v>
      </c>
      <c r="B164"/>
      <c r="C164"/>
      <c r="D164" s="1">
        <f t="shared" si="19"/>
        <v>145</v>
      </c>
      <c r="E164" s="5" t="s">
        <v>181</v>
      </c>
      <c r="F164" s="1" t="s">
        <v>182</v>
      </c>
      <c r="G164" s="7">
        <v>7.28</v>
      </c>
      <c r="H164" s="6">
        <f>G164*L164</f>
        <v>434.74418623999998</v>
      </c>
      <c r="I164" s="6">
        <f>[119]Main!$K$5-[119]Main!$K$6</f>
        <v>1272.4940000000001</v>
      </c>
      <c r="J164" s="6">
        <f>H164-I164</f>
        <v>-837.74981376000017</v>
      </c>
      <c r="K164" s="3" t="s">
        <v>517</v>
      </c>
      <c r="L164" s="6">
        <f>[119]Main!$K$3</f>
        <v>59.717607999999998</v>
      </c>
      <c r="M164" s="9">
        <v>44999</v>
      </c>
    </row>
    <row r="165" spans="1:13" x14ac:dyDescent="0.25">
      <c r="A165"/>
      <c r="B165"/>
      <c r="C165"/>
      <c r="D165" s="1">
        <f t="shared" si="19"/>
        <v>146</v>
      </c>
      <c r="E165" s="5" t="s">
        <v>141</v>
      </c>
      <c r="F165" t="s">
        <v>1179</v>
      </c>
      <c r="G165" s="7">
        <v>5.91</v>
      </c>
      <c r="H165" s="6"/>
    </row>
    <row r="166" spans="1:13" x14ac:dyDescent="0.25">
      <c r="A166"/>
      <c r="B166"/>
      <c r="C166"/>
      <c r="D166" s="1">
        <f t="shared" si="19"/>
        <v>147</v>
      </c>
      <c r="E166" s="5" t="s">
        <v>141</v>
      </c>
      <c r="F166" t="s">
        <v>142</v>
      </c>
      <c r="G166" s="7">
        <v>3.32</v>
      </c>
      <c r="H166" s="6"/>
    </row>
    <row r="167" spans="1:13" x14ac:dyDescent="0.25">
      <c r="A167"/>
      <c r="B167"/>
      <c r="C167"/>
      <c r="D167" s="1">
        <f t="shared" si="19"/>
        <v>148</v>
      </c>
      <c r="E167" s="1" t="s">
        <v>216</v>
      </c>
      <c r="F167" s="1" t="s">
        <v>217</v>
      </c>
      <c r="G167" s="3">
        <v>18.309999999999999</v>
      </c>
      <c r="H167" s="6">
        <v>1930</v>
      </c>
    </row>
    <row r="168" spans="1:13" x14ac:dyDescent="0.25">
      <c r="A168"/>
      <c r="B168"/>
      <c r="C168"/>
      <c r="D168" s="1">
        <f t="shared" si="19"/>
        <v>149</v>
      </c>
      <c r="E168" t="s">
        <v>1181</v>
      </c>
      <c r="F168" t="s">
        <v>1182</v>
      </c>
      <c r="H168" s="6"/>
    </row>
    <row r="169" spans="1:13" x14ac:dyDescent="0.25">
      <c r="A169"/>
      <c r="B169"/>
      <c r="C169"/>
      <c r="D169" s="1">
        <f t="shared" si="19"/>
        <v>150</v>
      </c>
      <c r="E169" t="s">
        <v>1123</v>
      </c>
      <c r="F169" t="s">
        <v>1124</v>
      </c>
      <c r="H169" s="6"/>
    </row>
    <row r="170" spans="1:13" x14ac:dyDescent="0.25">
      <c r="D170" s="1">
        <f t="shared" si="19"/>
        <v>151</v>
      </c>
      <c r="E170" t="s">
        <v>1125</v>
      </c>
      <c r="F170" t="s">
        <v>1126</v>
      </c>
    </row>
    <row r="171" spans="1:13" x14ac:dyDescent="0.25">
      <c r="A171" t="s">
        <v>334</v>
      </c>
      <c r="B171"/>
      <c r="C171"/>
      <c r="D171" s="1">
        <f>+D127+1</f>
        <v>153</v>
      </c>
      <c r="E171" s="1" t="s">
        <v>187</v>
      </c>
      <c r="F171" s="1" t="s">
        <v>188</v>
      </c>
      <c r="G171" s="7">
        <v>10.1</v>
      </c>
      <c r="H171" s="6">
        <v>1880</v>
      </c>
    </row>
    <row r="172" spans="1:13" x14ac:dyDescent="0.25">
      <c r="A172" t="s">
        <v>334</v>
      </c>
      <c r="B172"/>
      <c r="C172"/>
      <c r="D172" s="1">
        <f t="shared" si="19"/>
        <v>154</v>
      </c>
      <c r="E172" s="1" t="s">
        <v>784</v>
      </c>
      <c r="F172" s="1" t="s">
        <v>170</v>
      </c>
      <c r="G172" s="3">
        <v>38.67</v>
      </c>
      <c r="H172" s="6">
        <v>1770</v>
      </c>
    </row>
    <row r="173" spans="1:13" x14ac:dyDescent="0.25">
      <c r="A173" t="s">
        <v>334</v>
      </c>
      <c r="B173"/>
      <c r="C173"/>
      <c r="D173" s="1">
        <f t="shared" si="19"/>
        <v>155</v>
      </c>
      <c r="E173" t="s">
        <v>377</v>
      </c>
      <c r="F173" t="s">
        <v>378</v>
      </c>
      <c r="G173" s="7">
        <v>43.5</v>
      </c>
    </row>
    <row r="174" spans="1:13" x14ac:dyDescent="0.25">
      <c r="A174"/>
      <c r="B174"/>
      <c r="C174"/>
      <c r="D174" s="1">
        <f t="shared" si="19"/>
        <v>156</v>
      </c>
      <c r="E174" s="5" t="s">
        <v>1071</v>
      </c>
      <c r="F174" t="s">
        <v>1072</v>
      </c>
      <c r="G174" s="7">
        <v>17</v>
      </c>
      <c r="H174" s="6"/>
    </row>
    <row r="175" spans="1:13" x14ac:dyDescent="0.25">
      <c r="A175" t="s">
        <v>334</v>
      </c>
      <c r="B175"/>
      <c r="C175"/>
      <c r="D175" s="1">
        <f t="shared" si="19"/>
        <v>157</v>
      </c>
      <c r="E175" t="s">
        <v>726</v>
      </c>
      <c r="H175" s="6"/>
    </row>
    <row r="176" spans="1:13" x14ac:dyDescent="0.25">
      <c r="A176" t="s">
        <v>334</v>
      </c>
      <c r="B176"/>
      <c r="C176"/>
      <c r="D176" s="1">
        <f>+D161+1</f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30" ht="13" x14ac:dyDescent="0.3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30" x14ac:dyDescent="0.25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30" x14ac:dyDescent="0.25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30" x14ac:dyDescent="0.25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30" x14ac:dyDescent="0.25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30" x14ac:dyDescent="0.25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30" x14ac:dyDescent="0.25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30" x14ac:dyDescent="0.25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30" x14ac:dyDescent="0.25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30" x14ac:dyDescent="0.25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30" x14ac:dyDescent="0.25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30" s="25" customFormat="1" ht="13" x14ac:dyDescent="0.3">
      <c r="A188" s="25" t="s">
        <v>334</v>
      </c>
      <c r="D188" s="25">
        <f t="shared" si="19"/>
        <v>171</v>
      </c>
      <c r="E188" s="25" t="s">
        <v>767</v>
      </c>
      <c r="F188" s="25" t="s">
        <v>768</v>
      </c>
      <c r="G188" s="47">
        <v>19.7</v>
      </c>
      <c r="H188" s="27">
        <v>800</v>
      </c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</row>
    <row r="189" spans="1:30" x14ac:dyDescent="0.25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30" x14ac:dyDescent="0.25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30" x14ac:dyDescent="0.25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30" x14ac:dyDescent="0.25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ht="13" x14ac:dyDescent="0.3">
      <c r="D193" s="1">
        <f t="shared" si="19"/>
        <v>176</v>
      </c>
      <c r="E193" s="25" t="s">
        <v>1187</v>
      </c>
      <c r="F193" s="25" t="s">
        <v>1188</v>
      </c>
      <c r="G193" s="47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</row>
    <row r="194" spans="1:30" x14ac:dyDescent="0.25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5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5">
      <c r="A196"/>
      <c r="B196"/>
      <c r="C196"/>
      <c r="D196" s="1">
        <f t="shared" si="19"/>
        <v>179</v>
      </c>
      <c r="E196" t="s">
        <v>1271</v>
      </c>
      <c r="F196" t="s">
        <v>1272</v>
      </c>
      <c r="G196" s="7">
        <v>3.5</v>
      </c>
      <c r="H196" s="6"/>
    </row>
    <row r="197" spans="1:30" x14ac:dyDescent="0.25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5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5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5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5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5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5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5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5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5">
      <c r="A206" t="s">
        <v>334</v>
      </c>
      <c r="B206"/>
      <c r="C206"/>
      <c r="D206" s="1">
        <f t="shared" si="21"/>
        <v>190</v>
      </c>
      <c r="E206" s="5" t="s">
        <v>727</v>
      </c>
      <c r="F206" t="s">
        <v>728</v>
      </c>
      <c r="G206" s="3">
        <v>11.46</v>
      </c>
      <c r="H206" s="6">
        <f>+G206*L206</f>
        <v>464.21490714000004</v>
      </c>
      <c r="I206" s="6">
        <f>+[120]Main!$L$5-[120]Main!$L$6</f>
        <v>732.13299999999992</v>
      </c>
      <c r="J206" s="6">
        <f>+H206-I206</f>
        <v>-267.91809285999989</v>
      </c>
      <c r="K206" s="3" t="s">
        <v>1279</v>
      </c>
      <c r="L206" s="6">
        <f>+[120]Main!$L$3</f>
        <v>40.507409000000003</v>
      </c>
      <c r="M206" s="9">
        <v>45684</v>
      </c>
    </row>
    <row r="207" spans="1:30" x14ac:dyDescent="0.25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5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5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5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41.52</v>
      </c>
      <c r="H210" s="6">
        <f t="shared" ref="H210:H215" si="22">+G210*L210</f>
        <v>2689.0541764800005</v>
      </c>
      <c r="I210" s="6">
        <f>+[121]Main!$L$5-[121]Main!$L$6</f>
        <v>911.00500000000011</v>
      </c>
      <c r="J210" s="6">
        <f>+H210-I210</f>
        <v>1778.0491764800004</v>
      </c>
      <c r="K210" s="3" t="s">
        <v>1279</v>
      </c>
      <c r="L210" s="6">
        <f>+[121]Main!$L$3</f>
        <v>64.765274000000005</v>
      </c>
      <c r="M210" s="9">
        <v>45632</v>
      </c>
    </row>
    <row r="211" spans="1:31" x14ac:dyDescent="0.25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7">
        <v>0.61</v>
      </c>
      <c r="H211" s="6">
        <f t="shared" si="22"/>
        <v>89.294191199999986</v>
      </c>
      <c r="I211" s="6">
        <f>+[122]Main!$L$5-[122]Main!$L$6</f>
        <v>24.916284999999998</v>
      </c>
      <c r="J211" s="6">
        <f t="shared" ref="J211:J217" si="23">+H211-I211</f>
        <v>64.377906199999984</v>
      </c>
      <c r="K211" s="3" t="s">
        <v>1279</v>
      </c>
      <c r="L211" s="6">
        <f>+[122]Main!$L$3</f>
        <v>146.38391999999999</v>
      </c>
      <c r="M211" s="9">
        <v>45684</v>
      </c>
    </row>
    <row r="212" spans="1:31" s="95" customFormat="1" x14ac:dyDescent="0.25">
      <c r="D212" s="95">
        <f t="shared" si="21"/>
        <v>190</v>
      </c>
      <c r="E212" s="96" t="s">
        <v>951</v>
      </c>
      <c r="F212" s="95" t="s">
        <v>952</v>
      </c>
      <c r="G212" s="97">
        <v>33.89</v>
      </c>
      <c r="H212" s="98">
        <f t="shared" si="22"/>
        <v>1318.30476669</v>
      </c>
      <c r="I212" s="98">
        <f>+[123]Main!$K$5-[123]Main!$K$6</f>
        <v>304.87299999999999</v>
      </c>
      <c r="J212" s="98">
        <f>+H212-I212</f>
        <v>1013.4317666899999</v>
      </c>
      <c r="K212" s="97" t="s">
        <v>1073</v>
      </c>
      <c r="L212" s="98">
        <f>+[123]Main!$K$3</f>
        <v>38.899521</v>
      </c>
      <c r="M212" s="99">
        <v>45558</v>
      </c>
      <c r="N212" s="97"/>
      <c r="O212" s="97"/>
      <c r="P212" s="97"/>
      <c r="Q212" s="97"/>
      <c r="R212" s="97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</row>
    <row r="213" spans="1:31" x14ac:dyDescent="0.25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 t="shared" si="22"/>
        <v>1355.4004112499999</v>
      </c>
      <c r="I213" s="6">
        <f>+[124]Main!$K$5-[124]Main!$K$6</f>
        <v>449.76100000000002</v>
      </c>
      <c r="J213" s="6">
        <f t="shared" si="23"/>
        <v>905.63941124999997</v>
      </c>
      <c r="K213" s="3" t="s">
        <v>419</v>
      </c>
      <c r="L213" s="6">
        <f>+[124]Main!$K$3</f>
        <v>57.069490999999999</v>
      </c>
      <c r="M213" s="9">
        <v>44947</v>
      </c>
      <c r="AE213" s="1">
        <v>2015</v>
      </c>
    </row>
    <row r="214" spans="1:31" x14ac:dyDescent="0.25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 t="shared" si="22"/>
        <v>1258.48493904</v>
      </c>
      <c r="I214" s="6">
        <f>+[125]Main!$K$5-[125]Main!$K$6</f>
        <v>361.86599999999999</v>
      </c>
      <c r="J214" s="6">
        <f t="shared" si="23"/>
        <v>896.61893903999999</v>
      </c>
      <c r="K214" s="3" t="s">
        <v>1073</v>
      </c>
      <c r="L214" s="6">
        <f>+[125]Main!$K$3</f>
        <v>87.760456000000005</v>
      </c>
      <c r="M214" s="9">
        <v>45555</v>
      </c>
    </row>
    <row r="215" spans="1:31" x14ac:dyDescent="0.25">
      <c r="D215" s="1">
        <f t="shared" si="21"/>
        <v>193</v>
      </c>
      <c r="E215" s="5" t="s">
        <v>1194</v>
      </c>
      <c r="F215" s="41" t="s">
        <v>1195</v>
      </c>
      <c r="G215" s="7">
        <v>8.39</v>
      </c>
      <c r="H215" s="6">
        <f t="shared" si="22"/>
        <v>963.56021369000007</v>
      </c>
      <c r="I215" s="6">
        <f>+[126]Main!$L$5-[126]Main!$L$6</f>
        <v>122.197</v>
      </c>
      <c r="J215" s="6">
        <f>+H215-I215</f>
        <v>841.36321369000007</v>
      </c>
      <c r="K215" s="3" t="s">
        <v>1073</v>
      </c>
      <c r="L215" s="6">
        <f>+[126]Main!$L$3</f>
        <v>114.846271</v>
      </c>
      <c r="M215" s="9">
        <v>45567</v>
      </c>
    </row>
    <row r="216" spans="1:31" x14ac:dyDescent="0.25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+G216*[127]Main!$L$3</f>
        <v>798.23003700000004</v>
      </c>
      <c r="I216" s="6">
        <f>+[127]Main!$L$5-[127]Main!$L$6</f>
        <v>153.25991400000001</v>
      </c>
      <c r="J216" s="6">
        <f t="shared" si="23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5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+[128]Main!$J$5-[128]Main!$J$6</f>
        <v>601.58999999999992</v>
      </c>
      <c r="J217" s="6">
        <f t="shared" si="23"/>
        <v>295.5923366400001</v>
      </c>
      <c r="K217" s="3" t="s">
        <v>16</v>
      </c>
      <c r="L217" s="6">
        <f>+[128]Main!$J$3</f>
        <v>121.89977399999999</v>
      </c>
      <c r="M217" s="9">
        <v>44827</v>
      </c>
    </row>
    <row r="218" spans="1:31" x14ac:dyDescent="0.25">
      <c r="A218"/>
      <c r="B218"/>
      <c r="C218"/>
      <c r="D218" s="1">
        <f t="shared" si="21"/>
        <v>196</v>
      </c>
      <c r="E218" s="5" t="s">
        <v>1198</v>
      </c>
      <c r="F218" t="s">
        <v>1199</v>
      </c>
      <c r="G218" s="3">
        <v>7.86</v>
      </c>
      <c r="H218" s="6">
        <f>+G218*L218</f>
        <v>491.65306866000003</v>
      </c>
      <c r="I218" s="6">
        <f>+[129]Main!$K$5-[129]Main!$K$6</f>
        <v>62.650000000000006</v>
      </c>
      <c r="J218" s="6">
        <f>+H218-I218</f>
        <v>429.00306866000005</v>
      </c>
      <c r="K218" s="3" t="s">
        <v>1073</v>
      </c>
      <c r="L218" s="6">
        <f>+[129]Main!$K$3</f>
        <v>62.551281000000003</v>
      </c>
      <c r="M218" s="9">
        <v>45569</v>
      </c>
      <c r="AE218" s="1">
        <v>2014</v>
      </c>
    </row>
    <row r="219" spans="1:31" x14ac:dyDescent="0.25">
      <c r="A219"/>
      <c r="B219"/>
      <c r="C219"/>
      <c r="D219" s="1">
        <f t="shared" si="21"/>
        <v>197</v>
      </c>
      <c r="E219" s="5" t="s">
        <v>1196</v>
      </c>
      <c r="F219" t="s">
        <v>1197</v>
      </c>
      <c r="G219" s="7">
        <v>1</v>
      </c>
      <c r="H219" s="6">
        <f>+G219*L219</f>
        <v>226.227259</v>
      </c>
      <c r="I219" s="6">
        <f>+[130]Main!$K$5-[130]Main!$K$6</f>
        <v>157.43700000000001</v>
      </c>
      <c r="J219" s="6">
        <f>+H219-I219</f>
        <v>68.790258999999992</v>
      </c>
      <c r="K219" s="3" t="s">
        <v>1073</v>
      </c>
      <c r="L219" s="6">
        <f>+[130]Main!$K$3</f>
        <v>226.227259</v>
      </c>
      <c r="M219" s="9">
        <v>45569</v>
      </c>
    </row>
    <row r="220" spans="1:31" customFormat="1" x14ac:dyDescent="0.25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4">
        <v>3.64</v>
      </c>
      <c r="H220" s="30">
        <f>+G220*L220</f>
        <v>174.63324424000001</v>
      </c>
      <c r="I220" s="30">
        <f>+[131]Main!$J$5-[131]Main!$J$6</f>
        <v>149</v>
      </c>
      <c r="J220" s="30">
        <f>+H220-I220</f>
        <v>25.63324424000001</v>
      </c>
      <c r="K220" s="28" t="s">
        <v>1279</v>
      </c>
      <c r="L220" s="30">
        <f>+[131]Main!$J$3</f>
        <v>47.976165999999999</v>
      </c>
      <c r="M220" s="37">
        <v>45628</v>
      </c>
      <c r="N220" s="28"/>
      <c r="O220" s="28"/>
      <c r="P220" s="28"/>
      <c r="Q220" s="28"/>
      <c r="R220" s="2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</row>
    <row r="221" spans="1:31" s="25" customFormat="1" ht="13" x14ac:dyDescent="0.3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</row>
    <row r="222" spans="1:31" x14ac:dyDescent="0.25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5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5">
      <c r="A224" t="s">
        <v>334</v>
      </c>
      <c r="B224"/>
      <c r="C224"/>
      <c r="D224" s="1">
        <f t="shared" si="21"/>
        <v>202</v>
      </c>
      <c r="E224" s="5" t="s">
        <v>1168</v>
      </c>
      <c r="F224" t="s">
        <v>1169</v>
      </c>
      <c r="G224" s="3">
        <v>9.34</v>
      </c>
      <c r="H224" s="6">
        <f>+G224*L224</f>
        <v>289.28000241999996</v>
      </c>
      <c r="I224" s="6">
        <f>+[132]Main!$J$5-[132]Main!$J$6</f>
        <v>220.43200000000002</v>
      </c>
      <c r="J224" s="6">
        <f>+H224-I224</f>
        <v>68.848002419999943</v>
      </c>
      <c r="K224" s="3" t="s">
        <v>1073</v>
      </c>
      <c r="L224" s="6">
        <f>+[132]Main!$J$3</f>
        <v>30.972162999999998</v>
      </c>
      <c r="M224" s="9">
        <v>45548</v>
      </c>
      <c r="AE224" s="1">
        <v>2018</v>
      </c>
    </row>
    <row r="225" spans="1:13" x14ac:dyDescent="0.25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5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5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5">
      <c r="A228"/>
      <c r="B228"/>
      <c r="C228"/>
      <c r="D228" s="1">
        <f t="shared" si="21"/>
        <v>206</v>
      </c>
      <c r="E228" s="5" t="s">
        <v>1183</v>
      </c>
      <c r="F228" t="s">
        <v>1184</v>
      </c>
      <c r="G228" s="7">
        <v>1.08</v>
      </c>
      <c r="H228" s="6">
        <f>+G228*L228</f>
        <v>76.012537320000007</v>
      </c>
      <c r="I228" s="6">
        <f>+[133]Main!$L$5-[133]Main!$L$6</f>
        <v>10.994</v>
      </c>
      <c r="J228" s="6">
        <f>+H228-I228</f>
        <v>65.018537320000007</v>
      </c>
      <c r="K228" s="3" t="s">
        <v>1073</v>
      </c>
      <c r="L228" s="6">
        <f>+[133]Main!$L$3</f>
        <v>70.381979000000001</v>
      </c>
      <c r="M228" s="9">
        <v>45562</v>
      </c>
    </row>
    <row r="229" spans="1:13" x14ac:dyDescent="0.25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5">
      <c r="A230"/>
      <c r="B230"/>
      <c r="C230"/>
      <c r="D230" s="1">
        <f t="shared" si="21"/>
        <v>208</v>
      </c>
      <c r="E230" t="s">
        <v>1174</v>
      </c>
      <c r="F230" t="s">
        <v>1175</v>
      </c>
      <c r="G230" s="7">
        <v>5.43</v>
      </c>
    </row>
    <row r="231" spans="1:13" x14ac:dyDescent="0.25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5">
      <c r="A232"/>
      <c r="B232"/>
      <c r="C232"/>
      <c r="D232" s="1">
        <f t="shared" si="21"/>
        <v>210</v>
      </c>
      <c r="E232" t="s">
        <v>1301</v>
      </c>
      <c r="F232" t="s">
        <v>1302</v>
      </c>
      <c r="G232" s="7">
        <v>2.0499999999999998</v>
      </c>
      <c r="H232" s="3">
        <v>164</v>
      </c>
    </row>
    <row r="233" spans="1:13" x14ac:dyDescent="0.25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5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5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5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5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5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5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5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+[134]Main!$N$5-[134]Main!$N$6</f>
        <v>732.71699999999998</v>
      </c>
      <c r="J240" s="6">
        <f>+H240-I240</f>
        <v>809.5551840899999</v>
      </c>
      <c r="K240" s="3" t="s">
        <v>1279</v>
      </c>
      <c r="L240" s="6">
        <f>+[134]Main!$N$3</f>
        <v>79.212746999999993</v>
      </c>
      <c r="M240" s="9">
        <v>45636</v>
      </c>
    </row>
    <row r="241" spans="1:31" x14ac:dyDescent="0.25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G241*[135]Main!$J$3</f>
        <v>725.62786605999997</v>
      </c>
      <c r="I241" s="6">
        <f>[135]Main!$J$5-[135]Main!$J$6</f>
        <v>197.79600000000002</v>
      </c>
      <c r="J241" s="8">
        <f>+H241-I241</f>
        <v>527.83186605999992</v>
      </c>
      <c r="K241" s="3" t="s">
        <v>16</v>
      </c>
    </row>
    <row r="242" spans="1:31" x14ac:dyDescent="0.25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+[136]Main!$K$5-[136]Main!$K$6</f>
        <v>-37.984000000000002</v>
      </c>
      <c r="J242" s="8">
        <f t="shared" ref="J242" si="24">+H242-I242</f>
        <v>524.41625439999996</v>
      </c>
      <c r="K242" s="3" t="s">
        <v>301</v>
      </c>
      <c r="L242" s="6">
        <f>+[136]Main!$K$3</f>
        <v>810.72042399999998</v>
      </c>
      <c r="M242" s="9">
        <v>44816</v>
      </c>
      <c r="AE242" s="1">
        <v>2002</v>
      </c>
    </row>
    <row r="243" spans="1:31" x14ac:dyDescent="0.25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+[137]Main!$J$5-[137]Main!$J$6</f>
        <v>49.931000000000012</v>
      </c>
      <c r="J243" s="8">
        <f>+H243-I243</f>
        <v>441.65389229000004</v>
      </c>
      <c r="K243" s="3" t="s">
        <v>1279</v>
      </c>
      <c r="L243" s="6">
        <f>[137]Main!$J$3</f>
        <v>78.153401000000002</v>
      </c>
      <c r="M243" s="9">
        <v>45659</v>
      </c>
    </row>
    <row r="244" spans="1:31" x14ac:dyDescent="0.25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+[138]Main!$J$5-[138]Main!$J$6</f>
        <v>127.87499999999999</v>
      </c>
      <c r="J244" s="6">
        <f>+H244-I244</f>
        <v>392.86576875999992</v>
      </c>
      <c r="K244" s="3" t="s">
        <v>1279</v>
      </c>
      <c r="L244" s="6">
        <f>+[138]Main!$J$3</f>
        <v>42.199413999999997</v>
      </c>
      <c r="M244" s="9">
        <v>45631</v>
      </c>
    </row>
    <row r="245" spans="1:31" x14ac:dyDescent="0.25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G245*[139]Main!$L$3</f>
        <v>587.26396075999992</v>
      </c>
      <c r="I245" s="6">
        <f>[139]Main!$L$5-[139]Main!$L$6</f>
        <v>277.88299999999998</v>
      </c>
      <c r="J245" s="8">
        <f>+H245-I245</f>
        <v>309.38096075999994</v>
      </c>
      <c r="K245" s="3" t="s">
        <v>16</v>
      </c>
    </row>
    <row r="246" spans="1:31" x14ac:dyDescent="0.25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G246*[140]Main!$J$3</f>
        <v>312.71415336000001</v>
      </c>
      <c r="I246" s="8">
        <f>+[140]Main!$J$5-[140]Main!$J$6</f>
        <v>92.317999999999998</v>
      </c>
      <c r="J246" s="8">
        <f>+H246-I246</f>
        <v>220.39615336000003</v>
      </c>
      <c r="K246" s="3" t="s">
        <v>16</v>
      </c>
    </row>
    <row r="247" spans="1:31" x14ac:dyDescent="0.25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G247*[141]Main!$M$3</f>
        <v>128.9392503</v>
      </c>
      <c r="I247" s="6">
        <f>[141]Main!$M$5-[141]Main!$M$6</f>
        <v>-59.50200000000001</v>
      </c>
      <c r="J247" s="8">
        <f t="shared" ref="J247:J254" si="25">+H247-I247</f>
        <v>188.44125030000001</v>
      </c>
      <c r="K247" s="3" t="s">
        <v>16</v>
      </c>
    </row>
    <row r="248" spans="1:31" x14ac:dyDescent="0.25">
      <c r="D248" s="1">
        <f t="shared" si="21"/>
        <v>225</v>
      </c>
      <c r="E248" s="5" t="s">
        <v>994</v>
      </c>
      <c r="F248" t="s">
        <v>995</v>
      </c>
      <c r="G248" s="3">
        <v>1.91</v>
      </c>
      <c r="H248" s="6">
        <f>+G248*L248</f>
        <v>144.77073818</v>
      </c>
      <c r="I248" s="6">
        <f>+[142]Main!$K$5-[142]Main!$K$6</f>
        <v>78.481999999999999</v>
      </c>
      <c r="J248" s="6">
        <f>+H248-I248</f>
        <v>66.288738179999996</v>
      </c>
      <c r="K248" s="3" t="s">
        <v>1073</v>
      </c>
      <c r="L248" s="6">
        <f>+[142]Main!$K$3</f>
        <v>75.796198000000004</v>
      </c>
      <c r="M248" s="9">
        <v>45573</v>
      </c>
    </row>
    <row r="249" spans="1:31" x14ac:dyDescent="0.25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+[143]Main!$N$5-[143]Main!$N$6</f>
        <v>-7.4640000000000004</v>
      </c>
      <c r="J249" s="6">
        <f>+H249-I249</f>
        <v>37.871559149999996</v>
      </c>
      <c r="K249" s="3" t="s">
        <v>301</v>
      </c>
      <c r="L249" s="6">
        <f>+[143]Main!$N$3</f>
        <v>9.4141049999999993</v>
      </c>
      <c r="M249" s="9">
        <v>44780</v>
      </c>
    </row>
    <row r="250" spans="1:31" x14ac:dyDescent="0.25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G250*[144]Main!$N$3</f>
        <v>39.757463459999997</v>
      </c>
      <c r="I250" s="6">
        <f>[144]Main!$N$5-[144]Main!$N$6</f>
        <v>15.942</v>
      </c>
      <c r="J250" s="8">
        <f t="shared" si="25"/>
        <v>23.815463459999997</v>
      </c>
      <c r="K250" s="3" t="s">
        <v>16</v>
      </c>
    </row>
    <row r="251" spans="1:31" x14ac:dyDescent="0.25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G251*[145]Main!$L$3</f>
        <v>30.1881658</v>
      </c>
      <c r="I251" s="6">
        <f>[145]Main!$L$5-[145]Main!$L$6</f>
        <v>13.262999999999998</v>
      </c>
      <c r="J251" s="8">
        <f t="shared" si="25"/>
        <v>16.925165800000002</v>
      </c>
      <c r="K251" s="3" t="s">
        <v>16</v>
      </c>
    </row>
    <row r="252" spans="1:31" x14ac:dyDescent="0.25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G252*[146]Main!$M$3</f>
        <v>125.46108324000001</v>
      </c>
      <c r="I252" s="6">
        <f>[146]Main!$M$5-[146]Main!$M$6</f>
        <v>131.17699999999999</v>
      </c>
      <c r="J252" s="8">
        <f t="shared" si="25"/>
        <v>-5.7159167599999847</v>
      </c>
      <c r="K252" s="3" t="s">
        <v>16</v>
      </c>
    </row>
    <row r="253" spans="1:31" x14ac:dyDescent="0.25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G253*[147]Main!$M$3</f>
        <v>20.935517539999999</v>
      </c>
      <c r="I253" s="6">
        <f>[147]Main!$M$5-[147]Main!$M$6</f>
        <v>55.28</v>
      </c>
      <c r="J253" s="8">
        <f t="shared" si="25"/>
        <v>-34.344482460000002</v>
      </c>
      <c r="K253" s="3" t="s">
        <v>16</v>
      </c>
    </row>
    <row r="254" spans="1:31" x14ac:dyDescent="0.25">
      <c r="D254" s="1">
        <f t="shared" si="21"/>
        <v>231</v>
      </c>
      <c r="E254" s="5" t="s">
        <v>1308</v>
      </c>
      <c r="F254" t="s">
        <v>1189</v>
      </c>
      <c r="G254" s="7">
        <v>5</v>
      </c>
      <c r="H254" s="6">
        <f>+G254*L254</f>
        <v>639.20965000000001</v>
      </c>
      <c r="I254" s="6">
        <f>+[148]Main!$J$5-[148]Main!$J$6</f>
        <v>115.78</v>
      </c>
      <c r="J254" s="8">
        <f t="shared" si="25"/>
        <v>523.42965000000004</v>
      </c>
      <c r="K254" s="3" t="s">
        <v>1073</v>
      </c>
      <c r="L254" s="6">
        <f>+[148]Main!$J$3</f>
        <v>127.84193</v>
      </c>
    </row>
    <row r="255" spans="1:31" x14ac:dyDescent="0.25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+[149]Main!$K$5-[149]Main!$K$6</f>
        <v>136.64599999999999</v>
      </c>
      <c r="J255" s="6">
        <f>+H255-I255</f>
        <v>-79.969639999999998</v>
      </c>
      <c r="K255" s="3" t="s">
        <v>1073</v>
      </c>
      <c r="L255" s="6">
        <f>+[149]Main!$K$3</f>
        <v>60.293999999999997</v>
      </c>
      <c r="M255" s="9">
        <v>45550</v>
      </c>
      <c r="AE255" s="1">
        <v>2017</v>
      </c>
    </row>
    <row r="256" spans="1:31" x14ac:dyDescent="0.25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5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5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5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5">
      <c r="D260" s="1">
        <f t="shared" si="21"/>
        <v>237</v>
      </c>
      <c r="E260" t="s">
        <v>1309</v>
      </c>
      <c r="F260" t="s">
        <v>1310</v>
      </c>
      <c r="G260" s="7">
        <v>14.68</v>
      </c>
      <c r="H260" s="3">
        <v>396</v>
      </c>
    </row>
    <row r="261" spans="1:8" x14ac:dyDescent="0.25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5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ht="13" x14ac:dyDescent="0.3">
      <c r="D263" s="1">
        <f t="shared" si="21"/>
        <v>240</v>
      </c>
      <c r="E263" s="25" t="s">
        <v>1354</v>
      </c>
      <c r="F263" t="s">
        <v>1355</v>
      </c>
      <c r="G263" s="3">
        <v>30.21</v>
      </c>
    </row>
    <row r="264" spans="1:8" x14ac:dyDescent="0.25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5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5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5">
      <c r="D267" s="1">
        <f t="shared" si="21"/>
        <v>244</v>
      </c>
      <c r="E267" t="s">
        <v>745</v>
      </c>
      <c r="F267" t="s">
        <v>746</v>
      </c>
    </row>
    <row r="268" spans="1:8" x14ac:dyDescent="0.25">
      <c r="D268" s="1">
        <f t="shared" ref="D268:D328" si="26">+D267+1</f>
        <v>245</v>
      </c>
      <c r="E268" t="s">
        <v>748</v>
      </c>
      <c r="F268" t="s">
        <v>749</v>
      </c>
    </row>
    <row r="269" spans="1:8" x14ac:dyDescent="0.25">
      <c r="A269"/>
      <c r="B269"/>
      <c r="C269"/>
      <c r="D269" s="1">
        <f t="shared" si="26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5">
      <c r="D270" s="1">
        <f t="shared" si="26"/>
        <v>247</v>
      </c>
      <c r="E270" t="s">
        <v>743</v>
      </c>
      <c r="F270" t="s">
        <v>744</v>
      </c>
    </row>
    <row r="271" spans="1:8" x14ac:dyDescent="0.25">
      <c r="D271" s="1">
        <f>+D240+1</f>
        <v>249</v>
      </c>
      <c r="E271" t="s">
        <v>504</v>
      </c>
      <c r="F271" t="s">
        <v>505</v>
      </c>
    </row>
    <row r="272" spans="1:8" x14ac:dyDescent="0.25">
      <c r="D272" s="1">
        <f t="shared" si="26"/>
        <v>250</v>
      </c>
      <c r="E272" t="s">
        <v>733</v>
      </c>
      <c r="F272" t="s">
        <v>734</v>
      </c>
    </row>
    <row r="273" spans="1:7" x14ac:dyDescent="0.25">
      <c r="D273" s="1">
        <f t="shared" si="26"/>
        <v>251</v>
      </c>
      <c r="E273" t="s">
        <v>729</v>
      </c>
      <c r="F273" t="s">
        <v>730</v>
      </c>
    </row>
    <row r="274" spans="1:7" x14ac:dyDescent="0.25">
      <c r="D274" s="1">
        <f t="shared" si="26"/>
        <v>252</v>
      </c>
      <c r="E274" s="1" t="s">
        <v>515</v>
      </c>
      <c r="F274" s="1" t="s">
        <v>516</v>
      </c>
    </row>
    <row r="275" spans="1:7" x14ac:dyDescent="0.25">
      <c r="D275" s="1">
        <f t="shared" si="26"/>
        <v>253</v>
      </c>
      <c r="E275" t="s">
        <v>520</v>
      </c>
      <c r="F275" t="s">
        <v>1300</v>
      </c>
      <c r="G275" s="3">
        <v>13.13</v>
      </c>
    </row>
    <row r="276" spans="1:7" x14ac:dyDescent="0.25">
      <c r="D276" s="1">
        <f t="shared" si="26"/>
        <v>254</v>
      </c>
      <c r="E276" s="1" t="s">
        <v>523</v>
      </c>
      <c r="F276" s="1" t="s">
        <v>524</v>
      </c>
      <c r="G276" s="3">
        <v>7.08</v>
      </c>
    </row>
    <row r="277" spans="1:7" x14ac:dyDescent="0.25">
      <c r="D277" s="1">
        <f t="shared" si="26"/>
        <v>255</v>
      </c>
      <c r="E277" t="s">
        <v>526</v>
      </c>
      <c r="F277" t="s">
        <v>525</v>
      </c>
      <c r="G277" s="7">
        <v>20.3</v>
      </c>
    </row>
    <row r="278" spans="1:7" x14ac:dyDescent="0.25">
      <c r="D278" s="1">
        <f t="shared" si="26"/>
        <v>256</v>
      </c>
      <c r="E278" t="s">
        <v>527</v>
      </c>
      <c r="F278" t="s">
        <v>528</v>
      </c>
      <c r="G278" s="3">
        <v>0.38</v>
      </c>
    </row>
    <row r="279" spans="1:7" x14ac:dyDescent="0.25">
      <c r="D279" s="1">
        <f t="shared" si="26"/>
        <v>257</v>
      </c>
      <c r="E279" t="s">
        <v>529</v>
      </c>
      <c r="F279" t="s">
        <v>530</v>
      </c>
      <c r="G279" s="3">
        <v>4.24</v>
      </c>
    </row>
    <row r="280" spans="1:7" x14ac:dyDescent="0.25">
      <c r="A280" s="1" t="s">
        <v>334</v>
      </c>
      <c r="D280" s="1">
        <f t="shared" si="26"/>
        <v>258</v>
      </c>
      <c r="E280" t="s">
        <v>531</v>
      </c>
      <c r="F280" t="s">
        <v>532</v>
      </c>
      <c r="G280" s="3">
        <v>13.74</v>
      </c>
    </row>
    <row r="281" spans="1:7" x14ac:dyDescent="0.25">
      <c r="D281" s="1">
        <f t="shared" si="26"/>
        <v>259</v>
      </c>
      <c r="E281" t="s">
        <v>533</v>
      </c>
      <c r="F281" t="s">
        <v>534</v>
      </c>
      <c r="G281" s="3">
        <v>4.3600000000000003</v>
      </c>
    </row>
    <row r="282" spans="1:7" x14ac:dyDescent="0.25">
      <c r="D282" s="1">
        <f t="shared" si="26"/>
        <v>260</v>
      </c>
      <c r="E282" t="s">
        <v>535</v>
      </c>
      <c r="F282" t="s">
        <v>536</v>
      </c>
      <c r="G282" s="3">
        <v>7.06</v>
      </c>
    </row>
    <row r="283" spans="1:7" x14ac:dyDescent="0.25">
      <c r="D283" s="1">
        <f t="shared" si="26"/>
        <v>261</v>
      </c>
      <c r="E283" t="s">
        <v>787</v>
      </c>
      <c r="F283" t="s">
        <v>788</v>
      </c>
    </row>
    <row r="284" spans="1:7" x14ac:dyDescent="0.25">
      <c r="A284" s="1" t="s">
        <v>334</v>
      </c>
      <c r="D284" s="1">
        <f t="shared" si="26"/>
        <v>262</v>
      </c>
      <c r="E284" t="s">
        <v>537</v>
      </c>
      <c r="F284" t="s">
        <v>538</v>
      </c>
      <c r="G284" s="3">
        <v>1.04</v>
      </c>
    </row>
    <row r="285" spans="1:7" ht="13" x14ac:dyDescent="0.3">
      <c r="D285" s="1">
        <f t="shared" si="26"/>
        <v>263</v>
      </c>
      <c r="E285" s="34" t="s">
        <v>539</v>
      </c>
      <c r="F285" s="34" t="s">
        <v>540</v>
      </c>
    </row>
    <row r="286" spans="1:7" x14ac:dyDescent="0.25">
      <c r="D286" s="1">
        <f t="shared" si="26"/>
        <v>264</v>
      </c>
      <c r="E286" t="s">
        <v>541</v>
      </c>
      <c r="F286" t="s">
        <v>542</v>
      </c>
      <c r="G286" s="3">
        <v>2.97</v>
      </c>
    </row>
    <row r="287" spans="1:7" x14ac:dyDescent="0.25">
      <c r="D287" s="1">
        <f t="shared" si="26"/>
        <v>265</v>
      </c>
      <c r="E287" t="s">
        <v>543</v>
      </c>
      <c r="F287" t="s">
        <v>544</v>
      </c>
      <c r="G287" s="3">
        <v>3.28</v>
      </c>
    </row>
    <row r="288" spans="1:7" x14ac:dyDescent="0.25">
      <c r="D288" s="1">
        <f t="shared" si="26"/>
        <v>266</v>
      </c>
      <c r="E288" t="s">
        <v>547</v>
      </c>
      <c r="F288" t="s">
        <v>548</v>
      </c>
    </row>
    <row r="289" spans="1:13" x14ac:dyDescent="0.25">
      <c r="D289" s="1">
        <f t="shared" si="26"/>
        <v>267</v>
      </c>
      <c r="E289" t="s">
        <v>549</v>
      </c>
      <c r="F289" t="s">
        <v>550</v>
      </c>
      <c r="G289" s="3">
        <v>18.07</v>
      </c>
    </row>
    <row r="290" spans="1:13" x14ac:dyDescent="0.25">
      <c r="D290" s="1">
        <f t="shared" si="26"/>
        <v>268</v>
      </c>
      <c r="E290" t="s">
        <v>551</v>
      </c>
      <c r="F290" t="s">
        <v>552</v>
      </c>
      <c r="G290" s="3">
        <v>2.68</v>
      </c>
    </row>
    <row r="291" spans="1:13" x14ac:dyDescent="0.25">
      <c r="D291" s="1">
        <f t="shared" si="26"/>
        <v>269</v>
      </c>
      <c r="E291" t="s">
        <v>553</v>
      </c>
      <c r="F291" t="s">
        <v>554</v>
      </c>
      <c r="G291" s="7">
        <v>7</v>
      </c>
    </row>
    <row r="292" spans="1:13" x14ac:dyDescent="0.25">
      <c r="D292" s="1">
        <f t="shared" si="26"/>
        <v>270</v>
      </c>
      <c r="E292" t="s">
        <v>555</v>
      </c>
      <c r="F292" t="s">
        <v>556</v>
      </c>
      <c r="G292" s="3">
        <v>1.76</v>
      </c>
    </row>
    <row r="293" spans="1:13" x14ac:dyDescent="0.25">
      <c r="D293" s="1">
        <f t="shared" si="26"/>
        <v>271</v>
      </c>
      <c r="E293" t="s">
        <v>991</v>
      </c>
      <c r="F293" t="s">
        <v>992</v>
      </c>
    </row>
    <row r="294" spans="1:13" x14ac:dyDescent="0.25">
      <c r="D294" s="1">
        <f t="shared" si="26"/>
        <v>272</v>
      </c>
      <c r="E294" t="s">
        <v>557</v>
      </c>
      <c r="F294" t="s">
        <v>558</v>
      </c>
      <c r="G294" s="3">
        <v>0.61</v>
      </c>
    </row>
    <row r="295" spans="1:13" x14ac:dyDescent="0.25">
      <c r="D295" s="1">
        <f t="shared" si="26"/>
        <v>273</v>
      </c>
      <c r="E295" t="s">
        <v>559</v>
      </c>
      <c r="F295" t="s">
        <v>560</v>
      </c>
      <c r="G295" s="3">
        <v>0.68</v>
      </c>
    </row>
    <row r="296" spans="1:13" x14ac:dyDescent="0.25">
      <c r="D296" s="1">
        <f t="shared" si="26"/>
        <v>274</v>
      </c>
      <c r="E296" t="s">
        <v>563</v>
      </c>
      <c r="F296" t="s">
        <v>564</v>
      </c>
      <c r="G296" s="3">
        <v>1.86</v>
      </c>
    </row>
    <row r="297" spans="1:13" x14ac:dyDescent="0.25">
      <c r="D297" s="1">
        <f t="shared" si="26"/>
        <v>275</v>
      </c>
      <c r="E297" t="s">
        <v>565</v>
      </c>
      <c r="F297" t="s">
        <v>566</v>
      </c>
      <c r="G297" s="3">
        <v>1.87</v>
      </c>
    </row>
    <row r="298" spans="1:13" ht="13" x14ac:dyDescent="0.3">
      <c r="D298" s="1">
        <f t="shared" si="26"/>
        <v>276</v>
      </c>
      <c r="E298" s="34" t="s">
        <v>567</v>
      </c>
      <c r="F298" s="34" t="s">
        <v>568</v>
      </c>
      <c r="G298"/>
    </row>
    <row r="299" spans="1:13" x14ac:dyDescent="0.25">
      <c r="D299" s="1">
        <f t="shared" si="26"/>
        <v>277</v>
      </c>
      <c r="E299" s="5" t="s">
        <v>570</v>
      </c>
      <c r="F299" t="s">
        <v>569</v>
      </c>
      <c r="G299" s="3">
        <v>7.46</v>
      </c>
      <c r="H299" s="6">
        <f>+G299*L299</f>
        <v>165.40648446</v>
      </c>
      <c r="I299" s="6">
        <f>+[150]Main!$M$5-[150]Main!$M$6</f>
        <v>31.058</v>
      </c>
      <c r="J299" s="6">
        <f>+H299-I299</f>
        <v>134.34848446000001</v>
      </c>
      <c r="K299" s="3" t="s">
        <v>1279</v>
      </c>
      <c r="L299" s="6">
        <f>+[150]Main!$M$3</f>
        <v>22.172450999999999</v>
      </c>
      <c r="M299" s="9">
        <v>45684</v>
      </c>
    </row>
    <row r="300" spans="1:13" x14ac:dyDescent="0.25">
      <c r="D300" s="1">
        <f t="shared" si="26"/>
        <v>278</v>
      </c>
      <c r="E300" t="s">
        <v>801</v>
      </c>
      <c r="F300" t="s">
        <v>802</v>
      </c>
    </row>
    <row r="301" spans="1:13" x14ac:dyDescent="0.25">
      <c r="D301" s="1">
        <f t="shared" si="26"/>
        <v>279</v>
      </c>
      <c r="E301" s="5" t="s">
        <v>800</v>
      </c>
      <c r="F301" t="s">
        <v>1811</v>
      </c>
      <c r="G301" s="3">
        <v>8.77</v>
      </c>
    </row>
    <row r="302" spans="1:13" x14ac:dyDescent="0.25">
      <c r="D302" s="1">
        <f t="shared" si="26"/>
        <v>280</v>
      </c>
      <c r="E302" t="s">
        <v>571</v>
      </c>
      <c r="F302" t="s">
        <v>572</v>
      </c>
      <c r="G302" s="3">
        <v>2.77</v>
      </c>
    </row>
    <row r="303" spans="1:13" x14ac:dyDescent="0.25">
      <c r="D303" s="1">
        <f t="shared" si="26"/>
        <v>281</v>
      </c>
      <c r="E303" t="s">
        <v>348</v>
      </c>
      <c r="F303" t="s">
        <v>349</v>
      </c>
      <c r="G303" s="3">
        <v>2.67</v>
      </c>
    </row>
    <row r="304" spans="1:13" x14ac:dyDescent="0.25">
      <c r="A304" s="1" t="s">
        <v>334</v>
      </c>
      <c r="D304" s="1">
        <f t="shared" si="26"/>
        <v>282</v>
      </c>
      <c r="E304" t="s">
        <v>979</v>
      </c>
      <c r="F304" t="s">
        <v>980</v>
      </c>
    </row>
    <row r="305" spans="1:31" x14ac:dyDescent="0.25">
      <c r="A305" s="1" t="s">
        <v>334</v>
      </c>
      <c r="D305" s="1">
        <f t="shared" si="26"/>
        <v>283</v>
      </c>
      <c r="E305" t="s">
        <v>977</v>
      </c>
      <c r="F305" t="s">
        <v>978</v>
      </c>
    </row>
    <row r="306" spans="1:31" x14ac:dyDescent="0.25">
      <c r="A306" t="s">
        <v>334</v>
      </c>
      <c r="B306"/>
      <c r="C306"/>
      <c r="D306" s="1">
        <f t="shared" si="26"/>
        <v>284</v>
      </c>
      <c r="E306" t="s">
        <v>983</v>
      </c>
      <c r="F306" t="s">
        <v>984</v>
      </c>
    </row>
    <row r="307" spans="1:31" x14ac:dyDescent="0.25">
      <c r="A307"/>
      <c r="B307"/>
      <c r="C307"/>
      <c r="D307" s="1">
        <f t="shared" si="26"/>
        <v>285</v>
      </c>
      <c r="E307" t="s">
        <v>985</v>
      </c>
      <c r="F307" t="s">
        <v>986</v>
      </c>
    </row>
    <row r="308" spans="1:31" x14ac:dyDescent="0.25">
      <c r="A308" t="s">
        <v>334</v>
      </c>
      <c r="B308"/>
      <c r="C308"/>
      <c r="D308" s="1">
        <f t="shared" si="26"/>
        <v>286</v>
      </c>
      <c r="E308" t="s">
        <v>987</v>
      </c>
      <c r="F308" t="s">
        <v>988</v>
      </c>
    </row>
    <row r="309" spans="1:31" x14ac:dyDescent="0.25">
      <c r="A309" t="s">
        <v>334</v>
      </c>
      <c r="B309"/>
      <c r="C309"/>
      <c r="D309" s="1">
        <f t="shared" si="26"/>
        <v>287</v>
      </c>
      <c r="E309" t="s">
        <v>989</v>
      </c>
      <c r="F309" t="s">
        <v>990</v>
      </c>
    </row>
    <row r="310" spans="1:31" x14ac:dyDescent="0.25">
      <c r="A310" t="s">
        <v>334</v>
      </c>
      <c r="B310"/>
      <c r="C310"/>
      <c r="D310" s="1">
        <f t="shared" si="26"/>
        <v>288</v>
      </c>
      <c r="E310" t="s">
        <v>981</v>
      </c>
      <c r="F310" t="s">
        <v>982</v>
      </c>
    </row>
    <row r="311" spans="1:31" x14ac:dyDescent="0.25">
      <c r="A311" s="1" t="s">
        <v>334</v>
      </c>
      <c r="D311" s="1">
        <f t="shared" si="26"/>
        <v>289</v>
      </c>
      <c r="E311" t="s">
        <v>975</v>
      </c>
      <c r="F311" t="s">
        <v>976</v>
      </c>
    </row>
    <row r="312" spans="1:31" x14ac:dyDescent="0.25">
      <c r="A312" s="1" t="s">
        <v>334</v>
      </c>
      <c r="D312" s="1">
        <f t="shared" si="26"/>
        <v>290</v>
      </c>
      <c r="E312" t="s">
        <v>573</v>
      </c>
      <c r="F312" t="s">
        <v>574</v>
      </c>
      <c r="G312" s="7">
        <v>2.2000000000000002</v>
      </c>
    </row>
    <row r="313" spans="1:31" x14ac:dyDescent="0.25">
      <c r="A313" s="1" t="s">
        <v>334</v>
      </c>
      <c r="D313" s="1">
        <f t="shared" si="26"/>
        <v>291</v>
      </c>
      <c r="E313" t="s">
        <v>577</v>
      </c>
      <c r="F313" t="s">
        <v>578</v>
      </c>
      <c r="G313" s="3">
        <v>0.92</v>
      </c>
    </row>
    <row r="314" spans="1:31" x14ac:dyDescent="0.25">
      <c r="A314" s="1" t="s">
        <v>334</v>
      </c>
      <c r="D314" s="1">
        <f t="shared" si="26"/>
        <v>292</v>
      </c>
      <c r="E314" t="s">
        <v>579</v>
      </c>
      <c r="F314" t="s">
        <v>580</v>
      </c>
      <c r="G314" s="3">
        <v>2.94</v>
      </c>
    </row>
    <row r="315" spans="1:31" x14ac:dyDescent="0.25">
      <c r="A315" s="1" t="s">
        <v>334</v>
      </c>
      <c r="D315" s="1">
        <f t="shared" si="26"/>
        <v>293</v>
      </c>
      <c r="E315" t="s">
        <v>581</v>
      </c>
      <c r="F315" t="s">
        <v>582</v>
      </c>
      <c r="G315" s="3">
        <v>5.88</v>
      </c>
    </row>
    <row r="316" spans="1:31" x14ac:dyDescent="0.25">
      <c r="A316" s="1" t="s">
        <v>334</v>
      </c>
      <c r="D316" s="1">
        <f t="shared" si="26"/>
        <v>294</v>
      </c>
      <c r="E316" t="s">
        <v>583</v>
      </c>
      <c r="F316" t="s">
        <v>584</v>
      </c>
      <c r="G316" s="7">
        <v>3.46</v>
      </c>
    </row>
    <row r="317" spans="1:31" x14ac:dyDescent="0.25">
      <c r="A317" t="s">
        <v>334</v>
      </c>
      <c r="B317"/>
      <c r="C317"/>
      <c r="D317" s="1">
        <f t="shared" si="26"/>
        <v>295</v>
      </c>
      <c r="E317" s="5" t="s">
        <v>885</v>
      </c>
      <c r="F317" t="s">
        <v>886</v>
      </c>
      <c r="G317" s="7">
        <v>13.21</v>
      </c>
      <c r="H317" s="6">
        <f>+G317*L317</f>
        <v>588.73448214000007</v>
      </c>
      <c r="I317" s="6">
        <f>+[151]Main!$M$5-[151]Main!$M$6</f>
        <v>99.997</v>
      </c>
      <c r="J317" s="6">
        <f>+H317-I317</f>
        <v>488.73748214000005</v>
      </c>
      <c r="K317" s="3" t="s">
        <v>1073</v>
      </c>
      <c r="L317" s="6">
        <f>+[151]Main!$M$3</f>
        <v>44.567334000000002</v>
      </c>
      <c r="M317" s="9">
        <v>45568</v>
      </c>
    </row>
    <row r="318" spans="1:31" x14ac:dyDescent="0.25">
      <c r="A318" t="s">
        <v>334</v>
      </c>
      <c r="B318"/>
      <c r="C318"/>
      <c r="D318" s="1">
        <f t="shared" si="26"/>
        <v>296</v>
      </c>
      <c r="E318" s="5" t="s">
        <v>869</v>
      </c>
      <c r="F318" t="s">
        <v>870</v>
      </c>
      <c r="G318" s="7">
        <v>11.39</v>
      </c>
      <c r="H318" s="6">
        <f>+G318*L318</f>
        <v>492.22422607999999</v>
      </c>
      <c r="I318" s="6">
        <f>+[152]Main!$K$5-[152]Main!$K$6</f>
        <v>174.27199999999999</v>
      </c>
      <c r="J318" s="6">
        <f>+H318-I318</f>
        <v>317.95222608</v>
      </c>
      <c r="K318" s="3" t="s">
        <v>1073</v>
      </c>
      <c r="L318" s="6">
        <f>+[152]Main!$K$3</f>
        <v>43.215471999999998</v>
      </c>
      <c r="M318" s="9">
        <v>45567</v>
      </c>
    </row>
    <row r="319" spans="1:31" x14ac:dyDescent="0.25">
      <c r="A319" s="1" t="s">
        <v>334</v>
      </c>
      <c r="D319" s="1">
        <f t="shared" si="26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[153]Main!$M$5-[153]Main!$M$6</f>
        <v>236.422</v>
      </c>
      <c r="J319" s="6">
        <f>H319-I319</f>
        <v>416.95678099999998</v>
      </c>
      <c r="L319" s="6">
        <f>[153]Main!$M$3</f>
        <v>19.799357000000001</v>
      </c>
      <c r="M319" s="9">
        <v>45063</v>
      </c>
      <c r="AE319" s="1">
        <v>2017</v>
      </c>
    </row>
    <row r="320" spans="1:31" x14ac:dyDescent="0.25">
      <c r="A320"/>
      <c r="B320"/>
      <c r="C320"/>
      <c r="D320" s="1">
        <f t="shared" si="26"/>
        <v>298</v>
      </c>
      <c r="E320" s="5" t="s">
        <v>939</v>
      </c>
      <c r="F320" t="s">
        <v>940</v>
      </c>
      <c r="G320" s="3">
        <v>8.91</v>
      </c>
      <c r="H320" s="6">
        <f>+G320*L320</f>
        <v>476.84725110000005</v>
      </c>
      <c r="I320" s="6">
        <f>+[154]Main!$K$5-[154]Main!$K$6</f>
        <v>280.24800000000005</v>
      </c>
      <c r="J320" s="6">
        <f>+H320-I320</f>
        <v>196.5992511</v>
      </c>
      <c r="K320" s="3" t="s">
        <v>1073</v>
      </c>
      <c r="L320" s="6">
        <f>+[154]Main!$K$3</f>
        <v>53.518210000000003</v>
      </c>
      <c r="M320" s="9">
        <v>45557</v>
      </c>
    </row>
    <row r="321" spans="1:31" x14ac:dyDescent="0.25">
      <c r="A321" s="1" t="s">
        <v>334</v>
      </c>
      <c r="D321" s="1">
        <f t="shared" si="26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+[155]Main!$J$5-[155]Main!$J$6</f>
        <v>69.49499999999999</v>
      </c>
      <c r="J321" s="6">
        <f>+H321-I321</f>
        <v>172.96200277999998</v>
      </c>
      <c r="K321" s="3" t="s">
        <v>1073</v>
      </c>
      <c r="L321" s="6">
        <f>+[155]Main!$J$3</f>
        <v>72.591916999999995</v>
      </c>
      <c r="M321" s="9">
        <v>45548</v>
      </c>
    </row>
    <row r="322" spans="1:31" x14ac:dyDescent="0.25">
      <c r="A322"/>
      <c r="B322"/>
      <c r="C322"/>
      <c r="D322" s="1">
        <f t="shared" si="26"/>
        <v>300</v>
      </c>
      <c r="E322" s="5" t="s">
        <v>1170</v>
      </c>
      <c r="F322" t="s">
        <v>1171</v>
      </c>
      <c r="G322" s="7">
        <v>1.28</v>
      </c>
      <c r="H322" s="6">
        <f>+G322*L322</f>
        <v>95.674332159999992</v>
      </c>
      <c r="I322" s="6">
        <f>+[156]Main!$K$5-[156]Main!$K$6</f>
        <v>29.36</v>
      </c>
      <c r="J322" s="6">
        <f>+H322-I322</f>
        <v>66.314332159999992</v>
      </c>
      <c r="K322" s="3" t="s">
        <v>1073</v>
      </c>
      <c r="L322" s="6">
        <f>+[156]Main!$K$3</f>
        <v>74.745571999999996</v>
      </c>
      <c r="M322" s="9">
        <v>45554</v>
      </c>
    </row>
    <row r="323" spans="1:31" x14ac:dyDescent="0.25">
      <c r="A323"/>
      <c r="B323"/>
      <c r="C323"/>
      <c r="D323" s="1">
        <f t="shared" si="26"/>
        <v>301</v>
      </c>
      <c r="E323" s="5" t="s">
        <v>1177</v>
      </c>
      <c r="F323" t="s">
        <v>1178</v>
      </c>
      <c r="G323" s="3">
        <v>0.85</v>
      </c>
      <c r="H323" s="6">
        <f>+G323*L323</f>
        <v>30.110729799999998</v>
      </c>
      <c r="I323" s="6">
        <f>+[157]Main!$L$5-[157]Main!$L$6</f>
        <v>33.298999999999999</v>
      </c>
      <c r="J323" s="6">
        <f>+H323-I323</f>
        <v>-3.1882702000000016</v>
      </c>
      <c r="K323" s="3" t="s">
        <v>1073</v>
      </c>
      <c r="L323" s="6">
        <f>+[157]Main!$L$3</f>
        <v>35.424388</v>
      </c>
      <c r="M323" s="9">
        <v>45558</v>
      </c>
    </row>
    <row r="324" spans="1:31" x14ac:dyDescent="0.25">
      <c r="D324" s="1">
        <f t="shared" si="26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[158]Main!$K$5-[158]Main!$K$6</f>
        <v>54.983000000000004</v>
      </c>
      <c r="J324" s="6">
        <f>H324-I324</f>
        <v>-42.469815400000002</v>
      </c>
      <c r="L324" s="6">
        <f>[158]Main!$K$3</f>
        <v>35.751956</v>
      </c>
      <c r="M324" s="9">
        <v>45063</v>
      </c>
    </row>
    <row r="325" spans="1:31" x14ac:dyDescent="0.25">
      <c r="A325"/>
      <c r="B325"/>
      <c r="C325"/>
      <c r="D325" s="1">
        <f t="shared" si="26"/>
        <v>303</v>
      </c>
      <c r="E325" s="5" t="s">
        <v>935</v>
      </c>
      <c r="F325" t="s">
        <v>936</v>
      </c>
      <c r="G325" s="7">
        <v>4.63</v>
      </c>
      <c r="H325" s="6">
        <f>+G325*L325</f>
        <v>326.68703101999995</v>
      </c>
      <c r="I325" s="6">
        <f>+[159]Main!$K$5-[159]Main!$K$6</f>
        <v>426.65000000000003</v>
      </c>
      <c r="J325" s="6">
        <f>+H325-I325</f>
        <v>-99.962968980000085</v>
      </c>
      <c r="K325" s="3" t="s">
        <v>1073</v>
      </c>
      <c r="L325" s="6">
        <f>+[159]Main!$K$3</f>
        <v>70.558753999999993</v>
      </c>
      <c r="M325" s="9">
        <v>45564</v>
      </c>
      <c r="AE325" s="1">
        <v>2015</v>
      </c>
    </row>
    <row r="326" spans="1:31" x14ac:dyDescent="0.25">
      <c r="A326" s="1" t="s">
        <v>334</v>
      </c>
      <c r="D326" s="1">
        <f t="shared" si="26"/>
        <v>304</v>
      </c>
      <c r="E326" s="1" t="s">
        <v>589</v>
      </c>
      <c r="F326" s="1" t="s">
        <v>590</v>
      </c>
    </row>
    <row r="327" spans="1:31" x14ac:dyDescent="0.25">
      <c r="D327" s="1">
        <f t="shared" si="26"/>
        <v>305</v>
      </c>
      <c r="E327" t="s">
        <v>591</v>
      </c>
      <c r="F327" t="s">
        <v>592</v>
      </c>
    </row>
    <row r="328" spans="1:31" x14ac:dyDescent="0.25">
      <c r="A328" s="1" t="s">
        <v>334</v>
      </c>
      <c r="D328" s="1">
        <f t="shared" si="26"/>
        <v>306</v>
      </c>
      <c r="E328" t="s">
        <v>593</v>
      </c>
      <c r="F328" t="s">
        <v>594</v>
      </c>
    </row>
    <row r="329" spans="1:31" x14ac:dyDescent="0.25">
      <c r="A329" s="1" t="s">
        <v>334</v>
      </c>
      <c r="D329" s="1">
        <f t="shared" ref="D329:D391" si="27">+D328+1</f>
        <v>307</v>
      </c>
      <c r="E329" s="1" t="s">
        <v>449</v>
      </c>
      <c r="F329" s="1" t="s">
        <v>662</v>
      </c>
    </row>
    <row r="330" spans="1:31" x14ac:dyDescent="0.25">
      <c r="D330" s="1">
        <f t="shared" si="27"/>
        <v>308</v>
      </c>
      <c r="E330" t="s">
        <v>1172</v>
      </c>
      <c r="F330" t="s">
        <v>1173</v>
      </c>
    </row>
    <row r="331" spans="1:31" x14ac:dyDescent="0.25">
      <c r="A331" s="1" t="s">
        <v>334</v>
      </c>
      <c r="D331" s="1">
        <f t="shared" si="27"/>
        <v>309</v>
      </c>
      <c r="E331" t="s">
        <v>775</v>
      </c>
      <c r="F331" t="s">
        <v>776</v>
      </c>
    </row>
    <row r="332" spans="1:31" x14ac:dyDescent="0.25">
      <c r="A332" s="1" t="s">
        <v>334</v>
      </c>
      <c r="D332" s="1">
        <f t="shared" si="27"/>
        <v>310</v>
      </c>
      <c r="E332" t="s">
        <v>665</v>
      </c>
      <c r="F332" t="s">
        <v>666</v>
      </c>
    </row>
    <row r="333" spans="1:31" x14ac:dyDescent="0.25">
      <c r="A333" t="s">
        <v>334</v>
      </c>
      <c r="B333"/>
      <c r="C333"/>
      <c r="D333" s="1">
        <f t="shared" si="27"/>
        <v>311</v>
      </c>
      <c r="E333" t="s">
        <v>667</v>
      </c>
      <c r="F333" t="s">
        <v>668</v>
      </c>
    </row>
    <row r="334" spans="1:31" x14ac:dyDescent="0.25">
      <c r="A334" t="s">
        <v>334</v>
      </c>
      <c r="B334"/>
      <c r="C334"/>
      <c r="D334" s="1">
        <f t="shared" si="27"/>
        <v>312</v>
      </c>
      <c r="E334" t="s">
        <v>669</v>
      </c>
      <c r="F334" t="s">
        <v>670</v>
      </c>
    </row>
    <row r="335" spans="1:31" x14ac:dyDescent="0.25">
      <c r="D335" s="1">
        <f t="shared" si="27"/>
        <v>313</v>
      </c>
      <c r="E335" t="s">
        <v>671</v>
      </c>
      <c r="F335" t="s">
        <v>672</v>
      </c>
    </row>
    <row r="336" spans="1:31" x14ac:dyDescent="0.25">
      <c r="A336" s="1" t="s">
        <v>334</v>
      </c>
      <c r="D336" s="1">
        <f t="shared" si="27"/>
        <v>314</v>
      </c>
      <c r="E336" t="s">
        <v>807</v>
      </c>
      <c r="F336" t="s">
        <v>808</v>
      </c>
    </row>
    <row r="337" spans="1:7" x14ac:dyDescent="0.25">
      <c r="A337" s="1" t="s">
        <v>334</v>
      </c>
      <c r="D337" s="1">
        <f t="shared" si="27"/>
        <v>315</v>
      </c>
      <c r="E337" t="s">
        <v>811</v>
      </c>
      <c r="F337" t="s">
        <v>812</v>
      </c>
    </row>
    <row r="338" spans="1:7" x14ac:dyDescent="0.25">
      <c r="A338" t="s">
        <v>334</v>
      </c>
      <c r="B338"/>
      <c r="C338"/>
      <c r="D338" s="1">
        <f t="shared" si="27"/>
        <v>316</v>
      </c>
      <c r="E338" t="s">
        <v>817</v>
      </c>
      <c r="F338" t="s">
        <v>818</v>
      </c>
    </row>
    <row r="339" spans="1:7" x14ac:dyDescent="0.25">
      <c r="A339" t="s">
        <v>334</v>
      </c>
      <c r="B339"/>
      <c r="C339"/>
      <c r="D339" s="1">
        <f t="shared" si="27"/>
        <v>317</v>
      </c>
      <c r="E339" t="s">
        <v>821</v>
      </c>
      <c r="F339" t="s">
        <v>822</v>
      </c>
    </row>
    <row r="340" spans="1:7" x14ac:dyDescent="0.25">
      <c r="A340" t="s">
        <v>334</v>
      </c>
      <c r="B340"/>
      <c r="C340"/>
      <c r="D340" s="1">
        <f t="shared" si="27"/>
        <v>318</v>
      </c>
      <c r="E340" t="s">
        <v>819</v>
      </c>
      <c r="F340" t="s">
        <v>820</v>
      </c>
    </row>
    <row r="341" spans="1:7" x14ac:dyDescent="0.25">
      <c r="A341" t="s">
        <v>334</v>
      </c>
      <c r="B341"/>
      <c r="C341"/>
      <c r="D341" s="1">
        <f t="shared" si="27"/>
        <v>319</v>
      </c>
      <c r="E341" t="s">
        <v>815</v>
      </c>
      <c r="F341" t="s">
        <v>816</v>
      </c>
    </row>
    <row r="342" spans="1:7" x14ac:dyDescent="0.25">
      <c r="A342" t="s">
        <v>334</v>
      </c>
      <c r="B342"/>
      <c r="C342"/>
      <c r="D342" s="1">
        <f t="shared" si="27"/>
        <v>320</v>
      </c>
      <c r="E342" t="s">
        <v>813</v>
      </c>
      <c r="F342" t="s">
        <v>814</v>
      </c>
    </row>
    <row r="343" spans="1:7" x14ac:dyDescent="0.25">
      <c r="A343" s="1" t="s">
        <v>334</v>
      </c>
      <c r="D343" s="1">
        <f t="shared" si="27"/>
        <v>321</v>
      </c>
      <c r="E343" t="s">
        <v>809</v>
      </c>
      <c r="F343" t="s">
        <v>810</v>
      </c>
    </row>
    <row r="344" spans="1:7" x14ac:dyDescent="0.25">
      <c r="A344" s="1" t="s">
        <v>334</v>
      </c>
      <c r="D344" s="1">
        <f t="shared" si="27"/>
        <v>322</v>
      </c>
      <c r="E344" t="s">
        <v>803</v>
      </c>
      <c r="F344" t="s">
        <v>804</v>
      </c>
    </row>
    <row r="345" spans="1:7" x14ac:dyDescent="0.25">
      <c r="A345" s="1" t="s">
        <v>334</v>
      </c>
      <c r="D345" s="1">
        <f t="shared" si="27"/>
        <v>323</v>
      </c>
      <c r="E345" t="s">
        <v>673</v>
      </c>
      <c r="F345" t="s">
        <v>674</v>
      </c>
    </row>
    <row r="346" spans="1:7" x14ac:dyDescent="0.25">
      <c r="A346" s="1" t="s">
        <v>334</v>
      </c>
      <c r="D346" s="1">
        <f t="shared" si="27"/>
        <v>324</v>
      </c>
      <c r="E346" t="s">
        <v>737</v>
      </c>
      <c r="F346" t="s">
        <v>738</v>
      </c>
    </row>
    <row r="347" spans="1:7" x14ac:dyDescent="0.25">
      <c r="A347" s="1" t="s">
        <v>334</v>
      </c>
      <c r="D347" s="1">
        <f t="shared" si="27"/>
        <v>325</v>
      </c>
      <c r="E347" s="5" t="s">
        <v>735</v>
      </c>
      <c r="F347" t="s">
        <v>736</v>
      </c>
      <c r="G347" s="3">
        <v>6.71</v>
      </c>
    </row>
    <row r="348" spans="1:7" x14ac:dyDescent="0.25">
      <c r="A348" s="1" t="s">
        <v>334</v>
      </c>
      <c r="D348" s="1">
        <f t="shared" si="27"/>
        <v>326</v>
      </c>
      <c r="E348" t="s">
        <v>675</v>
      </c>
      <c r="F348" t="s">
        <v>676</v>
      </c>
    </row>
    <row r="349" spans="1:7" x14ac:dyDescent="0.25">
      <c r="A349" t="s">
        <v>334</v>
      </c>
      <c r="B349"/>
      <c r="C349"/>
      <c r="D349" s="1">
        <f t="shared" si="27"/>
        <v>327</v>
      </c>
      <c r="E349" t="s">
        <v>722</v>
      </c>
      <c r="F349" t="s">
        <v>723</v>
      </c>
    </row>
    <row r="350" spans="1:7" x14ac:dyDescent="0.25">
      <c r="A350" s="1" t="s">
        <v>334</v>
      </c>
      <c r="D350" s="1">
        <f t="shared" si="27"/>
        <v>328</v>
      </c>
      <c r="E350" t="s">
        <v>677</v>
      </c>
      <c r="F350" t="s">
        <v>678</v>
      </c>
    </row>
    <row r="351" spans="1:7" x14ac:dyDescent="0.25">
      <c r="A351" s="1" t="s">
        <v>334</v>
      </c>
      <c r="D351" s="1">
        <f t="shared" si="27"/>
        <v>329</v>
      </c>
      <c r="E351" s="1" t="s">
        <v>696</v>
      </c>
      <c r="F351" s="1" t="s">
        <v>697</v>
      </c>
    </row>
    <row r="352" spans="1:7" x14ac:dyDescent="0.25">
      <c r="A352" t="s">
        <v>334</v>
      </c>
      <c r="B352"/>
      <c r="C352"/>
      <c r="D352" s="1">
        <f t="shared" si="27"/>
        <v>330</v>
      </c>
      <c r="E352" t="s">
        <v>700</v>
      </c>
      <c r="F352" t="s">
        <v>701</v>
      </c>
    </row>
    <row r="353" spans="1:13" x14ac:dyDescent="0.25">
      <c r="A353" t="s">
        <v>334</v>
      </c>
      <c r="B353"/>
      <c r="C353"/>
      <c r="D353" s="1">
        <f t="shared" si="27"/>
        <v>331</v>
      </c>
      <c r="E353" t="s">
        <v>702</v>
      </c>
      <c r="F353" t="s">
        <v>703</v>
      </c>
    </row>
    <row r="354" spans="1:13" x14ac:dyDescent="0.25">
      <c r="A354" t="s">
        <v>334</v>
      </c>
      <c r="B354"/>
      <c r="C354"/>
      <c r="D354" s="1">
        <f t="shared" si="27"/>
        <v>332</v>
      </c>
      <c r="E354" t="s">
        <v>823</v>
      </c>
      <c r="F354" t="s">
        <v>824</v>
      </c>
    </row>
    <row r="355" spans="1:13" x14ac:dyDescent="0.25">
      <c r="A355" t="s">
        <v>334</v>
      </c>
      <c r="B355"/>
      <c r="C355"/>
      <c r="D355" s="1">
        <f t="shared" si="27"/>
        <v>333</v>
      </c>
      <c r="E355" t="s">
        <v>827</v>
      </c>
      <c r="F355" t="s">
        <v>828</v>
      </c>
      <c r="G355" s="3">
        <v>0.48</v>
      </c>
    </row>
    <row r="356" spans="1:13" x14ac:dyDescent="0.25">
      <c r="A356" t="s">
        <v>334</v>
      </c>
      <c r="B356"/>
      <c r="C356"/>
      <c r="D356" s="1">
        <f t="shared" si="27"/>
        <v>334</v>
      </c>
      <c r="E356" s="5" t="s">
        <v>829</v>
      </c>
      <c r="F356" t="s">
        <v>830</v>
      </c>
      <c r="G356" s="3">
        <v>9.11</v>
      </c>
      <c r="H356" s="6">
        <f>G356*L356</f>
        <v>772.48715987000003</v>
      </c>
      <c r="I356" s="6">
        <f>[160]Main!$I$5-[160]Main!$I$6</f>
        <v>138.756</v>
      </c>
      <c r="J356" s="6">
        <f>H356-I356</f>
        <v>633.73115987000006</v>
      </c>
      <c r="K356" s="9" t="s">
        <v>1618</v>
      </c>
      <c r="L356" s="6">
        <f>[160]Main!$I$3</f>
        <v>84.795517000000004</v>
      </c>
      <c r="M356" s="9">
        <v>45622</v>
      </c>
    </row>
    <row r="357" spans="1:13" x14ac:dyDescent="0.25">
      <c r="A357"/>
      <c r="B357"/>
      <c r="C357"/>
      <c r="D357" s="1">
        <f t="shared" si="27"/>
        <v>335</v>
      </c>
      <c r="E357" t="s">
        <v>831</v>
      </c>
      <c r="F357" t="s">
        <v>832</v>
      </c>
    </row>
    <row r="358" spans="1:13" x14ac:dyDescent="0.25">
      <c r="A358" t="s">
        <v>334</v>
      </c>
      <c r="B358"/>
      <c r="C358"/>
      <c r="D358" s="1">
        <f t="shared" si="27"/>
        <v>336</v>
      </c>
      <c r="E358" s="5" t="s">
        <v>833</v>
      </c>
      <c r="F358" t="s">
        <v>834</v>
      </c>
      <c r="G358" s="3">
        <v>1.73</v>
      </c>
    </row>
    <row r="359" spans="1:13" x14ac:dyDescent="0.25">
      <c r="A359" t="s">
        <v>334</v>
      </c>
      <c r="B359"/>
      <c r="C359"/>
      <c r="D359" s="1">
        <f t="shared" si="27"/>
        <v>337</v>
      </c>
      <c r="E359" t="s">
        <v>835</v>
      </c>
      <c r="F359" t="s">
        <v>836</v>
      </c>
    </row>
    <row r="360" spans="1:13" x14ac:dyDescent="0.25">
      <c r="A360" t="s">
        <v>334</v>
      </c>
      <c r="B360"/>
      <c r="C360"/>
      <c r="D360" s="1">
        <f t="shared" si="27"/>
        <v>338</v>
      </c>
      <c r="E360" t="s">
        <v>837</v>
      </c>
      <c r="F360" t="s">
        <v>838</v>
      </c>
    </row>
    <row r="361" spans="1:13" x14ac:dyDescent="0.25">
      <c r="A361"/>
      <c r="B361"/>
      <c r="C361"/>
      <c r="D361" s="1">
        <f t="shared" si="27"/>
        <v>339</v>
      </c>
      <c r="E361" t="s">
        <v>839</v>
      </c>
      <c r="F361" t="s">
        <v>840</v>
      </c>
    </row>
    <row r="362" spans="1:13" x14ac:dyDescent="0.25">
      <c r="A362"/>
      <c r="B362"/>
      <c r="C362"/>
      <c r="D362" s="1">
        <f t="shared" si="27"/>
        <v>340</v>
      </c>
      <c r="E362" t="s">
        <v>841</v>
      </c>
      <c r="F362" t="s">
        <v>842</v>
      </c>
    </row>
    <row r="363" spans="1:13" x14ac:dyDescent="0.25">
      <c r="A363" t="s">
        <v>334</v>
      </c>
      <c r="B363"/>
      <c r="C363"/>
      <c r="D363" s="1">
        <f t="shared" si="27"/>
        <v>341</v>
      </c>
      <c r="E363" t="s">
        <v>843</v>
      </c>
      <c r="F363" t="s">
        <v>844</v>
      </c>
    </row>
    <row r="364" spans="1:13" x14ac:dyDescent="0.25">
      <c r="A364" t="s">
        <v>334</v>
      </c>
      <c r="B364"/>
      <c r="C364"/>
      <c r="D364" s="1">
        <f t="shared" si="27"/>
        <v>342</v>
      </c>
      <c r="E364" t="s">
        <v>845</v>
      </c>
      <c r="F364" t="s">
        <v>846</v>
      </c>
    </row>
    <row r="365" spans="1:13" x14ac:dyDescent="0.25">
      <c r="A365" t="s">
        <v>334</v>
      </c>
      <c r="B365"/>
      <c r="C365"/>
      <c r="D365" s="1">
        <f t="shared" si="27"/>
        <v>343</v>
      </c>
      <c r="E365" s="5" t="s">
        <v>851</v>
      </c>
      <c r="F365" t="s">
        <v>852</v>
      </c>
      <c r="G365" s="3">
        <v>0.32</v>
      </c>
    </row>
    <row r="366" spans="1:13" x14ac:dyDescent="0.25">
      <c r="A366" t="s">
        <v>334</v>
      </c>
      <c r="B366"/>
      <c r="C366"/>
      <c r="D366" s="1">
        <f t="shared" si="27"/>
        <v>344</v>
      </c>
      <c r="E366" s="5" t="s">
        <v>853</v>
      </c>
      <c r="F366" t="s">
        <v>854</v>
      </c>
      <c r="G366" s="3">
        <v>14.25</v>
      </c>
    </row>
    <row r="367" spans="1:13" x14ac:dyDescent="0.25">
      <c r="A367"/>
      <c r="B367"/>
      <c r="C367"/>
      <c r="D367" s="1">
        <f t="shared" si="27"/>
        <v>345</v>
      </c>
      <c r="E367" t="s">
        <v>855</v>
      </c>
      <c r="F367" t="s">
        <v>856</v>
      </c>
    </row>
    <row r="368" spans="1:13" x14ac:dyDescent="0.25">
      <c r="A368" t="s">
        <v>334</v>
      </c>
      <c r="B368"/>
      <c r="C368"/>
      <c r="D368" s="1">
        <f t="shared" si="27"/>
        <v>346</v>
      </c>
      <c r="E368" s="5" t="s">
        <v>857</v>
      </c>
      <c r="F368" t="s">
        <v>858</v>
      </c>
      <c r="G368" s="3">
        <v>23.86</v>
      </c>
      <c r="H368" s="6">
        <f>+G368*L368</f>
        <v>725.98063251999997</v>
      </c>
      <c r="I368" s="6">
        <f>+[161]Main!$K$5-[161]Main!$K$6</f>
        <v>458.03099999999995</v>
      </c>
      <c r="J368" s="6">
        <f>+H368-I368</f>
        <v>267.94963252000002</v>
      </c>
      <c r="K368" s="3" t="s">
        <v>1279</v>
      </c>
      <c r="L368" s="6">
        <f>+[161]Main!$K$3</f>
        <v>30.426682</v>
      </c>
      <c r="M368" s="9">
        <v>45631</v>
      </c>
    </row>
    <row r="369" spans="1:13" x14ac:dyDescent="0.25">
      <c r="A369" t="s">
        <v>334</v>
      </c>
      <c r="B369"/>
      <c r="C369"/>
      <c r="D369" s="1">
        <f t="shared" si="27"/>
        <v>347</v>
      </c>
      <c r="E369" s="5" t="s">
        <v>859</v>
      </c>
      <c r="F369" t="s">
        <v>860</v>
      </c>
      <c r="G369" s="3">
        <v>1.74</v>
      </c>
      <c r="H369" s="6">
        <f>+G369*L369</f>
        <v>200.47132818</v>
      </c>
      <c r="I369" s="6">
        <f>+[162]Main!$J$5-[162]Main!$J$6</f>
        <v>316.5809999999999</v>
      </c>
      <c r="J369" s="6">
        <f>+H369-I369</f>
        <v>-116.1096718199999</v>
      </c>
      <c r="K369" s="3" t="s">
        <v>1279</v>
      </c>
      <c r="L369" s="6">
        <f>+[162]Main!$J$3</f>
        <v>115.213407</v>
      </c>
      <c r="M369" s="9">
        <v>45631</v>
      </c>
    </row>
    <row r="370" spans="1:13" x14ac:dyDescent="0.25">
      <c r="A370" t="s">
        <v>334</v>
      </c>
      <c r="B370"/>
      <c r="C370"/>
      <c r="D370" s="1">
        <f t="shared" si="27"/>
        <v>348</v>
      </c>
      <c r="E370" t="s">
        <v>861</v>
      </c>
      <c r="F370" t="s">
        <v>862</v>
      </c>
    </row>
    <row r="371" spans="1:13" x14ac:dyDescent="0.25">
      <c r="A371" t="s">
        <v>334</v>
      </c>
      <c r="B371"/>
      <c r="C371"/>
      <c r="D371" s="1">
        <f t="shared" si="27"/>
        <v>349</v>
      </c>
      <c r="E371" t="s">
        <v>863</v>
      </c>
      <c r="F371" t="s">
        <v>864</v>
      </c>
    </row>
    <row r="372" spans="1:13" x14ac:dyDescent="0.25">
      <c r="A372" t="s">
        <v>334</v>
      </c>
      <c r="B372"/>
      <c r="C372"/>
      <c r="D372" s="1">
        <f t="shared" si="27"/>
        <v>350</v>
      </c>
      <c r="E372" t="s">
        <v>865</v>
      </c>
      <c r="F372" t="s">
        <v>866</v>
      </c>
    </row>
    <row r="373" spans="1:13" x14ac:dyDescent="0.25">
      <c r="A373" t="s">
        <v>334</v>
      </c>
      <c r="B373"/>
      <c r="C373"/>
      <c r="D373" s="1">
        <f t="shared" si="27"/>
        <v>351</v>
      </c>
      <c r="E373" t="s">
        <v>867</v>
      </c>
      <c r="F373" t="s">
        <v>868</v>
      </c>
    </row>
    <row r="374" spans="1:13" x14ac:dyDescent="0.25">
      <c r="A374" t="s">
        <v>334</v>
      </c>
      <c r="B374"/>
      <c r="C374"/>
      <c r="D374" s="1">
        <f t="shared" si="27"/>
        <v>352</v>
      </c>
      <c r="E374" t="s">
        <v>871</v>
      </c>
      <c r="F374" t="s">
        <v>872</v>
      </c>
      <c r="G374" s="7">
        <v>2.8</v>
      </c>
    </row>
    <row r="375" spans="1:13" x14ac:dyDescent="0.25">
      <c r="A375" t="s">
        <v>334</v>
      </c>
      <c r="B375"/>
      <c r="C375"/>
      <c r="D375" s="1">
        <f t="shared" si="27"/>
        <v>353</v>
      </c>
      <c r="E375" t="s">
        <v>873</v>
      </c>
      <c r="F375" t="s">
        <v>874</v>
      </c>
      <c r="G375" s="7">
        <v>2.02</v>
      </c>
    </row>
    <row r="376" spans="1:13" x14ac:dyDescent="0.25">
      <c r="A376" t="s">
        <v>334</v>
      </c>
      <c r="B376"/>
      <c r="C376"/>
      <c r="D376" s="1">
        <f t="shared" si="27"/>
        <v>354</v>
      </c>
      <c r="E376" t="s">
        <v>875</v>
      </c>
      <c r="F376" t="s">
        <v>876</v>
      </c>
      <c r="G376" s="7">
        <v>2</v>
      </c>
    </row>
    <row r="377" spans="1:13" x14ac:dyDescent="0.25">
      <c r="A377" t="s">
        <v>334</v>
      </c>
      <c r="B377"/>
      <c r="C377"/>
      <c r="D377" s="1">
        <f t="shared" si="27"/>
        <v>355</v>
      </c>
      <c r="E377" t="s">
        <v>877</v>
      </c>
      <c r="F377" t="s">
        <v>878</v>
      </c>
      <c r="G377" s="7">
        <v>0.94</v>
      </c>
    </row>
    <row r="378" spans="1:13" x14ac:dyDescent="0.25">
      <c r="A378" t="s">
        <v>334</v>
      </c>
      <c r="B378"/>
      <c r="C378"/>
      <c r="D378" s="1">
        <f t="shared" si="27"/>
        <v>356</v>
      </c>
      <c r="E378" t="s">
        <v>879</v>
      </c>
      <c r="F378" t="s">
        <v>880</v>
      </c>
      <c r="G378" s="7">
        <v>2.36</v>
      </c>
    </row>
    <row r="379" spans="1:13" x14ac:dyDescent="0.25">
      <c r="A379" t="s">
        <v>334</v>
      </c>
      <c r="B379"/>
      <c r="C379"/>
      <c r="D379" s="1">
        <f t="shared" si="27"/>
        <v>357</v>
      </c>
      <c r="E379" t="s">
        <v>881</v>
      </c>
      <c r="F379" t="s">
        <v>882</v>
      </c>
      <c r="G379" s="7"/>
    </row>
    <row r="380" spans="1:13" x14ac:dyDescent="0.25">
      <c r="A380" t="s">
        <v>334</v>
      </c>
      <c r="B380"/>
      <c r="C380"/>
      <c r="D380" s="1">
        <f t="shared" si="27"/>
        <v>358</v>
      </c>
      <c r="E380" t="s">
        <v>883</v>
      </c>
      <c r="F380" t="s">
        <v>884</v>
      </c>
      <c r="G380" s="7">
        <v>7.3</v>
      </c>
    </row>
    <row r="381" spans="1:13" x14ac:dyDescent="0.25">
      <c r="A381" t="s">
        <v>334</v>
      </c>
      <c r="B381"/>
      <c r="C381"/>
      <c r="D381" s="1">
        <f t="shared" si="27"/>
        <v>359</v>
      </c>
      <c r="E381" t="s">
        <v>887</v>
      </c>
      <c r="F381" t="s">
        <v>888</v>
      </c>
      <c r="G381" s="7">
        <v>14.5</v>
      </c>
    </row>
    <row r="382" spans="1:13" x14ac:dyDescent="0.25">
      <c r="A382" t="s">
        <v>334</v>
      </c>
      <c r="B382"/>
      <c r="C382"/>
      <c r="D382" s="1">
        <f t="shared" si="27"/>
        <v>360</v>
      </c>
      <c r="E382" t="s">
        <v>889</v>
      </c>
      <c r="F382" t="s">
        <v>890</v>
      </c>
      <c r="G382" s="7">
        <v>16.95</v>
      </c>
    </row>
    <row r="383" spans="1:13" x14ac:dyDescent="0.25">
      <c r="A383" t="s">
        <v>334</v>
      </c>
      <c r="B383"/>
      <c r="C383"/>
      <c r="D383" s="1">
        <f t="shared" si="27"/>
        <v>361</v>
      </c>
      <c r="E383" t="s">
        <v>892</v>
      </c>
      <c r="F383" t="s">
        <v>891</v>
      </c>
      <c r="G383" s="7">
        <v>1.03</v>
      </c>
    </row>
    <row r="384" spans="1:13" x14ac:dyDescent="0.25">
      <c r="A384" t="s">
        <v>334</v>
      </c>
      <c r="B384"/>
      <c r="C384"/>
      <c r="D384" s="1">
        <f t="shared" si="27"/>
        <v>362</v>
      </c>
      <c r="E384" t="s">
        <v>893</v>
      </c>
      <c r="F384" t="s">
        <v>894</v>
      </c>
      <c r="G384" s="7">
        <v>2.4</v>
      </c>
    </row>
    <row r="385" spans="1:7" x14ac:dyDescent="0.25">
      <c r="A385" t="s">
        <v>334</v>
      </c>
      <c r="B385"/>
      <c r="C385"/>
      <c r="D385" s="1">
        <f t="shared" si="27"/>
        <v>363</v>
      </c>
      <c r="E385" t="s">
        <v>895</v>
      </c>
      <c r="F385" t="s">
        <v>896</v>
      </c>
      <c r="G385" s="7">
        <v>6.26</v>
      </c>
    </row>
    <row r="386" spans="1:7" x14ac:dyDescent="0.25">
      <c r="A386" t="s">
        <v>334</v>
      </c>
      <c r="B386"/>
      <c r="C386"/>
      <c r="D386" s="1">
        <f t="shared" si="27"/>
        <v>364</v>
      </c>
      <c r="E386" t="s">
        <v>897</v>
      </c>
      <c r="F386" t="s">
        <v>898</v>
      </c>
      <c r="G386" s="7">
        <v>17.100000000000001</v>
      </c>
    </row>
    <row r="387" spans="1:7" x14ac:dyDescent="0.25">
      <c r="A387" t="s">
        <v>334</v>
      </c>
      <c r="B387"/>
      <c r="C387"/>
      <c r="D387" s="1">
        <f t="shared" si="27"/>
        <v>365</v>
      </c>
      <c r="E387" t="s">
        <v>899</v>
      </c>
      <c r="F387" t="s">
        <v>900</v>
      </c>
      <c r="G387" s="3">
        <v>0.65</v>
      </c>
    </row>
    <row r="388" spans="1:7" x14ac:dyDescent="0.25">
      <c r="A388" t="s">
        <v>334</v>
      </c>
      <c r="B388"/>
      <c r="C388"/>
      <c r="D388" s="1">
        <f t="shared" si="27"/>
        <v>366</v>
      </c>
      <c r="E388" t="s">
        <v>901</v>
      </c>
      <c r="F388" t="s">
        <v>902</v>
      </c>
    </row>
    <row r="389" spans="1:7" x14ac:dyDescent="0.25">
      <c r="A389" t="s">
        <v>334</v>
      </c>
      <c r="B389"/>
      <c r="C389"/>
      <c r="D389" s="1">
        <f t="shared" si="27"/>
        <v>367</v>
      </c>
      <c r="E389" t="s">
        <v>903</v>
      </c>
      <c r="F389" t="s">
        <v>904</v>
      </c>
    </row>
    <row r="390" spans="1:7" x14ac:dyDescent="0.25">
      <c r="A390" t="s">
        <v>334</v>
      </c>
      <c r="B390"/>
      <c r="C390"/>
      <c r="D390" s="1">
        <f t="shared" si="27"/>
        <v>368</v>
      </c>
      <c r="E390" t="s">
        <v>905</v>
      </c>
      <c r="F390" t="s">
        <v>906</v>
      </c>
    </row>
    <row r="391" spans="1:7" x14ac:dyDescent="0.25">
      <c r="A391" t="s">
        <v>334</v>
      </c>
      <c r="B391"/>
      <c r="C391"/>
      <c r="D391" s="1">
        <f t="shared" si="27"/>
        <v>369</v>
      </c>
      <c r="E391" t="s">
        <v>907</v>
      </c>
      <c r="F391" t="s">
        <v>908</v>
      </c>
    </row>
    <row r="392" spans="1:7" x14ac:dyDescent="0.25">
      <c r="A392" t="s">
        <v>334</v>
      </c>
      <c r="B392"/>
      <c r="C392"/>
      <c r="D392" s="1">
        <f t="shared" ref="D392:D471" si="28">+D391+1</f>
        <v>370</v>
      </c>
      <c r="E392" t="s">
        <v>909</v>
      </c>
      <c r="F392" t="s">
        <v>910</v>
      </c>
    </row>
    <row r="393" spans="1:7" x14ac:dyDescent="0.25">
      <c r="A393"/>
      <c r="B393"/>
      <c r="C393"/>
      <c r="D393" s="1">
        <f t="shared" si="28"/>
        <v>371</v>
      </c>
      <c r="E393" t="s">
        <v>911</v>
      </c>
      <c r="F393" t="s">
        <v>912</v>
      </c>
    </row>
    <row r="394" spans="1:7" x14ac:dyDescent="0.25">
      <c r="A394"/>
      <c r="B394"/>
      <c r="C394"/>
      <c r="D394" s="1">
        <f t="shared" si="28"/>
        <v>372</v>
      </c>
      <c r="E394" t="s">
        <v>913</v>
      </c>
      <c r="F394" t="s">
        <v>914</v>
      </c>
    </row>
    <row r="395" spans="1:7" x14ac:dyDescent="0.25">
      <c r="A395"/>
      <c r="B395"/>
      <c r="C395"/>
      <c r="D395" s="1">
        <f t="shared" si="28"/>
        <v>373</v>
      </c>
      <c r="E395" t="s">
        <v>915</v>
      </c>
      <c r="F395" t="s">
        <v>916</v>
      </c>
    </row>
    <row r="396" spans="1:7" x14ac:dyDescent="0.25">
      <c r="A396"/>
      <c r="B396"/>
      <c r="C396"/>
      <c r="D396" s="1">
        <f t="shared" si="28"/>
        <v>374</v>
      </c>
      <c r="E396" t="s">
        <v>917</v>
      </c>
      <c r="F396" t="s">
        <v>918</v>
      </c>
    </row>
    <row r="397" spans="1:7" x14ac:dyDescent="0.25">
      <c r="A397"/>
      <c r="B397"/>
      <c r="C397"/>
      <c r="D397" s="1">
        <f t="shared" si="28"/>
        <v>375</v>
      </c>
      <c r="E397" t="s">
        <v>919</v>
      </c>
      <c r="F397" t="s">
        <v>920</v>
      </c>
    </row>
    <row r="398" spans="1:7" x14ac:dyDescent="0.25">
      <c r="A398"/>
      <c r="B398"/>
      <c r="C398"/>
      <c r="D398" s="1">
        <f t="shared" si="28"/>
        <v>376</v>
      </c>
      <c r="E398" t="s">
        <v>921</v>
      </c>
      <c r="F398" t="s">
        <v>922</v>
      </c>
    </row>
    <row r="399" spans="1:7" x14ac:dyDescent="0.25">
      <c r="A399"/>
      <c r="B399"/>
      <c r="C399"/>
      <c r="D399" s="1">
        <f t="shared" si="28"/>
        <v>377</v>
      </c>
      <c r="E399" s="5" t="s">
        <v>1295</v>
      </c>
      <c r="F399" t="s">
        <v>1296</v>
      </c>
      <c r="G399" s="7">
        <v>1</v>
      </c>
    </row>
    <row r="400" spans="1:7" x14ac:dyDescent="0.25">
      <c r="A400"/>
      <c r="B400"/>
      <c r="C400"/>
      <c r="D400" s="1">
        <f t="shared" si="28"/>
        <v>378</v>
      </c>
      <c r="E400" t="s">
        <v>923</v>
      </c>
      <c r="F400" t="s">
        <v>924</v>
      </c>
    </row>
    <row r="401" spans="1:7" x14ac:dyDescent="0.25">
      <c r="A401"/>
      <c r="B401"/>
      <c r="C401"/>
      <c r="D401" s="1">
        <f t="shared" si="28"/>
        <v>379</v>
      </c>
      <c r="E401" t="s">
        <v>925</v>
      </c>
      <c r="F401" t="s">
        <v>926</v>
      </c>
    </row>
    <row r="402" spans="1:7" x14ac:dyDescent="0.25">
      <c r="A402"/>
      <c r="B402"/>
      <c r="C402"/>
      <c r="D402" s="1">
        <f t="shared" si="28"/>
        <v>380</v>
      </c>
      <c r="E402" t="s">
        <v>927</v>
      </c>
      <c r="F402" t="s">
        <v>928</v>
      </c>
    </row>
    <row r="403" spans="1:7" x14ac:dyDescent="0.25">
      <c r="A403"/>
      <c r="B403"/>
      <c r="C403"/>
      <c r="D403" s="1">
        <f t="shared" si="28"/>
        <v>381</v>
      </c>
      <c r="E403" t="s">
        <v>929</v>
      </c>
      <c r="F403" t="s">
        <v>930</v>
      </c>
    </row>
    <row r="404" spans="1:7" x14ac:dyDescent="0.25">
      <c r="A404"/>
      <c r="B404"/>
      <c r="C404"/>
      <c r="D404" s="1">
        <f t="shared" si="28"/>
        <v>382</v>
      </c>
      <c r="E404" t="s">
        <v>931</v>
      </c>
      <c r="F404" t="s">
        <v>934</v>
      </c>
    </row>
    <row r="405" spans="1:7" x14ac:dyDescent="0.25">
      <c r="A405"/>
      <c r="B405"/>
      <c r="C405"/>
      <c r="D405" s="1">
        <f t="shared" si="28"/>
        <v>383</v>
      </c>
      <c r="E405" t="s">
        <v>932</v>
      </c>
      <c r="F405" t="s">
        <v>933</v>
      </c>
    </row>
    <row r="406" spans="1:7" x14ac:dyDescent="0.25">
      <c r="A406"/>
      <c r="B406"/>
      <c r="C406"/>
      <c r="D406" s="1">
        <f t="shared" si="28"/>
        <v>384</v>
      </c>
      <c r="E406" t="s">
        <v>937</v>
      </c>
      <c r="F406" t="s">
        <v>938</v>
      </c>
    </row>
    <row r="407" spans="1:7" ht="13" x14ac:dyDescent="0.3">
      <c r="A407"/>
      <c r="B407"/>
      <c r="C407"/>
      <c r="D407" s="1">
        <f t="shared" si="28"/>
        <v>385</v>
      </c>
      <c r="E407" s="25" t="s">
        <v>1352</v>
      </c>
      <c r="F407" t="s">
        <v>1353</v>
      </c>
      <c r="G407" s="3">
        <v>2.84</v>
      </c>
    </row>
    <row r="408" spans="1:7" x14ac:dyDescent="0.25">
      <c r="A408"/>
      <c r="B408"/>
      <c r="C408"/>
      <c r="D408" s="1">
        <f t="shared" si="28"/>
        <v>386</v>
      </c>
      <c r="E408" t="s">
        <v>941</v>
      </c>
      <c r="F408" t="s">
        <v>942</v>
      </c>
    </row>
    <row r="409" spans="1:7" x14ac:dyDescent="0.25">
      <c r="A409"/>
      <c r="B409"/>
      <c r="C409"/>
      <c r="D409" s="1">
        <f t="shared" si="28"/>
        <v>387</v>
      </c>
      <c r="E409" t="s">
        <v>943</v>
      </c>
      <c r="F409" t="s">
        <v>944</v>
      </c>
    </row>
    <row r="410" spans="1:7" x14ac:dyDescent="0.25">
      <c r="A410"/>
      <c r="B410"/>
      <c r="C410"/>
      <c r="D410" s="1">
        <f t="shared" si="28"/>
        <v>388</v>
      </c>
      <c r="E410" t="s">
        <v>945</v>
      </c>
      <c r="F410" t="s">
        <v>946</v>
      </c>
    </row>
    <row r="411" spans="1:7" x14ac:dyDescent="0.25">
      <c r="A411"/>
      <c r="B411"/>
      <c r="C411"/>
      <c r="D411" s="1">
        <f t="shared" si="28"/>
        <v>389</v>
      </c>
      <c r="E411" t="s">
        <v>947</v>
      </c>
      <c r="F411" t="s">
        <v>948</v>
      </c>
    </row>
    <row r="412" spans="1:7" x14ac:dyDescent="0.25">
      <c r="A412"/>
      <c r="B412"/>
      <c r="C412"/>
      <c r="D412" s="1">
        <f t="shared" si="28"/>
        <v>390</v>
      </c>
      <c r="E412" t="s">
        <v>949</v>
      </c>
      <c r="F412" t="s">
        <v>950</v>
      </c>
    </row>
    <row r="413" spans="1:7" x14ac:dyDescent="0.25">
      <c r="A413"/>
      <c r="B413"/>
      <c r="C413"/>
      <c r="D413" s="1">
        <f t="shared" si="28"/>
        <v>391</v>
      </c>
      <c r="E413" t="s">
        <v>953</v>
      </c>
      <c r="F413" t="s">
        <v>954</v>
      </c>
    </row>
    <row r="414" spans="1:7" x14ac:dyDescent="0.25">
      <c r="A414"/>
      <c r="B414"/>
      <c r="C414"/>
      <c r="D414" s="1">
        <f t="shared" si="28"/>
        <v>392</v>
      </c>
      <c r="E414" t="s">
        <v>955</v>
      </c>
      <c r="F414" t="s">
        <v>956</v>
      </c>
      <c r="G414" s="7">
        <v>2.19</v>
      </c>
    </row>
    <row r="415" spans="1:7" x14ac:dyDescent="0.25">
      <c r="A415"/>
      <c r="B415"/>
      <c r="C415"/>
      <c r="D415" s="1">
        <f t="shared" si="28"/>
        <v>393</v>
      </c>
      <c r="E415" t="s">
        <v>957</v>
      </c>
      <c r="F415" t="s">
        <v>958</v>
      </c>
    </row>
    <row r="416" spans="1:7" x14ac:dyDescent="0.25">
      <c r="A416"/>
      <c r="B416"/>
      <c r="C416"/>
      <c r="D416" s="1">
        <f t="shared" si="28"/>
        <v>394</v>
      </c>
      <c r="E416" t="s">
        <v>959</v>
      </c>
      <c r="F416" t="s">
        <v>960</v>
      </c>
    </row>
    <row r="417" spans="1:13" x14ac:dyDescent="0.25">
      <c r="A417"/>
      <c r="B417"/>
      <c r="C417"/>
      <c r="D417" s="1">
        <f t="shared" si="28"/>
        <v>395</v>
      </c>
      <c r="E417" t="s">
        <v>961</v>
      </c>
      <c r="F417" t="s">
        <v>962</v>
      </c>
    </row>
    <row r="418" spans="1:13" x14ac:dyDescent="0.25">
      <c r="A418"/>
      <c r="B418"/>
      <c r="C418"/>
      <c r="D418" s="1">
        <f t="shared" si="28"/>
        <v>396</v>
      </c>
      <c r="E418" t="s">
        <v>963</v>
      </c>
      <c r="F418" t="s">
        <v>964</v>
      </c>
    </row>
    <row r="419" spans="1:13" x14ac:dyDescent="0.25">
      <c r="A419"/>
      <c r="B419"/>
      <c r="C419"/>
      <c r="D419" s="1">
        <f t="shared" si="28"/>
        <v>397</v>
      </c>
      <c r="E419" t="s">
        <v>965</v>
      </c>
      <c r="F419" t="s">
        <v>966</v>
      </c>
    </row>
    <row r="420" spans="1:13" x14ac:dyDescent="0.25">
      <c r="A420"/>
      <c r="B420"/>
      <c r="C420"/>
      <c r="D420" s="1">
        <f t="shared" si="28"/>
        <v>398</v>
      </c>
      <c r="E420" t="s">
        <v>967</v>
      </c>
      <c r="F420" t="s">
        <v>968</v>
      </c>
    </row>
    <row r="421" spans="1:13" x14ac:dyDescent="0.25">
      <c r="A421"/>
      <c r="B421"/>
      <c r="C421"/>
      <c r="D421" s="1">
        <f t="shared" si="28"/>
        <v>399</v>
      </c>
      <c r="E421" t="s">
        <v>969</v>
      </c>
      <c r="F421" t="s">
        <v>970</v>
      </c>
    </row>
    <row r="422" spans="1:13" x14ac:dyDescent="0.25">
      <c r="A422"/>
      <c r="B422"/>
      <c r="C422"/>
      <c r="D422" s="1">
        <f t="shared" si="28"/>
        <v>400</v>
      </c>
      <c r="E422" t="s">
        <v>971</v>
      </c>
      <c r="F422" t="s">
        <v>972</v>
      </c>
    </row>
    <row r="423" spans="1:13" x14ac:dyDescent="0.25">
      <c r="A423"/>
      <c r="B423"/>
      <c r="C423"/>
      <c r="D423" s="1">
        <f t="shared" si="28"/>
        <v>401</v>
      </c>
      <c r="E423" t="s">
        <v>973</v>
      </c>
      <c r="F423" t="s">
        <v>974</v>
      </c>
    </row>
    <row r="424" spans="1:13" x14ac:dyDescent="0.25">
      <c r="D424" s="1">
        <f t="shared" si="28"/>
        <v>402</v>
      </c>
      <c r="E424" s="1" t="s">
        <v>1096</v>
      </c>
      <c r="F424" s="1" t="s">
        <v>1097</v>
      </c>
      <c r="G424" s="3">
        <v>8.11</v>
      </c>
      <c r="H424" s="3">
        <v>123</v>
      </c>
    </row>
    <row r="425" spans="1:13" x14ac:dyDescent="0.25">
      <c r="D425" s="1">
        <f>+D467+1</f>
        <v>442</v>
      </c>
      <c r="E425" s="5" t="s">
        <v>1792</v>
      </c>
      <c r="F425" s="1" t="s">
        <v>1793</v>
      </c>
      <c r="G425" s="7">
        <v>50.86</v>
      </c>
      <c r="H425" s="6">
        <f>+G425*L425</f>
        <v>750.32176254000001</v>
      </c>
      <c r="I425" s="6">
        <f>+[163]Main!$M$5-[163]Main!$M$6</f>
        <v>159.095</v>
      </c>
      <c r="J425" s="6">
        <f>+H425-I425</f>
        <v>591.22676253999998</v>
      </c>
      <c r="K425" s="3" t="s">
        <v>1279</v>
      </c>
      <c r="L425" s="6">
        <f>+[163]Main!$M$3</f>
        <v>14.752689</v>
      </c>
      <c r="M425" s="9">
        <v>45687</v>
      </c>
    </row>
    <row r="426" spans="1:13" x14ac:dyDescent="0.25">
      <c r="D426" s="1">
        <f>+D424+1</f>
        <v>403</v>
      </c>
      <c r="E426" s="5" t="s">
        <v>1610</v>
      </c>
      <c r="F426" t="s">
        <v>1611</v>
      </c>
      <c r="G426" s="7">
        <v>42.9</v>
      </c>
      <c r="H426" s="6">
        <f t="shared" ref="H426:H440" si="29">+G426*L426</f>
        <v>518.07807479999997</v>
      </c>
      <c r="I426" s="6">
        <f>+[164]Main!$K$5-[164]Main!$K$6</f>
        <v>89.078000000000003</v>
      </c>
      <c r="J426" s="6">
        <f t="shared" ref="J426:J440" si="30">+H426-I426</f>
        <v>429.00007479999999</v>
      </c>
      <c r="K426" s="3" t="s">
        <v>1279</v>
      </c>
      <c r="L426" s="6">
        <f>+[164]Main!$K$3</f>
        <v>12.076411999999999</v>
      </c>
      <c r="M426" s="9">
        <v>45608</v>
      </c>
    </row>
    <row r="427" spans="1:13" x14ac:dyDescent="0.25">
      <c r="D427" s="1">
        <f t="shared" si="28"/>
        <v>404</v>
      </c>
      <c r="E427" s="40" t="s">
        <v>1129</v>
      </c>
      <c r="F427" s="1" t="s">
        <v>1130</v>
      </c>
      <c r="G427" s="7">
        <v>10.54</v>
      </c>
      <c r="H427" s="6">
        <f t="shared" si="29"/>
        <v>295.11496187999995</v>
      </c>
      <c r="I427" s="6">
        <f>+[165]Main!$K$5-[165]Main!$K$6</f>
        <v>15.414999999999999</v>
      </c>
      <c r="J427" s="6">
        <f t="shared" si="30"/>
        <v>279.69996187999993</v>
      </c>
      <c r="K427" s="3" t="s">
        <v>1073</v>
      </c>
      <c r="L427" s="6">
        <f>+[165]Main!$K$3</f>
        <v>27.999521999999999</v>
      </c>
      <c r="M427" s="9">
        <v>45474</v>
      </c>
    </row>
    <row r="428" spans="1:13" x14ac:dyDescent="0.25">
      <c r="D428" s="1">
        <f t="shared" si="28"/>
        <v>405</v>
      </c>
      <c r="E428" s="5" t="s">
        <v>1620</v>
      </c>
      <c r="F428" s="1" t="s">
        <v>1619</v>
      </c>
      <c r="G428" s="3">
        <v>2.62</v>
      </c>
      <c r="H428" s="6">
        <f>+G428*L428</f>
        <v>164.43598150000003</v>
      </c>
      <c r="I428" s="6">
        <f>+[166]Main!$K$5-[166]Main!$K$6</f>
        <v>-77.494</v>
      </c>
      <c r="J428" s="6">
        <f>+H428-I428</f>
        <v>241.92998150000003</v>
      </c>
      <c r="K428" s="3" t="s">
        <v>1279</v>
      </c>
      <c r="L428" s="6">
        <f>+[166]Main!$K$3</f>
        <v>62.761825000000002</v>
      </c>
      <c r="M428" s="9">
        <v>45628</v>
      </c>
    </row>
    <row r="429" spans="1:13" x14ac:dyDescent="0.25">
      <c r="B429" s="1">
        <v>6</v>
      </c>
      <c r="C429" s="1">
        <v>2</v>
      </c>
      <c r="D429" s="1">
        <f t="shared" si="28"/>
        <v>406</v>
      </c>
      <c r="E429" s="5" t="s">
        <v>1638</v>
      </c>
      <c r="F429" t="s">
        <v>1637</v>
      </c>
      <c r="G429" s="3">
        <v>31.98</v>
      </c>
      <c r="H429" s="6">
        <f>+G429*L429</f>
        <v>195.84830226</v>
      </c>
      <c r="I429" s="6">
        <f>+[167]Main!$L$5-[167]Main!$L$6</f>
        <v>40.720092000000001</v>
      </c>
      <c r="J429" s="6">
        <f>+H429-I429</f>
        <v>155.12821026</v>
      </c>
      <c r="K429" s="3" t="s">
        <v>1073</v>
      </c>
      <c r="L429" s="6">
        <f>+[167]Main!$L$3</f>
        <v>6.1240869999999994</v>
      </c>
      <c r="M429" s="9">
        <v>45630</v>
      </c>
    </row>
    <row r="430" spans="1:13" x14ac:dyDescent="0.25">
      <c r="D430" s="1">
        <f t="shared" si="28"/>
        <v>407</v>
      </c>
      <c r="E430" s="5" t="s">
        <v>1626</v>
      </c>
      <c r="F430" t="s">
        <v>1625</v>
      </c>
      <c r="G430" s="7">
        <v>5</v>
      </c>
      <c r="H430" s="6">
        <f>+G430*L430</f>
        <v>289.71532999999999</v>
      </c>
      <c r="I430" s="6">
        <f>+[168]Main!$M$5-[168]Main!$M$6</f>
        <v>117.82499999999999</v>
      </c>
      <c r="J430" s="6">
        <f>+H430-I430</f>
        <v>171.89033000000001</v>
      </c>
      <c r="K430" s="3" t="s">
        <v>1279</v>
      </c>
      <c r="L430" s="6">
        <f>+[168]Main!$M$3</f>
        <v>57.943066000000002</v>
      </c>
      <c r="M430" s="9">
        <v>45629</v>
      </c>
    </row>
    <row r="431" spans="1:13" x14ac:dyDescent="0.25">
      <c r="D431" s="1">
        <f t="shared" si="28"/>
        <v>408</v>
      </c>
      <c r="E431" s="5" t="s">
        <v>1643</v>
      </c>
      <c r="F431" t="s">
        <v>1644</v>
      </c>
      <c r="G431" s="7">
        <v>4.5</v>
      </c>
      <c r="H431" s="6">
        <f>+G431*L431</f>
        <v>146.13991650000003</v>
      </c>
      <c r="I431" s="6">
        <f>+[169]Main!$M$5-[169]Main!$M$6</f>
        <v>1.9079999999999977</v>
      </c>
      <c r="J431" s="6">
        <f>+H431-I431</f>
        <v>144.23191650000004</v>
      </c>
      <c r="K431" s="3" t="s">
        <v>1279</v>
      </c>
      <c r="L431" s="6">
        <f>+[169]Main!$M$3</f>
        <v>32.475537000000003</v>
      </c>
      <c r="M431" s="9">
        <v>45630</v>
      </c>
    </row>
    <row r="432" spans="1:13" x14ac:dyDescent="0.25">
      <c r="D432" s="1">
        <f>+D463+1</f>
        <v>438</v>
      </c>
      <c r="E432" s="5" t="s">
        <v>1671</v>
      </c>
      <c r="F432" t="s">
        <v>1672</v>
      </c>
      <c r="G432" s="3">
        <v>6.41</v>
      </c>
      <c r="H432" s="6">
        <f>+G432*L432</f>
        <v>226.21900856999997</v>
      </c>
      <c r="I432" s="6">
        <f>+[170]Main!$K$5-[170]Main!$K$6</f>
        <v>98.310918000000001</v>
      </c>
      <c r="J432" s="6">
        <f>+H432-I432</f>
        <v>127.90809056999997</v>
      </c>
      <c r="K432" s="3" t="s">
        <v>1279</v>
      </c>
      <c r="L432" s="6">
        <f>+[170]Main!$K$3</f>
        <v>35.291576999999997</v>
      </c>
      <c r="M432" s="9">
        <v>45660</v>
      </c>
    </row>
    <row r="433" spans="4:13" x14ac:dyDescent="0.25">
      <c r="D433" s="1">
        <f>+D431+1</f>
        <v>409</v>
      </c>
      <c r="E433" s="5" t="s">
        <v>1614</v>
      </c>
      <c r="F433" t="s">
        <v>1615</v>
      </c>
      <c r="G433" s="3">
        <v>1.53</v>
      </c>
      <c r="H433" s="6">
        <f t="shared" si="29"/>
        <v>192.47591862000002</v>
      </c>
      <c r="I433" s="6">
        <f>+[171]Main!$L$5-[171]Main!$L$6</f>
        <v>74.8</v>
      </c>
      <c r="J433" s="6">
        <f t="shared" si="30"/>
        <v>117.67591862000002</v>
      </c>
      <c r="K433" s="3" t="s">
        <v>1279</v>
      </c>
      <c r="L433" s="6">
        <f>+[171]Main!$L$3</f>
        <v>125.801254</v>
      </c>
      <c r="M433" s="9">
        <v>45608</v>
      </c>
    </row>
    <row r="434" spans="4:13" x14ac:dyDescent="0.25">
      <c r="D434" s="1">
        <f t="shared" si="28"/>
        <v>410</v>
      </c>
      <c r="E434" s="5" t="s">
        <v>1098</v>
      </c>
      <c r="F434" t="s">
        <v>1099</v>
      </c>
      <c r="G434" s="7">
        <v>5</v>
      </c>
      <c r="H434" s="6">
        <f t="shared" si="29"/>
        <v>216.57198499999998</v>
      </c>
      <c r="I434" s="6">
        <f>+[172]Main!$J$5-[172]Main!$J$6</f>
        <v>104.35299999999999</v>
      </c>
      <c r="J434" s="6">
        <f t="shared" si="30"/>
        <v>112.21898499999999</v>
      </c>
      <c r="K434" s="3" t="s">
        <v>1073</v>
      </c>
      <c r="L434" s="6">
        <f>+[172]Main!$J$3</f>
        <v>43.314397</v>
      </c>
      <c r="M434" s="9">
        <v>45525</v>
      </c>
    </row>
    <row r="435" spans="4:13" x14ac:dyDescent="0.25">
      <c r="D435" s="1">
        <f t="shared" si="28"/>
        <v>411</v>
      </c>
      <c r="E435" s="5" t="s">
        <v>1162</v>
      </c>
      <c r="F435" t="s">
        <v>1163</v>
      </c>
      <c r="G435" s="7">
        <v>3.6</v>
      </c>
      <c r="H435" s="6">
        <f t="shared" si="29"/>
        <v>132.55131599999999</v>
      </c>
      <c r="I435" s="6">
        <f>+[173]Main!$L$5-[173]Main!$L$6</f>
        <v>33.507724000000003</v>
      </c>
      <c r="J435" s="6">
        <f t="shared" si="30"/>
        <v>99.04359199999999</v>
      </c>
      <c r="K435" s="3" t="s">
        <v>1073</v>
      </c>
      <c r="L435" s="6">
        <f>+[173]Main!$L$3</f>
        <v>36.819809999999997</v>
      </c>
      <c r="M435" s="9">
        <v>45567</v>
      </c>
    </row>
    <row r="436" spans="4:13" x14ac:dyDescent="0.25">
      <c r="D436" s="1">
        <f t="shared" si="28"/>
        <v>412</v>
      </c>
      <c r="E436" s="5" t="s">
        <v>1612</v>
      </c>
      <c r="F436" t="s">
        <v>1613</v>
      </c>
      <c r="G436" s="7">
        <v>13.15</v>
      </c>
      <c r="H436" s="6">
        <f t="shared" si="29"/>
        <v>319.40466320000002</v>
      </c>
      <c r="I436" s="6">
        <f>+[174]Main!$K$5-[174]Main!$K$6</f>
        <v>199.59700000000001</v>
      </c>
      <c r="J436" s="6">
        <f t="shared" si="30"/>
        <v>119.80766320000001</v>
      </c>
      <c r="K436" s="3" t="s">
        <v>1279</v>
      </c>
      <c r="L436" s="6">
        <f>+[174]Main!$K$3</f>
        <v>24.289328000000001</v>
      </c>
      <c r="M436" s="9">
        <v>45608</v>
      </c>
    </row>
    <row r="437" spans="4:13" x14ac:dyDescent="0.25">
      <c r="D437" s="1">
        <f t="shared" si="28"/>
        <v>413</v>
      </c>
      <c r="E437" s="5" t="s">
        <v>1628</v>
      </c>
      <c r="F437" t="s">
        <v>1627</v>
      </c>
      <c r="G437" s="3">
        <v>2.83</v>
      </c>
      <c r="H437" s="6">
        <f>+G437*L437</f>
        <v>108.43964851000001</v>
      </c>
      <c r="I437" s="6">
        <f>+[175]Main!$K$5-[175]Main!$K$6</f>
        <v>62.823</v>
      </c>
      <c r="J437" s="6">
        <f>+H437-I437</f>
        <v>45.616648510000012</v>
      </c>
      <c r="K437" s="3" t="s">
        <v>1279</v>
      </c>
      <c r="L437" s="6">
        <f>+[175]Main!$K$3</f>
        <v>38.317897000000002</v>
      </c>
      <c r="M437" s="9">
        <v>45629</v>
      </c>
    </row>
    <row r="438" spans="4:13" x14ac:dyDescent="0.25">
      <c r="D438" s="1">
        <f>+D455+1</f>
        <v>430</v>
      </c>
      <c r="E438" s="5" t="s">
        <v>1645</v>
      </c>
      <c r="F438" t="s">
        <v>1646</v>
      </c>
      <c r="G438" s="7">
        <v>2.69</v>
      </c>
      <c r="H438" s="6">
        <f>+G438*L438</f>
        <v>89.956825309999985</v>
      </c>
      <c r="I438" s="6">
        <f>+[176]Main!$K$5-[176]Main!$K$6</f>
        <v>5.4758170000000002</v>
      </c>
      <c r="J438" s="6">
        <f>+H438-I438</f>
        <v>84.481008309999979</v>
      </c>
      <c r="K438" s="3" t="s">
        <v>1279</v>
      </c>
      <c r="L438" s="6">
        <f>+[176]Main!$K$3</f>
        <v>33.441198999999997</v>
      </c>
      <c r="M438" s="9">
        <v>45630</v>
      </c>
    </row>
    <row r="439" spans="4:13" x14ac:dyDescent="0.25">
      <c r="D439" s="1">
        <f>+D461+1</f>
        <v>436</v>
      </c>
      <c r="E439" s="5" t="s">
        <v>1666</v>
      </c>
      <c r="F439" t="s">
        <v>1665</v>
      </c>
      <c r="G439" s="3">
        <v>1.02</v>
      </c>
      <c r="H439" s="6">
        <f>+G439*L439</f>
        <v>103.2980316</v>
      </c>
      <c r="I439" s="6">
        <f>+[177]Main!$L$5-[177]Main!$L$6</f>
        <v>59.1</v>
      </c>
      <c r="J439" s="6">
        <f>+H439-I439</f>
        <v>44.1980316</v>
      </c>
      <c r="K439" s="3" t="s">
        <v>1279</v>
      </c>
      <c r="L439" s="6">
        <f>+[177]Main!$L$3</f>
        <v>101.27258</v>
      </c>
      <c r="M439" s="9">
        <v>45656</v>
      </c>
    </row>
    <row r="440" spans="4:13" x14ac:dyDescent="0.25">
      <c r="D440" s="1">
        <f>+D437+1</f>
        <v>414</v>
      </c>
      <c r="E440" s="5" t="s">
        <v>1436</v>
      </c>
      <c r="F440" s="1" t="s">
        <v>1437</v>
      </c>
      <c r="G440" s="3">
        <v>0.19</v>
      </c>
      <c r="H440" s="6">
        <f t="shared" si="29"/>
        <v>4.1807902100000005</v>
      </c>
      <c r="I440" s="6">
        <f>+[178]Main!$P$5-[178]Main!$P$6</f>
        <v>-4.3319999999999999</v>
      </c>
      <c r="J440" s="6">
        <f t="shared" si="30"/>
        <v>8.5127902100000004</v>
      </c>
      <c r="K440" s="3" t="s">
        <v>1073</v>
      </c>
      <c r="L440" s="6">
        <f>+[178]Main!$P$3</f>
        <v>22.004159000000001</v>
      </c>
      <c r="M440" s="9">
        <v>45587</v>
      </c>
    </row>
    <row r="441" spans="4:13" x14ac:dyDescent="0.25">
      <c r="D441" s="1">
        <f t="shared" si="28"/>
        <v>415</v>
      </c>
      <c r="E441" s="40" t="s">
        <v>1630</v>
      </c>
      <c r="F441" t="s">
        <v>1629</v>
      </c>
      <c r="G441" s="7">
        <v>3.71</v>
      </c>
      <c r="H441" s="6">
        <f>+G441*L441</f>
        <v>181.33427843999999</v>
      </c>
      <c r="I441" s="6">
        <f>+[179]Main!$K$5-[179]Main!$K$6</f>
        <v>183.012</v>
      </c>
      <c r="J441" s="6">
        <f>+H441-I441</f>
        <v>-1.677721560000009</v>
      </c>
      <c r="K441" s="3" t="s">
        <v>1279</v>
      </c>
      <c r="L441" s="6">
        <f>+[179]Main!$K$3</f>
        <v>48.877164</v>
      </c>
      <c r="M441" s="9">
        <v>45629</v>
      </c>
    </row>
    <row r="442" spans="4:13" x14ac:dyDescent="0.25">
      <c r="D442" s="1">
        <f t="shared" si="28"/>
        <v>416</v>
      </c>
      <c r="E442" s="5" t="s">
        <v>1633</v>
      </c>
      <c r="F442" s="1" t="s">
        <v>1634</v>
      </c>
      <c r="G442" s="7">
        <v>6</v>
      </c>
      <c r="H442" s="6">
        <f>+G442*L442</f>
        <v>327.199524</v>
      </c>
      <c r="I442" s="6">
        <f>+[180]Main!$L$5-[180]Main!$L$6</f>
        <v>371.02100000000002</v>
      </c>
      <c r="J442" s="6">
        <f>+H442-I442</f>
        <v>-43.821476000000018</v>
      </c>
      <c r="K442" s="3" t="s">
        <v>1073</v>
      </c>
      <c r="L442" s="6">
        <f>+[180]Main!$L$3</f>
        <v>54.533253999999999</v>
      </c>
      <c r="M442" s="9">
        <v>45629</v>
      </c>
    </row>
    <row r="443" spans="4:13" x14ac:dyDescent="0.25">
      <c r="D443" s="1">
        <f t="shared" si="28"/>
        <v>417</v>
      </c>
      <c r="E443" s="1" t="s">
        <v>1192</v>
      </c>
      <c r="F443" s="1" t="s">
        <v>1193</v>
      </c>
      <c r="G443" s="3">
        <v>0.28999999999999998</v>
      </c>
    </row>
    <row r="444" spans="4:13" x14ac:dyDescent="0.25">
      <c r="D444" s="1">
        <f t="shared" si="28"/>
        <v>418</v>
      </c>
      <c r="E444" s="1" t="s">
        <v>1274</v>
      </c>
      <c r="F444" t="s">
        <v>1275</v>
      </c>
    </row>
    <row r="445" spans="4:13" x14ac:dyDescent="0.25">
      <c r="D445" s="1">
        <f t="shared" si="28"/>
        <v>419</v>
      </c>
      <c r="E445" s="1" t="s">
        <v>1303</v>
      </c>
      <c r="F445" s="1" t="s">
        <v>1304</v>
      </c>
    </row>
    <row r="446" spans="4:13" x14ac:dyDescent="0.25">
      <c r="D446" s="1">
        <f t="shared" si="28"/>
        <v>420</v>
      </c>
      <c r="E446" t="s">
        <v>1305</v>
      </c>
      <c r="F446" t="s">
        <v>1306</v>
      </c>
    </row>
    <row r="447" spans="4:13" x14ac:dyDescent="0.25">
      <c r="D447" s="1">
        <f t="shared" si="28"/>
        <v>421</v>
      </c>
      <c r="E447" s="1" t="s">
        <v>1356</v>
      </c>
    </row>
    <row r="448" spans="4:13" x14ac:dyDescent="0.25">
      <c r="D448" s="1">
        <f t="shared" si="28"/>
        <v>422</v>
      </c>
      <c r="E448" s="5" t="s">
        <v>1441</v>
      </c>
      <c r="F448" s="1" t="s">
        <v>1442</v>
      </c>
      <c r="G448" s="7">
        <v>30</v>
      </c>
    </row>
    <row r="449" spans="4:7" x14ac:dyDescent="0.25">
      <c r="D449" s="1">
        <f t="shared" si="28"/>
        <v>423</v>
      </c>
      <c r="E449" t="s">
        <v>1504</v>
      </c>
    </row>
    <row r="450" spans="4:7" x14ac:dyDescent="0.25">
      <c r="D450" s="1">
        <f t="shared" si="28"/>
        <v>424</v>
      </c>
      <c r="E450" s="1" t="s">
        <v>1616</v>
      </c>
      <c r="F450" t="s">
        <v>1617</v>
      </c>
    </row>
    <row r="451" spans="4:7" x14ac:dyDescent="0.25">
      <c r="D451" s="1">
        <f t="shared" si="28"/>
        <v>425</v>
      </c>
      <c r="E451" t="s">
        <v>1621</v>
      </c>
      <c r="F451" s="1" t="s">
        <v>1622</v>
      </c>
    </row>
    <row r="452" spans="4:7" x14ac:dyDescent="0.25">
      <c r="D452" s="1">
        <f t="shared" si="28"/>
        <v>426</v>
      </c>
      <c r="E452" t="s">
        <v>1623</v>
      </c>
      <c r="F452" t="s">
        <v>1624</v>
      </c>
    </row>
    <row r="453" spans="4:7" x14ac:dyDescent="0.25">
      <c r="D453" s="1">
        <f t="shared" si="28"/>
        <v>427</v>
      </c>
      <c r="E453" t="s">
        <v>1631</v>
      </c>
      <c r="F453" t="s">
        <v>1632</v>
      </c>
    </row>
    <row r="454" spans="4:7" x14ac:dyDescent="0.25">
      <c r="D454" s="1">
        <f t="shared" si="28"/>
        <v>428</v>
      </c>
      <c r="E454" s="5" t="s">
        <v>1636</v>
      </c>
      <c r="F454" s="1" t="s">
        <v>1635</v>
      </c>
      <c r="G454" s="3">
        <v>26.71</v>
      </c>
    </row>
    <row r="455" spans="4:7" x14ac:dyDescent="0.25">
      <c r="D455" s="1">
        <f t="shared" si="28"/>
        <v>429</v>
      </c>
      <c r="E455" s="1" t="s">
        <v>1641</v>
      </c>
      <c r="F455" t="s">
        <v>1642</v>
      </c>
    </row>
    <row r="456" spans="4:7" x14ac:dyDescent="0.25">
      <c r="D456" s="1">
        <f t="shared" si="28"/>
        <v>430</v>
      </c>
      <c r="E456" t="s">
        <v>1647</v>
      </c>
      <c r="F456" s="1" t="s">
        <v>1648</v>
      </c>
    </row>
    <row r="457" spans="4:7" x14ac:dyDescent="0.25">
      <c r="D457" s="1">
        <f t="shared" si="28"/>
        <v>431</v>
      </c>
      <c r="E457" s="1" t="s">
        <v>1649</v>
      </c>
      <c r="F457" t="s">
        <v>1650</v>
      </c>
      <c r="G457" s="3">
        <v>4.1100000000000003</v>
      </c>
    </row>
    <row r="458" spans="4:7" x14ac:dyDescent="0.25">
      <c r="D458" s="1">
        <f t="shared" si="28"/>
        <v>432</v>
      </c>
      <c r="E458" t="s">
        <v>1655</v>
      </c>
      <c r="F458" t="s">
        <v>1656</v>
      </c>
    </row>
    <row r="459" spans="4:7" x14ac:dyDescent="0.25">
      <c r="D459" s="1">
        <f t="shared" si="28"/>
        <v>433</v>
      </c>
      <c r="E459" s="1" t="s">
        <v>1657</v>
      </c>
      <c r="F459" s="1" t="s">
        <v>1658</v>
      </c>
    </row>
    <row r="460" spans="4:7" x14ac:dyDescent="0.25">
      <c r="D460" s="1">
        <f t="shared" si="28"/>
        <v>434</v>
      </c>
      <c r="E460" t="s">
        <v>1659</v>
      </c>
      <c r="F460" t="s">
        <v>1660</v>
      </c>
    </row>
    <row r="461" spans="4:7" x14ac:dyDescent="0.25">
      <c r="D461" s="1">
        <f t="shared" si="28"/>
        <v>435</v>
      </c>
      <c r="E461" s="1" t="s">
        <v>1661</v>
      </c>
      <c r="F461" s="1" t="s">
        <v>1662</v>
      </c>
      <c r="G461" s="3">
        <v>0.61</v>
      </c>
    </row>
    <row r="462" spans="4:7" x14ac:dyDescent="0.25">
      <c r="D462" s="1">
        <f t="shared" si="28"/>
        <v>436</v>
      </c>
      <c r="E462" t="s">
        <v>1667</v>
      </c>
      <c r="F462" t="s">
        <v>1668</v>
      </c>
    </row>
    <row r="463" spans="4:7" x14ac:dyDescent="0.25">
      <c r="D463" s="1">
        <f t="shared" si="28"/>
        <v>437</v>
      </c>
      <c r="E463" s="1" t="s">
        <v>1670</v>
      </c>
      <c r="F463" s="1" t="s">
        <v>1669</v>
      </c>
      <c r="G463" s="3">
        <v>1.46</v>
      </c>
    </row>
    <row r="464" spans="4:7" x14ac:dyDescent="0.25">
      <c r="D464" s="1">
        <f t="shared" si="28"/>
        <v>438</v>
      </c>
      <c r="E464" t="s">
        <v>1675</v>
      </c>
      <c r="F464" t="s">
        <v>1676</v>
      </c>
    </row>
    <row r="465" spans="2:13" x14ac:dyDescent="0.25">
      <c r="D465" s="1">
        <f t="shared" si="28"/>
        <v>439</v>
      </c>
      <c r="E465" t="s">
        <v>1677</v>
      </c>
      <c r="F465" t="s">
        <v>1678</v>
      </c>
    </row>
    <row r="466" spans="2:13" x14ac:dyDescent="0.25">
      <c r="D466" s="1">
        <f t="shared" si="28"/>
        <v>440</v>
      </c>
      <c r="E466" s="1" t="s">
        <v>1114</v>
      </c>
      <c r="F466" s="1" t="s">
        <v>1695</v>
      </c>
    </row>
    <row r="467" spans="2:13" x14ac:dyDescent="0.25">
      <c r="D467" s="1">
        <f t="shared" si="28"/>
        <v>441</v>
      </c>
      <c r="E467" t="s">
        <v>1780</v>
      </c>
      <c r="F467" t="s">
        <v>1781</v>
      </c>
    </row>
    <row r="468" spans="2:13" x14ac:dyDescent="0.25">
      <c r="B468" s="1">
        <v>7</v>
      </c>
      <c r="C468" s="1">
        <v>2</v>
      </c>
      <c r="D468" s="1">
        <f t="shared" si="28"/>
        <v>442</v>
      </c>
      <c r="E468" s="5" t="s">
        <v>1794</v>
      </c>
      <c r="F468" s="1" t="s">
        <v>1795</v>
      </c>
      <c r="G468" s="7">
        <v>20</v>
      </c>
      <c r="H468" s="6">
        <f>+G468*L468</f>
        <v>1040.5629000000001</v>
      </c>
      <c r="I468" s="6">
        <f>+[181]Main!$L$5-[181]Main!$L$6</f>
        <v>193.8</v>
      </c>
      <c r="J468" s="6">
        <f>+H468-I468</f>
        <v>846.76290000000017</v>
      </c>
      <c r="K468" s="3" t="s">
        <v>1279</v>
      </c>
      <c r="L468" s="6">
        <f>+[181]Main!$L$3</f>
        <v>52.028145000000002</v>
      </c>
      <c r="M468" s="9">
        <v>45691</v>
      </c>
    </row>
    <row r="469" spans="2:13" x14ac:dyDescent="0.25">
      <c r="B469" s="1">
        <v>7</v>
      </c>
      <c r="C469" s="1">
        <v>1</v>
      </c>
      <c r="D469" s="1">
        <f t="shared" si="28"/>
        <v>443</v>
      </c>
      <c r="E469" s="5" t="s">
        <v>1797</v>
      </c>
      <c r="F469" t="s">
        <v>1796</v>
      </c>
      <c r="G469" s="7">
        <v>1</v>
      </c>
      <c r="H469" s="6">
        <f>+G469*L469</f>
        <v>119.616035</v>
      </c>
      <c r="I469" s="6">
        <f>+[182]Main!$M$5-[182]Main!$M$6</f>
        <v>106.869</v>
      </c>
      <c r="J469" s="6">
        <f>+H469-I469</f>
        <v>12.747034999999997</v>
      </c>
      <c r="K469" s="3" t="s">
        <v>1279</v>
      </c>
      <c r="L469" s="6">
        <f>+[182]Main!$M$3</f>
        <v>119.616035</v>
      </c>
      <c r="M469" s="9">
        <v>45691</v>
      </c>
    </row>
    <row r="470" spans="2:13" x14ac:dyDescent="0.25">
      <c r="D470" s="1">
        <f t="shared" si="28"/>
        <v>444</v>
      </c>
      <c r="E470" s="1" t="s">
        <v>1798</v>
      </c>
      <c r="F470" t="s">
        <v>1799</v>
      </c>
    </row>
    <row r="471" spans="2:13" x14ac:dyDescent="0.25">
      <c r="D471" s="1">
        <f t="shared" si="28"/>
        <v>445</v>
      </c>
      <c r="E471" t="s">
        <v>1812</v>
      </c>
      <c r="F471" s="1" t="s">
        <v>1813</v>
      </c>
      <c r="G471" s="7">
        <v>1.38</v>
      </c>
    </row>
  </sheetData>
  <sortState xmlns:xlrd2="http://schemas.microsoft.com/office/spreadsheetml/2017/richdata2" ref="A165:AE209">
    <sortCondition descending="1" ref="H165:H209"/>
  </sortState>
  <mergeCells count="2">
    <mergeCell ref="S2:X2"/>
    <mergeCell ref="Y2:AD2"/>
  </mergeCells>
  <hyperlinks>
    <hyperlink ref="E8" r:id="rId1" xr:uid="{31FFFB9E-A269-4EC0-9451-78F4F00A4890}"/>
    <hyperlink ref="E9" r:id="rId2" xr:uid="{C156021C-BE99-4BC0-AA7F-F8904621CB69}"/>
    <hyperlink ref="E16" r:id="rId3" xr:uid="{087C38CF-D4BE-425F-8F38-C4129E6AE209}"/>
    <hyperlink ref="E10" r:id="rId4" xr:uid="{686D20FF-3704-45CC-8366-56508FB00F00}"/>
    <hyperlink ref="E11" r:id="rId5" xr:uid="{8513C491-1620-4390-AB90-9384BB1A043B}"/>
    <hyperlink ref="E4" r:id="rId6" xr:uid="{615921E7-8A8A-4F41-A8F3-1AF78A43F1AC}"/>
    <hyperlink ref="E26" r:id="rId7" xr:uid="{A38EC1E4-9170-422B-A9F5-3B6EB77DF40A}"/>
    <hyperlink ref="E6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5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2" r:id="rId28" xr:uid="{F7B6503D-1F84-47C4-B87E-BDA7159D1B9F}"/>
    <hyperlink ref="E45" r:id="rId29" xr:uid="{D0EE43E7-C3F5-4256-99AE-DDCA9EC11DCF}"/>
    <hyperlink ref="E38" r:id="rId30" xr:uid="{1C25970A-A568-4869-A34A-5C6C7551D812}"/>
    <hyperlink ref="E211" r:id="rId31" xr:uid="{C3A06396-38CD-486E-9F4F-233A79292B4F}"/>
    <hyperlink ref="E124" r:id="rId32" xr:uid="{B83625D8-44D2-4842-9139-F29C8D5F2D8E}"/>
    <hyperlink ref="E216" r:id="rId33" xr:uid="{5FF32E6A-C6C7-4793-8271-BD230B9C7641}"/>
    <hyperlink ref="E74" r:id="rId34" xr:uid="{E5739E03-9FE4-4D05-90C8-36ABF7D078CB}"/>
    <hyperlink ref="E88" r:id="rId35" xr:uid="{25285F59-771C-40DB-8B78-E1E454C61406}"/>
    <hyperlink ref="E249" r:id="rId36" xr:uid="{C000061C-001D-4088-90A4-B672D181D3C5}"/>
    <hyperlink ref="E72" r:id="rId37" xr:uid="{6A1F812B-EA91-4B3C-B4DC-88F792A7D0DE}"/>
    <hyperlink ref="E63" r:id="rId38" xr:uid="{6930A656-C59A-465F-8634-B30B4FEF47BC}"/>
    <hyperlink ref="E95" r:id="rId39" xr:uid="{559FAD8A-D620-4B93-BE14-CC22630BD57E}"/>
    <hyperlink ref="E242" r:id="rId40" xr:uid="{6A576FDB-A573-4A00-8381-4BECF13B35A1}"/>
    <hyperlink ref="E160" r:id="rId41" xr:uid="{51C9506E-5D60-43F8-BADA-7F72A25DAFF6}"/>
    <hyperlink ref="E117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5" r:id="rId48" xr:uid="{04E7711A-AB14-45D0-B73B-7EA804EC5564}"/>
    <hyperlink ref="E40" r:id="rId49" xr:uid="{76CA7CFE-7B9B-4C27-8561-3A158A30ED77}"/>
    <hyperlink ref="E46" r:id="rId50" xr:uid="{F5D5A68A-4783-46B8-B717-79A0E802B6C4}"/>
    <hyperlink ref="E37" r:id="rId51" xr:uid="{DD930D2F-20A9-46C3-8AA4-5E62A88271DB}"/>
    <hyperlink ref="E39" r:id="rId52" xr:uid="{E248BEED-DD02-463E-BFAC-D02D5521E787}"/>
    <hyperlink ref="E41" r:id="rId53" xr:uid="{01444C35-CEE7-41B7-B694-AE47417B7019}"/>
    <hyperlink ref="E43" r:id="rId54" xr:uid="{BC97A7B7-8716-48D0-BA90-60A75E6A24CE}"/>
    <hyperlink ref="E36" r:id="rId55" xr:uid="{AD16E898-B1E4-4F25-8E21-E2BC1C6FE9AD}"/>
    <hyperlink ref="E60" r:id="rId56" xr:uid="{E9207892-DA1F-48D2-B2C3-EFA59FCA8A47}"/>
    <hyperlink ref="E87" r:id="rId57" xr:uid="{DE2D1DDB-B5B7-4055-B885-0CD9E7670070}"/>
    <hyperlink ref="E32" r:id="rId58" xr:uid="{9DD12163-063E-4F73-89A5-34D8E8AC0534}"/>
    <hyperlink ref="E93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8" r:id="rId63" xr:uid="{6E9AFF81-F520-4A86-9FC2-D5CFE68E7EB7}"/>
    <hyperlink ref="E73" r:id="rId64" xr:uid="{ED527D70-0B51-4151-8378-8C40B68FF19D}"/>
    <hyperlink ref="E44" r:id="rId65" xr:uid="{A902B26E-CA39-4DC5-9F23-4459D8D315E8}"/>
    <hyperlink ref="E51" r:id="rId66" xr:uid="{5F0313F8-3376-4F67-9822-E1412CAA5959}"/>
    <hyperlink ref="E107" r:id="rId67" xr:uid="{AE3A3FD9-E651-4A72-81DB-B29CC61B516B}"/>
    <hyperlink ref="E66" r:id="rId68" xr:uid="{6FA4EBE7-4729-4097-A12F-CAD4CB58FFA6}"/>
    <hyperlink ref="E115" r:id="rId69" xr:uid="{C6F461C3-F385-4BE1-8914-0B22F9A9FF52}"/>
    <hyperlink ref="E48" r:id="rId70" xr:uid="{98D02B7D-F218-457E-B156-7FE773CF515A}"/>
    <hyperlink ref="E47" r:id="rId71" xr:uid="{02CB6FD9-C55D-44A1-9F2E-6A96A222EE6B}"/>
    <hyperlink ref="E79" r:id="rId72" xr:uid="{C691BA46-1169-4CAF-84E5-2A83E1B5404A}"/>
    <hyperlink ref="E49" r:id="rId73" xr:uid="{425EA3DE-2A59-4B96-B380-B688A4EDE233}"/>
    <hyperlink ref="E59" r:id="rId74" xr:uid="{1F24E207-02BC-4A1F-B083-69F8E95AC067}"/>
    <hyperlink ref="E64" r:id="rId75" xr:uid="{CE56D1ED-1CAA-4667-A3D9-82426599D26C}"/>
    <hyperlink ref="E104" r:id="rId76" xr:uid="{ED810682-5208-4265-9E0E-6746A399EA34}"/>
    <hyperlink ref="E164" r:id="rId77" xr:uid="{44DEB74A-F098-4876-A279-D1E6237DF8DB}"/>
    <hyperlink ref="E70" r:id="rId78" xr:uid="{ADF59BEC-B8D8-4144-ADEB-041425B69409}"/>
    <hyperlink ref="E324" r:id="rId79" xr:uid="{69AB4316-2FED-44FC-B108-3CD00D6F57B9}"/>
    <hyperlink ref="E319" r:id="rId80" xr:uid="{172C358D-5501-4447-9FDE-DA046F6FED55}"/>
    <hyperlink ref="E114" r:id="rId81" xr:uid="{D181F941-FF02-423B-9F90-890B434046DD}"/>
    <hyperlink ref="E162" r:id="rId82" xr:uid="{1924D31B-B6B9-4CB2-936E-0F68E40FA2F5}"/>
    <hyperlink ref="E163" r:id="rId83" xr:uid="{8E97DA51-E6CD-4B11-B6F8-BD0A3CC93541}"/>
    <hyperlink ref="E97" r:id="rId84" xr:uid="{BACD6400-1341-654E-A5B2-576C65F8052B}"/>
    <hyperlink ref="E358" r:id="rId85" xr:uid="{C4CF7488-CAF7-4516-AB24-0FC50F0916A3}"/>
    <hyperlink ref="E100" r:id="rId86" xr:uid="{2B6C4E35-2657-4D1A-8D80-C54F892964F4}"/>
    <hyperlink ref="E13" r:id="rId87" xr:uid="{D4CC8F9A-CC3B-EE41-860B-629E01D90BFD}"/>
    <hyperlink ref="E434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7" r:id="rId92" xr:uid="{E9466C79-B428-4906-B5D4-8A65E345C46A}"/>
    <hyperlink ref="E71" r:id="rId93" xr:uid="{0F64F384-8187-4F0A-B6D5-472BB2A5904F}"/>
    <hyperlink ref="E106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7" r:id="rId98" xr:uid="{5E221389-B42A-4ECC-B5CE-DEA05F90F52F}"/>
    <hyperlink ref="E108" r:id="rId99" xr:uid="{50F9FE65-F347-4AD5-8CB3-AEF68BBB9AA8}"/>
    <hyperlink ref="E119" r:id="rId100" xr:uid="{75D04E08-C11D-42F6-A0B8-9E185A6BA249}"/>
    <hyperlink ref="E120" r:id="rId101" xr:uid="{DD06A32A-D1AE-4DFA-957F-7E5F6848399D}"/>
    <hyperlink ref="E53" r:id="rId102" xr:uid="{A9CCEE93-948C-4958-9273-229E876026E5}"/>
    <hyperlink ref="E61" r:id="rId103" xr:uid="{8A039020-76D6-4648-8559-2E66BD4069E8}"/>
    <hyperlink ref="E77" r:id="rId104" xr:uid="{57A317C3-FCD5-4B9D-9890-302872D6263D}"/>
    <hyperlink ref="E110" r:id="rId105" xr:uid="{7DEB18EF-0653-42AE-848B-1CD34B6185B1}"/>
    <hyperlink ref="E321" r:id="rId106" xr:uid="{500E1EB4-5BFA-41DA-B498-9CADDCBC3BD8}"/>
    <hyperlink ref="E224" r:id="rId107" xr:uid="{DA843767-B487-45EC-B6B6-4CAF3C575C50}"/>
    <hyperlink ref="E81" r:id="rId108" xr:uid="{5DA9C2AA-A278-4FF3-A2FD-E53617E5E8B8}"/>
    <hyperlink ref="E255" r:id="rId109" xr:uid="{91A036B5-0E03-4930-B738-BF1C076ACF18}"/>
    <hyperlink ref="E105" r:id="rId110" xr:uid="{8068ED1A-3B17-4C79-9022-B1BEE306CC58}"/>
    <hyperlink ref="E103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6" r:id="rId115" xr:uid="{1C0EAF20-C59C-4E14-90E0-E67EED291627}"/>
    <hyperlink ref="E320" r:id="rId116" xr:uid="{820E74E5-32AF-43AF-A75C-37305E58D952}"/>
    <hyperlink ref="E212" r:id="rId117" xr:uid="{C2EF7A04-6E03-432E-AE39-F9FC0944E6B7}"/>
    <hyperlink ref="E91" r:id="rId118" xr:uid="{4A53B476-D8D4-4433-B5B3-B626DD5ECAA5}"/>
    <hyperlink ref="E323" r:id="rId119" xr:uid="{0E69FC1D-F608-42EA-B683-C53C409C70F7}"/>
    <hyperlink ref="E165" r:id="rId120" xr:uid="{058DC54B-6F58-47B5-B00D-CB85499F0661}"/>
    <hyperlink ref="E166" r:id="rId121" xr:uid="{E3F91124-A68C-481A-9F88-5F0B403E12FC}"/>
    <hyperlink ref="E228" r:id="rId122" xr:uid="{879666A1-6AD0-495B-B29D-1523E9F3BF37}"/>
    <hyperlink ref="E54" r:id="rId123" xr:uid="{3E4416C1-24BA-4833-B8A9-810255675E01}"/>
    <hyperlink ref="E123" r:id="rId124" xr:uid="{CEEF1ECE-36B3-482E-AA72-8B9DAE4D2730}"/>
    <hyperlink ref="E121" r:id="rId125" xr:uid="{80739158-DB58-4D0E-8015-4407904D5E4C}"/>
    <hyperlink ref="E62" r:id="rId126" xr:uid="{FAC64BC1-A38C-4704-8DED-7AC1F6D784BD}"/>
    <hyperlink ref="E325" r:id="rId127" xr:uid="{B8FF6BDF-ECF2-42BA-996C-B33320BF3BB8}"/>
    <hyperlink ref="E122" r:id="rId128" xr:uid="{3C9F7D37-C376-486A-BD65-0A06F1A1BA4E}"/>
    <hyperlink ref="E76" r:id="rId129" xr:uid="{A739B306-7AF4-4BC1-B603-405E1AD42DA9}"/>
    <hyperlink ref="E69" r:id="rId130" xr:uid="{D16D1630-A1AE-4CF8-B35B-01F574ECC4EC}"/>
    <hyperlink ref="E83" r:id="rId131" xr:uid="{A96FF32D-8546-4297-AE3C-E279BBEB2988}"/>
    <hyperlink ref="E75" r:id="rId132" xr:uid="{B2C89E35-9AED-4A34-8767-FB6CD96F1DF7}"/>
    <hyperlink ref="E113" r:id="rId133" xr:uid="{7A0C9405-40F2-4CD9-999B-9032EC028C8E}"/>
    <hyperlink ref="E318" r:id="rId134" xr:uid="{F79A5FA4-445D-4428-8347-8E6CA8EBA325}"/>
    <hyperlink ref="E435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8" r:id="rId140" xr:uid="{8515586A-C9D5-4B3A-AB81-567CAF8711D8}"/>
    <hyperlink ref="E98" r:id="rId141" xr:uid="{05112419-511E-40D9-B365-E7FC8328F3E3}"/>
    <hyperlink ref="E399" r:id="rId142" xr:uid="{42ED5909-2E52-452C-9738-284A43C46BA0}"/>
    <hyperlink ref="E112" r:id="rId143" xr:uid="{7B9292BF-8007-4C13-92AA-E4F48B407B78}"/>
    <hyperlink ref="E99" r:id="rId144" xr:uid="{4455E1D2-0A06-49CD-B578-A39396AB2276}"/>
    <hyperlink ref="E101" r:id="rId145" xr:uid="{9DBA9CB6-4FFE-4633-8913-39BE132E7E63}"/>
    <hyperlink ref="E15" r:id="rId146" xr:uid="{60368EA6-8CB5-4BF4-AD11-2511F2B2CC10}"/>
    <hyperlink ref="E248" r:id="rId147" xr:uid="{909F79D0-EDBD-44C4-8C45-548124C5C81A}"/>
    <hyperlink ref="E174" r:id="rId148" xr:uid="{0A7AB162-5181-4ECD-BE39-067356A9A255}"/>
    <hyperlink ref="E102" r:id="rId149" xr:uid="{A780315D-7EE1-43B1-808B-CA1A9B40DACC}"/>
    <hyperlink ref="E109" r:id="rId150" xr:uid="{6EE007AF-F0B0-4EED-9CDD-3FC2319822A5}"/>
    <hyperlink ref="E254" r:id="rId151" xr:uid="{ED761473-51F4-41BF-8401-76685055518C}"/>
    <hyperlink ref="E80" r:id="rId152" xr:uid="{7F559409-F96D-4010-8F92-37C722C2B828}"/>
    <hyperlink ref="E94" r:id="rId153" xr:uid="{C48A4FCA-0630-EF43-9EEC-B6CAB37EFE4F}"/>
    <hyperlink ref="E90" r:id="rId154" xr:uid="{96899701-8AB6-4B30-9017-19357666F340}"/>
    <hyperlink ref="E82" r:id="rId155" xr:uid="{CFB41F62-0690-4C3D-B6CD-811E3E94C4EE}"/>
    <hyperlink ref="E130" r:id="rId156" xr:uid="{82A44C16-0029-4130-9750-D08BCC5182B4}"/>
    <hyperlink ref="E57" r:id="rId157" xr:uid="{C35461B3-E679-4CC0-9362-2A53FE04533B}"/>
    <hyperlink ref="E85" r:id="rId158" xr:uid="{31B2FC14-DD5D-4E0C-A012-B1FDA85DBE36}"/>
    <hyperlink ref="E68" r:id="rId159" xr:uid="{96AAF9F5-B005-400B-B62E-90DC1A7E8852}"/>
    <hyperlink ref="E144" r:id="rId160" xr:uid="{5BE55498-D8ED-41C4-A33E-57BE28B07449}"/>
    <hyperlink ref="E440" r:id="rId161" xr:uid="{2B1AAFD9-D8D6-4616-841E-10108CC8192B}"/>
    <hyperlink ref="E448" r:id="rId162" xr:uid="{D4B5A9D9-65BB-430A-A731-1152EA8D5DED}"/>
    <hyperlink ref="E89" r:id="rId163" xr:uid="{67670CCE-8D41-4404-8F2B-F79243E31585}"/>
    <hyperlink ref="E116" r:id="rId164" xr:uid="{C904B992-93FD-497A-93CC-2FE800E3CDD4}"/>
    <hyperlink ref="E426" r:id="rId165" xr:uid="{B24388CE-B704-4189-8171-2A7C078385AA}"/>
    <hyperlink ref="E436" r:id="rId166" xr:uid="{107ACC16-1AF2-463F-97B2-B3329D313681}"/>
    <hyperlink ref="E433" r:id="rId167" xr:uid="{C40615BB-48F8-4AB1-92A6-E4710DC43430}"/>
    <hyperlink ref="E356" r:id="rId168" xr:uid="{0695F03B-1E3F-0E41-B1ED-4F68787EFC35}"/>
    <hyperlink ref="E428" r:id="rId169" xr:uid="{0152517F-3480-4755-804B-768910043082}"/>
    <hyperlink ref="E111" r:id="rId170" xr:uid="{F0EE4F6E-0A2F-4906-8143-739E8257E38C}"/>
    <hyperlink ref="E430" r:id="rId171" xr:uid="{0F9B63DB-3B35-4E51-BD36-EC943559BF1E}"/>
    <hyperlink ref="E437" r:id="rId172" xr:uid="{7592EF22-0CF5-48F3-8744-24868E314045}"/>
    <hyperlink ref="E441" r:id="rId173" xr:uid="{66F30E61-4E4B-47C8-8D49-028CC77AA4C6}"/>
    <hyperlink ref="E442" r:id="rId174" xr:uid="{778D749F-0610-418A-A963-ADCD5A226677}"/>
    <hyperlink ref="E454" r:id="rId175" xr:uid="{8E820BFC-E26B-4A27-A962-89FF7A10589B}"/>
    <hyperlink ref="E429" r:id="rId176" xr:uid="{3DD5CDF4-E650-429E-97DF-ABC116C3584D}"/>
    <hyperlink ref="E347" r:id="rId177" xr:uid="{1292FD9E-BA4F-4B20-AD44-4B752114EEEF}"/>
    <hyperlink ref="E431" r:id="rId178" xr:uid="{35FB9AE4-5A31-48BA-9D76-BF10058F42EC}"/>
    <hyperlink ref="E368" r:id="rId179" xr:uid="{4C62C768-C471-4E03-BD75-AF60DDF17283}"/>
    <hyperlink ref="E84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7" r:id="rId187" xr:uid="{3E3C29B0-B6B6-4941-A344-5D4A8066AA33}"/>
    <hyperlink ref="E12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8" r:id="rId192" xr:uid="{51D052A4-1B75-48F3-93AF-E8B1B96076CE}"/>
    <hyperlink ref="E439" r:id="rId193" xr:uid="{FD546B4F-FF4A-4365-A9F1-25C43D119A98}"/>
    <hyperlink ref="E432" r:id="rId194" xr:uid="{FA2E0702-7573-4035-93EA-A0CE71143105}"/>
    <hyperlink ref="E96" r:id="rId195" xr:uid="{19D04C6A-EB12-4779-9BF1-8615419B9493}"/>
    <hyperlink ref="E299" r:id="rId196" xr:uid="{F54AFBD3-3040-4478-815C-CC270DBC110E}"/>
    <hyperlink ref="E161" r:id="rId197" xr:uid="{5741E758-F26D-41A7-976D-943D0B4BBA8C}"/>
    <hyperlink ref="E206" r:id="rId198" xr:uid="{46E08616-E182-4770-A0EC-E67C429D363A}"/>
    <hyperlink ref="E425" r:id="rId199" xr:uid="{25A8908D-5EB4-416E-B88A-983D1FDD66C7}"/>
    <hyperlink ref="E468" r:id="rId200" xr:uid="{63936724-7806-4858-BC51-BF317429A4D3}"/>
    <hyperlink ref="E469" r:id="rId201" xr:uid="{F7B60A92-FEBA-4956-8C32-3DAD1956FCBE}"/>
    <hyperlink ref="E301" r:id="rId202" xr:uid="{BB2D6CB0-9710-43BE-9C9C-96D4CB00CC27}"/>
  </hyperlinks>
  <pageMargins left="0.7" right="0.7" top="0.75" bottom="0.75" header="0.3" footer="0.3"/>
  <pageSetup paperSize="9" orientation="portrait" r:id="rId203"/>
  <legacyDrawing r:id="rId2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286</v>
      </c>
    </row>
    <row r="2" spans="1:10" x14ac:dyDescent="0.25">
      <c r="B2" t="s">
        <v>1444</v>
      </c>
      <c r="C2" t="s">
        <v>1445</v>
      </c>
      <c r="D2" s="28" t="s">
        <v>1443</v>
      </c>
      <c r="E2" s="28" t="s">
        <v>1451</v>
      </c>
      <c r="F2" s="28" t="s">
        <v>1447</v>
      </c>
      <c r="G2" s="30" t="s">
        <v>1455</v>
      </c>
      <c r="H2" s="28" t="s">
        <v>1461</v>
      </c>
      <c r="I2" s="28" t="s">
        <v>1463</v>
      </c>
      <c r="J2" s="28" t="s">
        <v>1466</v>
      </c>
    </row>
    <row r="3" spans="1:10" x14ac:dyDescent="0.25">
      <c r="B3" t="s">
        <v>1462</v>
      </c>
      <c r="C3" t="s">
        <v>1448</v>
      </c>
      <c r="D3" s="28">
        <v>1</v>
      </c>
      <c r="E3" s="28" t="s">
        <v>1452</v>
      </c>
      <c r="F3" s="28" t="s">
        <v>1467</v>
      </c>
      <c r="G3" s="30">
        <v>6979</v>
      </c>
      <c r="I3" s="28" t="s">
        <v>1464</v>
      </c>
      <c r="J3">
        <v>65</v>
      </c>
    </row>
    <row r="4" spans="1:10" x14ac:dyDescent="0.25">
      <c r="B4" t="s">
        <v>1449</v>
      </c>
      <c r="C4" t="s">
        <v>1450</v>
      </c>
      <c r="D4" s="28">
        <v>2</v>
      </c>
      <c r="E4" s="28" t="s">
        <v>1453</v>
      </c>
      <c r="F4" s="28" t="s">
        <v>1454</v>
      </c>
      <c r="G4" s="30">
        <v>145781.6</v>
      </c>
      <c r="I4" s="28" t="s">
        <v>1454</v>
      </c>
    </row>
    <row r="5" spans="1:10" x14ac:dyDescent="0.25">
      <c r="B5" t="s">
        <v>1456</v>
      </c>
      <c r="C5" t="s">
        <v>1457</v>
      </c>
      <c r="D5" s="28">
        <v>3</v>
      </c>
      <c r="E5" s="28" t="s">
        <v>1458</v>
      </c>
      <c r="F5" s="28" t="s">
        <v>1459</v>
      </c>
      <c r="G5" s="30">
        <v>29253.9</v>
      </c>
      <c r="I5" s="28" t="s">
        <v>1464</v>
      </c>
      <c r="J5">
        <v>260</v>
      </c>
    </row>
    <row r="6" spans="1:10" x14ac:dyDescent="0.25">
      <c r="B6" t="s">
        <v>1470</v>
      </c>
      <c r="C6" t="s">
        <v>1468</v>
      </c>
      <c r="D6" s="28">
        <v>4</v>
      </c>
      <c r="E6" s="28" t="s">
        <v>1471</v>
      </c>
      <c r="F6" s="28" t="s">
        <v>1472</v>
      </c>
      <c r="G6" s="30">
        <v>58000</v>
      </c>
      <c r="I6" s="28" t="s">
        <v>1469</v>
      </c>
      <c r="J6">
        <f>387+133</f>
        <v>520</v>
      </c>
    </row>
    <row r="7" spans="1:10" x14ac:dyDescent="0.25">
      <c r="B7" t="s">
        <v>1474</v>
      </c>
      <c r="C7" t="s">
        <v>1473</v>
      </c>
      <c r="D7" s="28">
        <v>5</v>
      </c>
      <c r="E7" s="28" t="s">
        <v>1475</v>
      </c>
      <c r="F7" s="28" t="s">
        <v>1476</v>
      </c>
      <c r="G7" s="30">
        <v>51235</v>
      </c>
      <c r="I7" s="28" t="s">
        <v>1464</v>
      </c>
      <c r="J7">
        <v>934</v>
      </c>
    </row>
    <row r="8" spans="1:10" x14ac:dyDescent="0.25">
      <c r="B8" t="s">
        <v>1478</v>
      </c>
      <c r="C8" t="s">
        <v>1477</v>
      </c>
      <c r="D8" s="28">
        <v>6</v>
      </c>
      <c r="E8" s="28" t="s">
        <v>1452</v>
      </c>
      <c r="F8" s="28" t="s">
        <v>1467</v>
      </c>
      <c r="G8" s="30">
        <v>2180</v>
      </c>
      <c r="I8" s="28" t="s">
        <v>1465</v>
      </c>
      <c r="J8">
        <v>20</v>
      </c>
    </row>
    <row r="9" spans="1:10" x14ac:dyDescent="0.25">
      <c r="B9" t="s">
        <v>1479</v>
      </c>
      <c r="C9" t="s">
        <v>1480</v>
      </c>
      <c r="D9" s="28">
        <v>7</v>
      </c>
      <c r="E9" s="28" t="s">
        <v>1482</v>
      </c>
      <c r="F9" s="28" t="s">
        <v>1481</v>
      </c>
      <c r="G9" s="30">
        <v>1209</v>
      </c>
      <c r="I9" s="28" t="s">
        <v>1465</v>
      </c>
      <c r="J9">
        <v>9</v>
      </c>
    </row>
    <row r="10" spans="1:10" x14ac:dyDescent="0.25">
      <c r="B10" t="s">
        <v>1485</v>
      </c>
      <c r="C10" t="s">
        <v>1483</v>
      </c>
      <c r="D10" s="28">
        <v>8</v>
      </c>
      <c r="E10" s="28" t="s">
        <v>1484</v>
      </c>
      <c r="F10" s="28" t="s">
        <v>1499</v>
      </c>
      <c r="G10" s="30">
        <v>60000</v>
      </c>
      <c r="I10" s="28" t="s">
        <v>1464</v>
      </c>
      <c r="J10">
        <v>165</v>
      </c>
    </row>
    <row r="11" spans="1:10" x14ac:dyDescent="0.25">
      <c r="B11" t="s">
        <v>1488</v>
      </c>
      <c r="C11" t="s">
        <v>1486</v>
      </c>
      <c r="D11" s="28">
        <v>9</v>
      </c>
      <c r="E11" s="28" t="s">
        <v>1487</v>
      </c>
      <c r="F11" s="28" t="s">
        <v>1459</v>
      </c>
      <c r="G11" s="30">
        <v>59000</v>
      </c>
      <c r="I11" s="28" t="s">
        <v>1464</v>
      </c>
      <c r="J11">
        <v>527</v>
      </c>
    </row>
    <row r="12" spans="1:10" x14ac:dyDescent="0.25">
      <c r="B12" t="s">
        <v>1492</v>
      </c>
      <c r="C12" t="s">
        <v>1489</v>
      </c>
      <c r="D12" s="28">
        <v>10</v>
      </c>
      <c r="E12" s="28" t="s">
        <v>1490</v>
      </c>
      <c r="F12" s="28" t="s">
        <v>1491</v>
      </c>
      <c r="G12" s="30">
        <v>3358</v>
      </c>
      <c r="I12" s="28" t="s">
        <v>1465</v>
      </c>
      <c r="J12">
        <v>29</v>
      </c>
    </row>
    <row r="13" spans="1:10" x14ac:dyDescent="0.25">
      <c r="B13" t="s">
        <v>1494</v>
      </c>
      <c r="C13" t="s">
        <v>1493</v>
      </c>
      <c r="D13" s="28">
        <v>11</v>
      </c>
      <c r="E13" s="28" t="s">
        <v>1484</v>
      </c>
      <c r="F13" s="28" t="s">
        <v>1499</v>
      </c>
      <c r="G13" s="30">
        <v>19241</v>
      </c>
      <c r="I13" s="28" t="s">
        <v>1518</v>
      </c>
      <c r="J13">
        <v>166</v>
      </c>
    </row>
    <row r="14" spans="1:10" x14ac:dyDescent="0.25">
      <c r="B14" t="s">
        <v>1495</v>
      </c>
      <c r="C14" t="s">
        <v>1496</v>
      </c>
      <c r="D14" s="28">
        <v>12</v>
      </c>
      <c r="E14" s="28" t="s">
        <v>1497</v>
      </c>
      <c r="F14" s="28" t="s">
        <v>1498</v>
      </c>
      <c r="G14" s="30">
        <v>18396</v>
      </c>
      <c r="I14" s="28" t="s">
        <v>1464</v>
      </c>
    </row>
    <row r="15" spans="1:10" x14ac:dyDescent="0.25">
      <c r="B15" t="s">
        <v>1503</v>
      </c>
      <c r="C15" t="s">
        <v>1500</v>
      </c>
      <c r="D15" s="28">
        <v>13</v>
      </c>
      <c r="E15" s="28" t="s">
        <v>1502</v>
      </c>
      <c r="F15" s="28" t="s">
        <v>1501</v>
      </c>
      <c r="G15" s="30">
        <v>31126.5</v>
      </c>
      <c r="I15" s="28" t="s">
        <v>1464</v>
      </c>
    </row>
    <row r="16" spans="1:10" x14ac:dyDescent="0.25">
      <c r="B16" t="s">
        <v>1505</v>
      </c>
      <c r="C16" t="s">
        <v>1506</v>
      </c>
      <c r="D16" s="28">
        <v>14</v>
      </c>
      <c r="E16" s="28" t="s">
        <v>1482</v>
      </c>
      <c r="F16" s="28" t="s">
        <v>1507</v>
      </c>
      <c r="G16" s="30">
        <v>1269</v>
      </c>
      <c r="I16" s="28" t="s">
        <v>1508</v>
      </c>
      <c r="J16" s="28" t="s">
        <v>1509</v>
      </c>
    </row>
    <row r="17" spans="2:10" x14ac:dyDescent="0.25">
      <c r="C17" t="s">
        <v>1510</v>
      </c>
      <c r="D17" s="28">
        <v>15</v>
      </c>
      <c r="E17" s="28" t="s">
        <v>1502</v>
      </c>
      <c r="F17" s="28" t="s">
        <v>1511</v>
      </c>
      <c r="G17" s="30">
        <v>39589.599999999999</v>
      </c>
      <c r="I17" s="28" t="s">
        <v>1464</v>
      </c>
      <c r="J17" s="28">
        <v>355</v>
      </c>
    </row>
    <row r="18" spans="2:10" x14ac:dyDescent="0.25">
      <c r="B18" t="s">
        <v>1513</v>
      </c>
      <c r="C18" t="s">
        <v>1512</v>
      </c>
      <c r="D18" s="28">
        <v>16</v>
      </c>
      <c r="E18" s="28" t="s">
        <v>1497</v>
      </c>
      <c r="F18" s="28" t="s">
        <v>1498</v>
      </c>
      <c r="G18" s="30">
        <v>18396</v>
      </c>
      <c r="I18" s="28" t="s">
        <v>1464</v>
      </c>
      <c r="J18" s="28">
        <v>165</v>
      </c>
    </row>
    <row r="19" spans="2:10" x14ac:dyDescent="0.25">
      <c r="C19" t="s">
        <v>1514</v>
      </c>
      <c r="D19" s="28">
        <v>17</v>
      </c>
      <c r="E19" s="28" t="s">
        <v>1516</v>
      </c>
      <c r="F19" s="28" t="s">
        <v>1515</v>
      </c>
      <c r="G19" s="30">
        <v>3431.8530000000001</v>
      </c>
      <c r="I19" s="28" t="s">
        <v>1465</v>
      </c>
      <c r="J19" s="28">
        <v>32</v>
      </c>
    </row>
    <row r="20" spans="2:10" x14ac:dyDescent="0.25">
      <c r="C20" t="s">
        <v>1517</v>
      </c>
      <c r="D20" s="28">
        <v>18</v>
      </c>
      <c r="E20" s="28" t="s">
        <v>1484</v>
      </c>
      <c r="F20" s="28" t="s">
        <v>1499</v>
      </c>
      <c r="I20" s="28" t="s">
        <v>1518</v>
      </c>
      <c r="J20" s="28">
        <v>166</v>
      </c>
    </row>
    <row r="21" spans="2:10" x14ac:dyDescent="0.25">
      <c r="B21" t="s">
        <v>1520</v>
      </c>
      <c r="C21" t="s">
        <v>1519</v>
      </c>
      <c r="D21" s="28">
        <v>19</v>
      </c>
      <c r="E21" s="28" t="s">
        <v>1522</v>
      </c>
      <c r="F21" s="28" t="s">
        <v>1521</v>
      </c>
      <c r="G21" s="30">
        <v>39000</v>
      </c>
      <c r="I21" s="28" t="s">
        <v>1464</v>
      </c>
      <c r="J21" s="28"/>
    </row>
    <row r="22" spans="2:10" x14ac:dyDescent="0.25">
      <c r="B22" t="s">
        <v>1524</v>
      </c>
      <c r="C22" s="55" t="s">
        <v>1523</v>
      </c>
      <c r="D22" s="28">
        <v>20</v>
      </c>
      <c r="E22" s="28" t="s">
        <v>1526</v>
      </c>
      <c r="F22" s="28" t="s">
        <v>1525</v>
      </c>
      <c r="G22" s="30">
        <v>14434.5</v>
      </c>
      <c r="I22" s="28" t="s">
        <v>1464</v>
      </c>
      <c r="J22" s="28">
        <v>127</v>
      </c>
    </row>
    <row r="23" spans="2:10" x14ac:dyDescent="0.25">
      <c r="C23" s="55" t="s">
        <v>1527</v>
      </c>
      <c r="D23" s="28">
        <v>21</v>
      </c>
      <c r="E23" s="28" t="s">
        <v>1528</v>
      </c>
      <c r="F23" s="28" t="s">
        <v>1529</v>
      </c>
      <c r="G23" s="30">
        <v>3039</v>
      </c>
      <c r="I23" s="28" t="s">
        <v>1465</v>
      </c>
      <c r="J23" s="28">
        <v>27</v>
      </c>
    </row>
    <row r="24" spans="2:10" x14ac:dyDescent="0.25">
      <c r="C24" s="55" t="s">
        <v>1530</v>
      </c>
      <c r="D24" s="28">
        <v>22</v>
      </c>
      <c r="E24" s="28" t="s">
        <v>1484</v>
      </c>
      <c r="F24" s="28" t="s">
        <v>1499</v>
      </c>
      <c r="G24" s="30">
        <v>31000</v>
      </c>
      <c r="I24" s="28" t="s">
        <v>1464</v>
      </c>
      <c r="J24" s="28"/>
    </row>
    <row r="25" spans="2:10" x14ac:dyDescent="0.25">
      <c r="B25" t="s">
        <v>1532</v>
      </c>
      <c r="C25" s="55" t="s">
        <v>1531</v>
      </c>
      <c r="D25" s="28">
        <v>23</v>
      </c>
      <c r="E25" s="28" t="s">
        <v>1533</v>
      </c>
      <c r="F25" s="28" t="s">
        <v>1459</v>
      </c>
      <c r="J25" s="28"/>
    </row>
    <row r="26" spans="2:10" x14ac:dyDescent="0.25">
      <c r="B26" t="s">
        <v>1534</v>
      </c>
      <c r="C26" s="55" t="s">
        <v>1535</v>
      </c>
      <c r="D26" s="28">
        <v>24</v>
      </c>
      <c r="E26" s="28" t="s">
        <v>1536</v>
      </c>
      <c r="F26" s="28" t="s">
        <v>1537</v>
      </c>
      <c r="G26" s="30">
        <v>22673</v>
      </c>
      <c r="I26" s="28" t="s">
        <v>1464</v>
      </c>
      <c r="J26" s="28"/>
    </row>
    <row r="27" spans="2:10" x14ac:dyDescent="0.25">
      <c r="B27" t="s">
        <v>1538</v>
      </c>
      <c r="C27" s="55" t="s">
        <v>1539</v>
      </c>
      <c r="D27" s="28">
        <v>25</v>
      </c>
      <c r="E27" s="28" t="s">
        <v>1540</v>
      </c>
      <c r="F27" s="28" t="s">
        <v>1541</v>
      </c>
      <c r="G27" s="30">
        <v>264726</v>
      </c>
      <c r="I27" s="28" t="s">
        <v>1464</v>
      </c>
      <c r="J27" s="28">
        <v>2332</v>
      </c>
    </row>
    <row r="28" spans="2:10" x14ac:dyDescent="0.25">
      <c r="B28" t="s">
        <v>1542</v>
      </c>
      <c r="C28" s="55" t="s">
        <v>1543</v>
      </c>
      <c r="D28" s="28">
        <v>26</v>
      </c>
      <c r="E28" s="28" t="s">
        <v>1544</v>
      </c>
      <c r="F28" s="28" t="s">
        <v>1476</v>
      </c>
      <c r="G28" s="30">
        <v>17257.599999999999</v>
      </c>
      <c r="I28" s="28" t="s">
        <v>1464</v>
      </c>
      <c r="J28" s="28">
        <v>153</v>
      </c>
    </row>
    <row r="29" spans="2:10" x14ac:dyDescent="0.25">
      <c r="C29" s="55" t="s">
        <v>1545</v>
      </c>
      <c r="D29" s="28">
        <v>27</v>
      </c>
      <c r="G29" s="30">
        <v>1811.2529999999999</v>
      </c>
      <c r="I29" s="28" t="s">
        <v>1465</v>
      </c>
      <c r="J29" s="28">
        <v>15</v>
      </c>
    </row>
    <row r="30" spans="2:10" x14ac:dyDescent="0.25">
      <c r="B30" t="s">
        <v>1546</v>
      </c>
      <c r="C30" s="55" t="s">
        <v>1547</v>
      </c>
      <c r="D30" s="28">
        <v>28</v>
      </c>
      <c r="G30" s="30">
        <v>142682.29999999999</v>
      </c>
      <c r="I30" s="28" t="s">
        <v>1518</v>
      </c>
      <c r="J30" s="28"/>
    </row>
    <row r="31" spans="2:10" x14ac:dyDescent="0.25">
      <c r="C31" s="55" t="s">
        <v>1548</v>
      </c>
      <c r="D31" s="28">
        <v>29</v>
      </c>
      <c r="E31" s="28" t="s">
        <v>1502</v>
      </c>
      <c r="F31" s="28" t="s">
        <v>1459</v>
      </c>
      <c r="G31" s="30">
        <v>59042.3</v>
      </c>
      <c r="I31" s="28" t="s">
        <v>1464</v>
      </c>
      <c r="J31" s="28">
        <v>527</v>
      </c>
    </row>
    <row r="32" spans="2:10" x14ac:dyDescent="0.25">
      <c r="B32" t="s">
        <v>1550</v>
      </c>
      <c r="C32" s="55" t="s">
        <v>1549</v>
      </c>
      <c r="D32" s="28">
        <v>30</v>
      </c>
      <c r="E32" s="28" t="s">
        <v>1551</v>
      </c>
      <c r="F32" s="28" t="s">
        <v>1552</v>
      </c>
      <c r="G32" s="30">
        <v>5808</v>
      </c>
      <c r="I32" s="28" t="s">
        <v>1464</v>
      </c>
      <c r="J32" s="28">
        <v>51</v>
      </c>
    </row>
    <row r="33" spans="2:10" x14ac:dyDescent="0.25">
      <c r="B33" t="s">
        <v>1553</v>
      </c>
      <c r="C33" s="55" t="s">
        <v>1554</v>
      </c>
      <c r="D33" s="28">
        <v>31</v>
      </c>
      <c r="E33" s="28" t="s">
        <v>1502</v>
      </c>
      <c r="F33" s="28" t="s">
        <v>1511</v>
      </c>
      <c r="G33" s="30">
        <v>58951.199999999997</v>
      </c>
      <c r="I33" s="28" t="s">
        <v>1464</v>
      </c>
      <c r="J33" s="28">
        <v>527</v>
      </c>
    </row>
    <row r="34" spans="2:10" x14ac:dyDescent="0.25">
      <c r="B34" t="s">
        <v>1555</v>
      </c>
      <c r="C34" s="55" t="s">
        <v>1556</v>
      </c>
      <c r="D34" s="28">
        <v>32</v>
      </c>
      <c r="E34" s="28" t="s">
        <v>1557</v>
      </c>
      <c r="F34" s="28" t="s">
        <v>1558</v>
      </c>
      <c r="G34" s="30">
        <v>23390.3</v>
      </c>
      <c r="I34" s="28" t="s">
        <v>1518</v>
      </c>
      <c r="J34" s="28"/>
    </row>
    <row r="35" spans="2:10" x14ac:dyDescent="0.25">
      <c r="B35" t="s">
        <v>1559</v>
      </c>
      <c r="C35" s="55" t="s">
        <v>1560</v>
      </c>
      <c r="D35" s="28">
        <v>33</v>
      </c>
      <c r="E35" s="28" t="s">
        <v>1484</v>
      </c>
      <c r="F35" s="28" t="s">
        <v>1499</v>
      </c>
      <c r="G35" s="30">
        <v>17145.599999999999</v>
      </c>
      <c r="I35" s="28" t="s">
        <v>1464</v>
      </c>
      <c r="J35" s="28">
        <v>140</v>
      </c>
    </row>
    <row r="36" spans="2:10" x14ac:dyDescent="0.25">
      <c r="C36" s="55" t="s">
        <v>1561</v>
      </c>
      <c r="D36" s="28">
        <v>34</v>
      </c>
      <c r="E36" s="28" t="s">
        <v>1484</v>
      </c>
      <c r="F36" s="28" t="s">
        <v>1499</v>
      </c>
      <c r="G36" s="30">
        <v>19241.099999999999</v>
      </c>
      <c r="I36" s="28" t="s">
        <v>1464</v>
      </c>
      <c r="J36" s="28">
        <v>165</v>
      </c>
    </row>
    <row r="37" spans="2:10" x14ac:dyDescent="0.25">
      <c r="B37" t="s">
        <v>1565</v>
      </c>
      <c r="C37" s="55" t="s">
        <v>1562</v>
      </c>
      <c r="D37" s="28">
        <v>35</v>
      </c>
      <c r="E37" s="28" t="s">
        <v>1563</v>
      </c>
      <c r="F37" s="28" t="s">
        <v>1564</v>
      </c>
      <c r="G37" s="30">
        <v>1069</v>
      </c>
      <c r="I37" s="28" t="s">
        <v>1465</v>
      </c>
      <c r="J37" s="28">
        <v>8</v>
      </c>
    </row>
    <row r="38" spans="2:10" x14ac:dyDescent="0.25">
      <c r="B38" t="s">
        <v>1567</v>
      </c>
      <c r="C38" s="55" t="s">
        <v>1566</v>
      </c>
      <c r="D38" s="28">
        <v>36</v>
      </c>
      <c r="E38" s="28" t="s">
        <v>1568</v>
      </c>
      <c r="F38" s="28" t="s">
        <v>1459</v>
      </c>
      <c r="G38" s="30">
        <v>45079</v>
      </c>
      <c r="J38" s="28"/>
    </row>
    <row r="39" spans="2:10" x14ac:dyDescent="0.25">
      <c r="C39" s="55" t="s">
        <v>1561</v>
      </c>
      <c r="D39" s="28">
        <v>37</v>
      </c>
      <c r="E39" s="28" t="s">
        <v>1484</v>
      </c>
      <c r="F39" s="28" t="s">
        <v>1499</v>
      </c>
      <c r="G39" s="30">
        <v>19241.099999999999</v>
      </c>
      <c r="I39" s="28" t="s">
        <v>1464</v>
      </c>
      <c r="J39" s="28">
        <v>165</v>
      </c>
    </row>
    <row r="40" spans="2:10" x14ac:dyDescent="0.25">
      <c r="B40" t="s">
        <v>1570</v>
      </c>
      <c r="C40" s="55" t="s">
        <v>1569</v>
      </c>
      <c r="D40" s="28">
        <v>38</v>
      </c>
      <c r="E40" s="28" t="s">
        <v>1571</v>
      </c>
      <c r="F40" s="28" t="s">
        <v>1572</v>
      </c>
      <c r="G40" s="30">
        <v>19047</v>
      </c>
      <c r="I40" s="28" t="s">
        <v>1464</v>
      </c>
      <c r="J40" s="28">
        <v>177</v>
      </c>
    </row>
    <row r="41" spans="2:10" x14ac:dyDescent="0.25">
      <c r="B41" t="s">
        <v>1573</v>
      </c>
      <c r="C41" s="55" t="s">
        <v>1574</v>
      </c>
      <c r="D41" s="28">
        <v>39</v>
      </c>
      <c r="E41" s="28" t="s">
        <v>1575</v>
      </c>
      <c r="F41" s="28" t="s">
        <v>1576</v>
      </c>
      <c r="G41" s="30">
        <v>16192.7</v>
      </c>
      <c r="I41" s="28" t="s">
        <v>1464</v>
      </c>
      <c r="J41" s="28">
        <v>140</v>
      </c>
    </row>
    <row r="42" spans="2:10" x14ac:dyDescent="0.25">
      <c r="B42" t="s">
        <v>1578</v>
      </c>
      <c r="C42" s="55" t="s">
        <v>1577</v>
      </c>
      <c r="D42" s="28">
        <v>40</v>
      </c>
      <c r="E42" s="28" t="s">
        <v>1579</v>
      </c>
      <c r="F42" s="28" t="s">
        <v>1580</v>
      </c>
      <c r="G42" s="30">
        <v>3767.1</v>
      </c>
      <c r="I42" s="28" t="s">
        <v>1465</v>
      </c>
      <c r="J42" s="28">
        <v>29</v>
      </c>
    </row>
    <row r="43" spans="2:10" x14ac:dyDescent="0.25">
      <c r="B43" t="s">
        <v>1581</v>
      </c>
      <c r="C43" s="55" t="s">
        <v>1582</v>
      </c>
      <c r="D43" s="28">
        <v>41</v>
      </c>
      <c r="E43" s="28" t="s">
        <v>1583</v>
      </c>
      <c r="F43" s="28" t="s">
        <v>1584</v>
      </c>
      <c r="G43" s="30">
        <v>15314.8</v>
      </c>
      <c r="I43" s="28" t="s">
        <v>1464</v>
      </c>
      <c r="J43" s="28">
        <v>12</v>
      </c>
    </row>
    <row r="44" spans="2:10" x14ac:dyDescent="0.25">
      <c r="B44" t="s">
        <v>1585</v>
      </c>
      <c r="C44" s="55" t="s">
        <v>1586</v>
      </c>
      <c r="D44" s="28">
        <v>42</v>
      </c>
      <c r="G44" s="30">
        <v>150804</v>
      </c>
      <c r="J44" s="28"/>
    </row>
    <row r="45" spans="2:10" x14ac:dyDescent="0.25">
      <c r="B45" t="s">
        <v>1587</v>
      </c>
      <c r="C45" s="55" t="s">
        <v>1588</v>
      </c>
      <c r="D45" s="28">
        <v>43</v>
      </c>
      <c r="E45" s="28" t="s">
        <v>1589</v>
      </c>
      <c r="F45" s="28" t="s">
        <v>1454</v>
      </c>
      <c r="G45" s="30">
        <v>149000</v>
      </c>
      <c r="I45" s="28" t="s">
        <v>1454</v>
      </c>
      <c r="J45" s="28"/>
    </row>
    <row r="46" spans="2:10" x14ac:dyDescent="0.25">
      <c r="C46" s="55" t="s">
        <v>1590</v>
      </c>
      <c r="D46" s="28">
        <v>44</v>
      </c>
      <c r="E46" s="28" t="s">
        <v>1591</v>
      </c>
      <c r="F46" s="28" t="s">
        <v>1592</v>
      </c>
      <c r="G46" s="30">
        <v>30000</v>
      </c>
      <c r="I46" s="28" t="s">
        <v>1464</v>
      </c>
      <c r="J46" s="28"/>
    </row>
    <row r="47" spans="2:10" x14ac:dyDescent="0.25">
      <c r="C47" s="55" t="s">
        <v>1593</v>
      </c>
      <c r="D47" s="28">
        <v>45</v>
      </c>
      <c r="G47" s="30">
        <v>27743</v>
      </c>
      <c r="J47" s="28"/>
    </row>
    <row r="48" spans="2:10" x14ac:dyDescent="0.25">
      <c r="B48" t="s">
        <v>1419</v>
      </c>
      <c r="C48" s="55" t="s">
        <v>1594</v>
      </c>
      <c r="D48" s="28">
        <v>46</v>
      </c>
      <c r="E48" s="28" t="s">
        <v>1551</v>
      </c>
      <c r="F48" s="28" t="s">
        <v>1552</v>
      </c>
      <c r="G48" s="30">
        <v>5808</v>
      </c>
      <c r="I48" s="28" t="s">
        <v>1464</v>
      </c>
      <c r="J48" s="28">
        <v>51</v>
      </c>
    </row>
    <row r="49" spans="2:10" x14ac:dyDescent="0.25">
      <c r="B49" t="s">
        <v>1596</v>
      </c>
      <c r="C49" s="55" t="s">
        <v>1595</v>
      </c>
      <c r="D49" s="28">
        <v>47</v>
      </c>
      <c r="E49" s="28" t="s">
        <v>1551</v>
      </c>
      <c r="F49" s="28" t="s">
        <v>1552</v>
      </c>
      <c r="G49" s="30">
        <v>6063</v>
      </c>
      <c r="I49" s="28" t="s">
        <v>1464</v>
      </c>
      <c r="J49" s="28"/>
    </row>
    <row r="50" spans="2:10" x14ac:dyDescent="0.25">
      <c r="B50" t="s">
        <v>1598</v>
      </c>
      <c r="C50" s="55" t="s">
        <v>1597</v>
      </c>
      <c r="D50" s="28">
        <v>48</v>
      </c>
      <c r="F50" s="28" t="s">
        <v>1459</v>
      </c>
      <c r="J50" s="28"/>
    </row>
    <row r="51" spans="2:10" x14ac:dyDescent="0.25">
      <c r="B51" t="s">
        <v>1600</v>
      </c>
      <c r="C51" s="55" t="s">
        <v>1599</v>
      </c>
      <c r="D51" s="28">
        <v>49</v>
      </c>
      <c r="G51" s="30">
        <v>34109.5</v>
      </c>
      <c r="J51" s="28"/>
    </row>
    <row r="52" spans="2:10" x14ac:dyDescent="0.25">
      <c r="C52" s="55" t="s">
        <v>1601</v>
      </c>
      <c r="D52" s="28">
        <v>50</v>
      </c>
      <c r="E52" s="28" t="s">
        <v>1482</v>
      </c>
      <c r="F52" s="28" t="s">
        <v>1481</v>
      </c>
      <c r="G52" s="30">
        <v>1431</v>
      </c>
      <c r="I52" s="28" t="s">
        <v>1465</v>
      </c>
      <c r="J52" s="28">
        <v>10</v>
      </c>
    </row>
    <row r="53" spans="2:10" x14ac:dyDescent="0.25">
      <c r="B53" t="s">
        <v>1411</v>
      </c>
      <c r="C53" s="55" t="s">
        <v>1602</v>
      </c>
      <c r="D53" s="28">
        <v>51</v>
      </c>
      <c r="E53" s="28" t="s">
        <v>1475</v>
      </c>
      <c r="F53" s="28" t="s">
        <v>1454</v>
      </c>
      <c r="G53" s="30">
        <v>144190</v>
      </c>
      <c r="I53" s="28" t="s">
        <v>1454</v>
      </c>
      <c r="J53" s="28"/>
    </row>
    <row r="54" spans="2:10" x14ac:dyDescent="0.25">
      <c r="B54" t="s">
        <v>1606</v>
      </c>
      <c r="C54" s="55" t="s">
        <v>1605</v>
      </c>
      <c r="D54" s="28">
        <v>52</v>
      </c>
      <c r="E54" s="28" t="s">
        <v>1607</v>
      </c>
      <c r="F54" s="28" t="s">
        <v>1608</v>
      </c>
      <c r="G54" s="30">
        <v>22129</v>
      </c>
      <c r="I54" s="28" t="s">
        <v>1464</v>
      </c>
      <c r="J54" s="28"/>
    </row>
    <row r="55" spans="2:10" x14ac:dyDescent="0.25">
      <c r="B55" t="s">
        <v>1604</v>
      </c>
      <c r="C55" s="55" t="s">
        <v>1603</v>
      </c>
      <c r="D55" s="28">
        <v>53</v>
      </c>
      <c r="F55" s="28" t="s">
        <v>1459</v>
      </c>
      <c r="G55" s="30">
        <v>55597.4</v>
      </c>
      <c r="I55" s="28" t="s">
        <v>1464</v>
      </c>
      <c r="J55" s="28">
        <v>497</v>
      </c>
    </row>
    <row r="56" spans="2:10" x14ac:dyDescent="0.25">
      <c r="C56" s="55" t="s">
        <v>1609</v>
      </c>
      <c r="D56" s="28">
        <v>54</v>
      </c>
      <c r="F56" s="28" t="s">
        <v>1454</v>
      </c>
      <c r="G56" s="30">
        <v>145651</v>
      </c>
      <c r="I56" s="28" t="s">
        <v>1454</v>
      </c>
      <c r="J56" s="28"/>
    </row>
    <row r="57" spans="2:10" x14ac:dyDescent="0.25">
      <c r="B57" t="s">
        <v>1314</v>
      </c>
      <c r="C57" t="s">
        <v>1446</v>
      </c>
      <c r="D57" s="28">
        <v>9029</v>
      </c>
      <c r="E57" s="28" t="s">
        <v>1460</v>
      </c>
      <c r="F57" s="28" t="s">
        <v>1454</v>
      </c>
      <c r="I57" s="28" t="s">
        <v>1454</v>
      </c>
    </row>
    <row r="58" spans="2:10" x14ac:dyDescent="0.25">
      <c r="C58" s="55" t="s">
        <v>1527</v>
      </c>
      <c r="D58" s="28">
        <v>9532</v>
      </c>
      <c r="E58" s="28" t="s">
        <v>1528</v>
      </c>
      <c r="F58" s="28" t="s">
        <v>1529</v>
      </c>
      <c r="G58" s="30">
        <v>3039</v>
      </c>
      <c r="I58" s="28" t="s">
        <v>1465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286</v>
      </c>
    </row>
    <row r="2" spans="1:14" x14ac:dyDescent="0.25">
      <c r="C2" s="28" t="s">
        <v>649</v>
      </c>
      <c r="D2" s="28" t="s">
        <v>1291</v>
      </c>
      <c r="E2" s="28" t="s">
        <v>1292</v>
      </c>
      <c r="F2" s="28" t="s">
        <v>1116</v>
      </c>
      <c r="G2" s="28" t="s">
        <v>1043</v>
      </c>
      <c r="H2" s="28" t="s">
        <v>1073</v>
      </c>
      <c r="I2" s="28" t="s">
        <v>1279</v>
      </c>
      <c r="J2" s="28" t="s">
        <v>1280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1254</v>
      </c>
      <c r="C6" s="30"/>
      <c r="D6" s="30"/>
      <c r="G6" s="30">
        <v>8768</v>
      </c>
      <c r="H6" s="30">
        <v>11303</v>
      </c>
    </row>
    <row r="7" spans="1:14" x14ac:dyDescent="0.25">
      <c r="B7" t="s">
        <v>1288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1281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1283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1284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1282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1290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1289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1285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1286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1809</v>
      </c>
      <c r="N16" s="101">
        <f>SUM(N17:N21)</f>
        <v>53959.551724137928</v>
      </c>
    </row>
    <row r="17" spans="2:14" x14ac:dyDescent="0.25">
      <c r="B17" t="s">
        <v>1800</v>
      </c>
      <c r="N17" s="31">
        <v>9998</v>
      </c>
    </row>
    <row r="18" spans="2:14" x14ac:dyDescent="0.25">
      <c r="B18" t="s">
        <v>1801</v>
      </c>
      <c r="N18" s="31">
        <v>7795</v>
      </c>
    </row>
    <row r="19" spans="2:14" x14ac:dyDescent="0.25">
      <c r="B19" t="s">
        <v>1802</v>
      </c>
      <c r="N19" s="31">
        <f>45766/7.25</f>
        <v>6312.5517241379312</v>
      </c>
    </row>
    <row r="20" spans="2:14" ht="13" x14ac:dyDescent="0.3">
      <c r="B20" t="s">
        <v>1803</v>
      </c>
      <c r="M20" s="31">
        <v>11988</v>
      </c>
      <c r="N20" s="33">
        <v>11988</v>
      </c>
    </row>
    <row r="21" spans="2:14" x14ac:dyDescent="0.25">
      <c r="B21" t="s">
        <v>1804</v>
      </c>
      <c r="N21" s="31">
        <v>17866</v>
      </c>
    </row>
    <row r="22" spans="2:14" x14ac:dyDescent="0.25">
      <c r="B22" t="s">
        <v>1810</v>
      </c>
      <c r="N22" s="31">
        <v>9214</v>
      </c>
    </row>
    <row r="23" spans="2:14" x14ac:dyDescent="0.25">
      <c r="B23" t="s">
        <v>1805</v>
      </c>
    </row>
    <row r="24" spans="2:14" x14ac:dyDescent="0.25">
      <c r="B24" t="s">
        <v>1806</v>
      </c>
    </row>
    <row r="25" spans="2:14" x14ac:dyDescent="0.25">
      <c r="B25" t="s">
        <v>1807</v>
      </c>
    </row>
    <row r="26" spans="2:14" x14ac:dyDescent="0.25">
      <c r="B26" t="s">
        <v>1808</v>
      </c>
    </row>
    <row r="31" spans="2:14" x14ac:dyDescent="0.25">
      <c r="B31" t="s">
        <v>1287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1131</v>
      </c>
    </row>
    <row r="3" spans="2:2" x14ac:dyDescent="0.25">
      <c r="B3" t="s">
        <v>1132</v>
      </c>
    </row>
    <row r="4" spans="2:2" x14ac:dyDescent="0.25">
      <c r="B4" t="s">
        <v>1145</v>
      </c>
    </row>
    <row r="5" spans="2:2" x14ac:dyDescent="0.25">
      <c r="B5" t="s">
        <v>1157</v>
      </c>
    </row>
    <row r="6" spans="2:2" x14ac:dyDescent="0.25">
      <c r="B6" t="s">
        <v>1154</v>
      </c>
    </row>
    <row r="7" spans="2:2" x14ac:dyDescent="0.25">
      <c r="B7" t="s">
        <v>1155</v>
      </c>
    </row>
    <row r="8" spans="2:2" x14ac:dyDescent="0.25">
      <c r="B8" t="s">
        <v>1147</v>
      </c>
    </row>
    <row r="9" spans="2:2" x14ac:dyDescent="0.25">
      <c r="B9" t="s">
        <v>1159</v>
      </c>
    </row>
    <row r="10" spans="2:2" x14ac:dyDescent="0.25">
      <c r="B10" t="s">
        <v>1156</v>
      </c>
    </row>
    <row r="11" spans="2:2" x14ac:dyDescent="0.25">
      <c r="B11" t="s">
        <v>1158</v>
      </c>
    </row>
    <row r="12" spans="2:2" x14ac:dyDescent="0.25">
      <c r="B12" t="s">
        <v>1133</v>
      </c>
    </row>
    <row r="13" spans="2:2" x14ac:dyDescent="0.25">
      <c r="B13" t="s">
        <v>235</v>
      </c>
    </row>
    <row r="14" spans="2:2" x14ac:dyDescent="0.25">
      <c r="B14" t="s">
        <v>1134</v>
      </c>
    </row>
    <row r="15" spans="2:2" x14ac:dyDescent="0.25">
      <c r="B15" t="s">
        <v>1135</v>
      </c>
    </row>
    <row r="16" spans="2:2" x14ac:dyDescent="0.25">
      <c r="B16" t="s">
        <v>1136</v>
      </c>
    </row>
    <row r="17" spans="2:2" x14ac:dyDescent="0.25">
      <c r="B17" t="s">
        <v>1137</v>
      </c>
    </row>
    <row r="18" spans="2:2" x14ac:dyDescent="0.25">
      <c r="B18" t="s">
        <v>1138</v>
      </c>
    </row>
    <row r="19" spans="2:2" x14ac:dyDescent="0.25">
      <c r="B19" t="s">
        <v>1139</v>
      </c>
    </row>
    <row r="20" spans="2:2" x14ac:dyDescent="0.25">
      <c r="B20" t="s">
        <v>1140</v>
      </c>
    </row>
    <row r="21" spans="2:2" x14ac:dyDescent="0.25">
      <c r="B21" t="s">
        <v>1141</v>
      </c>
    </row>
    <row r="22" spans="2:2" x14ac:dyDescent="0.25">
      <c r="B22" t="s">
        <v>1146</v>
      </c>
    </row>
    <row r="23" spans="2:2" x14ac:dyDescent="0.25">
      <c r="B23" t="s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G14" sqref="G14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286</v>
      </c>
    </row>
    <row r="2" spans="1:147" x14ac:dyDescent="0.25">
      <c r="A2" s="28" t="s">
        <v>1390</v>
      </c>
      <c r="B2" t="s">
        <v>1094</v>
      </c>
      <c r="C2" t="s">
        <v>635</v>
      </c>
      <c r="D2" t="s">
        <v>1381</v>
      </c>
      <c r="E2" t="s">
        <v>1391</v>
      </c>
      <c r="F2" t="s">
        <v>632</v>
      </c>
      <c r="G2" s="28" t="s">
        <v>1373</v>
      </c>
      <c r="H2" s="28"/>
      <c r="I2" s="28" t="s">
        <v>1087</v>
      </c>
      <c r="J2" s="28" t="s">
        <v>1088</v>
      </c>
      <c r="K2" s="28" t="s">
        <v>1089</v>
      </c>
      <c r="L2" s="28" t="s">
        <v>1090</v>
      </c>
      <c r="M2" s="28" t="s">
        <v>1091</v>
      </c>
      <c r="N2" s="28" t="s">
        <v>1092</v>
      </c>
      <c r="O2" s="28" t="s">
        <v>1093</v>
      </c>
      <c r="P2" s="28" t="s">
        <v>1200</v>
      </c>
      <c r="Q2" s="28" t="s">
        <v>1395</v>
      </c>
      <c r="R2" s="28" t="s">
        <v>1396</v>
      </c>
      <c r="S2" s="28" t="s">
        <v>1397</v>
      </c>
      <c r="T2" s="28" t="s">
        <v>1398</v>
      </c>
      <c r="U2" s="28" t="s">
        <v>1403</v>
      </c>
      <c r="V2" s="28" t="s">
        <v>1404</v>
      </c>
      <c r="W2" s="28" t="s">
        <v>1405</v>
      </c>
      <c r="X2" s="28" t="s">
        <v>1406</v>
      </c>
      <c r="Y2" s="28" t="s">
        <v>1420</v>
      </c>
      <c r="Z2" s="28" t="s">
        <v>1421</v>
      </c>
      <c r="AA2" s="28" t="s">
        <v>1422</v>
      </c>
      <c r="AB2" s="28" t="s">
        <v>1688</v>
      </c>
      <c r="AC2" s="28" t="s">
        <v>1689</v>
      </c>
      <c r="AD2" s="28" t="s">
        <v>1690</v>
      </c>
      <c r="AE2" s="28" t="s">
        <v>1691</v>
      </c>
      <c r="AF2" s="28" t="s">
        <v>1692</v>
      </c>
      <c r="AG2" s="28" t="s">
        <v>1693</v>
      </c>
      <c r="AH2" s="28" t="s">
        <v>1694</v>
      </c>
      <c r="AI2" s="28"/>
      <c r="AJ2" s="28"/>
      <c r="AK2" s="28" t="s">
        <v>625</v>
      </c>
      <c r="AL2" s="28" t="s">
        <v>626</v>
      </c>
      <c r="AM2" s="28" t="s">
        <v>627</v>
      </c>
      <c r="AN2" s="28" t="s">
        <v>628</v>
      </c>
      <c r="AO2" s="28" t="s">
        <v>629</v>
      </c>
      <c r="AP2" s="28" t="s">
        <v>630</v>
      </c>
      <c r="AQ2" s="28" t="s">
        <v>1044</v>
      </c>
      <c r="AR2" s="28" t="s">
        <v>1045</v>
      </c>
      <c r="AS2" s="28" t="s">
        <v>1046</v>
      </c>
      <c r="AT2" s="28" t="s">
        <v>1047</v>
      </c>
      <c r="AU2" s="28" t="s">
        <v>1048</v>
      </c>
      <c r="AV2" s="28" t="s">
        <v>1049</v>
      </c>
      <c r="AW2" s="28" t="s">
        <v>1053</v>
      </c>
      <c r="AX2" s="28" t="s">
        <v>1054</v>
      </c>
      <c r="AY2" s="28" t="s">
        <v>1055</v>
      </c>
      <c r="AZ2" s="28" t="s">
        <v>1056</v>
      </c>
      <c r="BA2" s="28" t="s">
        <v>1074</v>
      </c>
      <c r="BB2" s="28" t="s">
        <v>1075</v>
      </c>
      <c r="BC2" s="28" t="s">
        <v>1076</v>
      </c>
      <c r="BD2" s="28" t="s">
        <v>1077</v>
      </c>
      <c r="BE2" s="28" t="s">
        <v>1078</v>
      </c>
      <c r="BF2" s="28" t="s">
        <v>1079</v>
      </c>
      <c r="BG2" s="28" t="s">
        <v>1080</v>
      </c>
      <c r="BH2" s="28" t="s">
        <v>1081</v>
      </c>
      <c r="BI2" s="28" t="s">
        <v>1082</v>
      </c>
      <c r="BJ2" s="28" t="s">
        <v>1083</v>
      </c>
      <c r="BK2" s="28" t="s">
        <v>1084</v>
      </c>
      <c r="BL2" s="28" t="s">
        <v>1085</v>
      </c>
      <c r="BM2" s="28" t="s">
        <v>1086</v>
      </c>
    </row>
    <row r="3" spans="1:147" x14ac:dyDescent="0.25">
      <c r="A3" s="28">
        <v>1</v>
      </c>
      <c r="B3" t="s">
        <v>1411</v>
      </c>
      <c r="C3" t="s">
        <v>18</v>
      </c>
      <c r="D3" t="s">
        <v>1385</v>
      </c>
      <c r="E3">
        <v>3</v>
      </c>
      <c r="F3" t="s">
        <v>1412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28">
        <v>110</v>
      </c>
      <c r="AO3" s="28">
        <v>149</v>
      </c>
      <c r="AP3" s="28">
        <v>203</v>
      </c>
      <c r="AQ3" s="28">
        <v>227</v>
      </c>
      <c r="AR3" s="28">
        <v>273</v>
      </c>
      <c r="AS3" s="28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1424</v>
      </c>
      <c r="C4" t="s">
        <v>15</v>
      </c>
      <c r="D4" t="s">
        <v>1385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>
        <v>41</v>
      </c>
      <c r="AO4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1377</v>
      </c>
      <c r="C5" t="s">
        <v>24</v>
      </c>
      <c r="D5" t="s">
        <v>1433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1371</v>
      </c>
      <c r="C6" t="s">
        <v>46</v>
      </c>
      <c r="D6" t="s">
        <v>1386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>
        <v>793</v>
      </c>
      <c r="AP6">
        <v>1116</v>
      </c>
      <c r="AQ6">
        <v>1259</v>
      </c>
      <c r="AR6">
        <v>1570</v>
      </c>
      <c r="AS6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1376</v>
      </c>
      <c r="C7" t="s">
        <v>46</v>
      </c>
      <c r="D7" t="s">
        <v>1408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>
        <v>3608</v>
      </c>
      <c r="AO7">
        <v>3332</v>
      </c>
      <c r="AP7">
        <v>3345</v>
      </c>
      <c r="AQ7">
        <v>3017</v>
      </c>
      <c r="AR7">
        <v>2564</v>
      </c>
      <c r="AS7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1095</v>
      </c>
      <c r="C8" t="s">
        <v>32</v>
      </c>
      <c r="D8" t="s">
        <v>1383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1374</v>
      </c>
      <c r="C9" t="s">
        <v>46</v>
      </c>
      <c r="D9" t="s">
        <v>1386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>
        <v>461</v>
      </c>
      <c r="AO9">
        <v>563</v>
      </c>
      <c r="AP9">
        <v>769</v>
      </c>
      <c r="AQ9">
        <v>857</v>
      </c>
      <c r="AR9">
        <v>988</v>
      </c>
      <c r="AS9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1401</v>
      </c>
      <c r="C10" t="s">
        <v>24</v>
      </c>
      <c r="D10" t="s">
        <v>1384</v>
      </c>
      <c r="F10" t="s">
        <v>1402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1050</v>
      </c>
      <c r="C11" t="s">
        <v>1051</v>
      </c>
      <c r="D11" t="s">
        <v>1387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1392</v>
      </c>
      <c r="C12" t="s">
        <v>1393</v>
      </c>
      <c r="D12" t="s">
        <v>1384</v>
      </c>
      <c r="E12">
        <v>2</v>
      </c>
      <c r="F12" t="s">
        <v>1394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1380</v>
      </c>
      <c r="C13" t="s">
        <v>24</v>
      </c>
      <c r="D13" t="s">
        <v>1383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654</v>
      </c>
      <c r="C14" t="s">
        <v>28</v>
      </c>
      <c r="D14" t="s">
        <v>1383</v>
      </c>
      <c r="E14">
        <v>2</v>
      </c>
      <c r="F14" t="s">
        <v>1782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658</v>
      </c>
      <c r="C15" t="s">
        <v>28</v>
      </c>
      <c r="D15" t="s">
        <v>1387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1415</v>
      </c>
      <c r="C16" t="s">
        <v>20</v>
      </c>
      <c r="D16" t="s">
        <v>1389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1375</v>
      </c>
      <c r="C17" t="s">
        <v>46</v>
      </c>
      <c r="D17" t="s">
        <v>1408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1413</v>
      </c>
      <c r="C18" t="s">
        <v>18</v>
      </c>
      <c r="D18" t="s">
        <v>1385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1687</v>
      </c>
      <c r="C19" t="s">
        <v>64</v>
      </c>
      <c r="D19" t="s">
        <v>1385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1314</v>
      </c>
      <c r="C20" t="s">
        <v>30</v>
      </c>
      <c r="D20" t="s">
        <v>1385</v>
      </c>
      <c r="F20" t="s">
        <v>1311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1312</v>
      </c>
      <c r="AL20" s="30" t="s">
        <v>1313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1414</v>
      </c>
      <c r="C21" t="s">
        <v>18</v>
      </c>
      <c r="D21" t="s">
        <v>1385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650</v>
      </c>
      <c r="C22" t="s">
        <v>15</v>
      </c>
      <c r="D22" t="s">
        <v>1383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651</v>
      </c>
      <c r="C23" t="s">
        <v>15</v>
      </c>
      <c r="D23" t="s">
        <v>1383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661</v>
      </c>
      <c r="C24" t="s">
        <v>28</v>
      </c>
      <c r="D24" t="s">
        <v>1386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1419</v>
      </c>
      <c r="C25" t="s">
        <v>20</v>
      </c>
      <c r="D25" t="s">
        <v>1387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652</v>
      </c>
      <c r="C26" t="s">
        <v>15</v>
      </c>
      <c r="D26" t="s">
        <v>1383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655</v>
      </c>
      <c r="C27" t="s">
        <v>28</v>
      </c>
      <c r="D27" t="s">
        <v>1388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1407</v>
      </c>
      <c r="C28" t="s">
        <v>24</v>
      </c>
      <c r="D28" t="s">
        <v>1384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647</v>
      </c>
      <c r="C29" t="s">
        <v>20</v>
      </c>
      <c r="D29" t="s">
        <v>1383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648</v>
      </c>
      <c r="C30" t="s">
        <v>20</v>
      </c>
      <c r="D30" t="s">
        <v>1389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642</v>
      </c>
      <c r="C31" t="s">
        <v>20</v>
      </c>
      <c r="D31" t="s">
        <v>1387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1432</v>
      </c>
      <c r="C32" t="s">
        <v>24</v>
      </c>
      <c r="D32" t="s">
        <v>1433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1434</v>
      </c>
      <c r="Q32" s="30" t="s">
        <v>1435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1423</v>
      </c>
      <c r="C33" t="s">
        <v>20</v>
      </c>
      <c r="D33" t="s">
        <v>1384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1315</v>
      </c>
      <c r="C34" t="s">
        <v>30</v>
      </c>
      <c r="D34" t="s">
        <v>1384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1378</v>
      </c>
      <c r="C35" t="s">
        <v>24</v>
      </c>
      <c r="D35" t="s">
        <v>1382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>
        <v>7514</v>
      </c>
      <c r="AO35">
        <v>1834</v>
      </c>
      <c r="AP35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1400</v>
      </c>
      <c r="C36" t="s">
        <v>24</v>
      </c>
      <c r="D36" t="s">
        <v>1385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1372</v>
      </c>
      <c r="C37" t="s">
        <v>46</v>
      </c>
      <c r="D37" t="s">
        <v>1386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1379</v>
      </c>
      <c r="C38" t="s">
        <v>24</v>
      </c>
      <c r="D38" t="s">
        <v>1399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640</v>
      </c>
      <c r="C39" t="s">
        <v>20</v>
      </c>
      <c r="D39" t="s">
        <v>1385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659</v>
      </c>
      <c r="C40" t="s">
        <v>660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653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643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631</v>
      </c>
      <c r="C43" t="s">
        <v>20</v>
      </c>
      <c r="F43" t="s">
        <v>633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1316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644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636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1103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641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1101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637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645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646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1418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634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1102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1107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1105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638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1108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1104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1100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1109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1111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1110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639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1106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1052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1417</v>
      </c>
      <c r="C78" t="s">
        <v>32</v>
      </c>
      <c r="D78" t="s">
        <v>1384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1416</v>
      </c>
      <c r="C79" t="s">
        <v>24</v>
      </c>
      <c r="D79" t="s">
        <v>1384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656</v>
      </c>
      <c r="C80" t="s">
        <v>28</v>
      </c>
      <c r="D80" t="s">
        <v>1387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657</v>
      </c>
      <c r="C81" t="s">
        <v>28</v>
      </c>
      <c r="D81" t="s">
        <v>1387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334</v>
      </c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334</v>
      </c>
      <c r="B10" s="1">
        <f>B9+1</f>
        <v>44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595</v>
      </c>
      <c r="D11" t="s">
        <v>596</v>
      </c>
    </row>
    <row r="12" spans="1:28" x14ac:dyDescent="0.25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1065</v>
      </c>
      <c r="D13" t="s">
        <v>1066</v>
      </c>
    </row>
    <row r="15" spans="1:28" x14ac:dyDescent="0.25">
      <c r="B15" s="1"/>
      <c r="C15" s="1" t="s">
        <v>1117</v>
      </c>
      <c r="D15" t="s">
        <v>1118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286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374</v>
      </c>
      <c r="C7">
        <v>145.25</v>
      </c>
    </row>
    <row r="8" spans="1:3" x14ac:dyDescent="0.25">
      <c r="B8" t="s">
        <v>397</v>
      </c>
      <c r="C8" s="41">
        <v>7.8</v>
      </c>
    </row>
    <row r="9" spans="1:3" x14ac:dyDescent="0.25">
      <c r="B9" t="s">
        <v>399</v>
      </c>
      <c r="C9">
        <v>1433</v>
      </c>
    </row>
    <row r="10" spans="1:3" x14ac:dyDescent="0.25">
      <c r="B10" t="s">
        <v>433</v>
      </c>
      <c r="C10">
        <v>82.55</v>
      </c>
    </row>
    <row r="11" spans="1:3" x14ac:dyDescent="0.25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126" activePane="bottomRight" state="frozen"/>
      <selection pane="topRight" activeCell="C1" sqref="C1"/>
      <selection pane="bottomLeft" activeCell="A3" sqref="A3"/>
      <selection pane="bottomRight" activeCell="I137" sqref="I137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286</v>
      </c>
    </row>
    <row r="2" spans="1:10" x14ac:dyDescent="0.25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1027</v>
      </c>
    </row>
    <row r="3" spans="1:10" x14ac:dyDescent="0.25">
      <c r="B3" t="s">
        <v>500</v>
      </c>
      <c r="E3" t="s">
        <v>325</v>
      </c>
      <c r="F3">
        <v>3000</v>
      </c>
      <c r="G3" t="s">
        <v>501</v>
      </c>
    </row>
    <row r="4" spans="1:10" x14ac:dyDescent="0.25">
      <c r="B4" t="s">
        <v>479</v>
      </c>
      <c r="E4" t="s">
        <v>613</v>
      </c>
      <c r="F4">
        <v>401</v>
      </c>
      <c r="G4" t="s">
        <v>1022</v>
      </c>
      <c r="H4" s="37">
        <v>45070</v>
      </c>
    </row>
    <row r="5" spans="1:10" x14ac:dyDescent="0.25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5">
      <c r="B6" t="s">
        <v>497</v>
      </c>
      <c r="E6" t="s">
        <v>325</v>
      </c>
      <c r="F6">
        <v>350</v>
      </c>
      <c r="G6" t="s">
        <v>1034</v>
      </c>
      <c r="H6" s="37">
        <v>44754</v>
      </c>
    </row>
    <row r="7" spans="1:10" x14ac:dyDescent="0.25">
      <c r="B7" t="s">
        <v>457</v>
      </c>
      <c r="C7">
        <v>2018</v>
      </c>
      <c r="E7" t="s">
        <v>393</v>
      </c>
      <c r="F7">
        <v>300</v>
      </c>
      <c r="G7" t="s">
        <v>1025</v>
      </c>
      <c r="J7">
        <v>1700</v>
      </c>
    </row>
    <row r="8" spans="1:10" x14ac:dyDescent="0.25">
      <c r="B8" t="s">
        <v>1040</v>
      </c>
      <c r="E8" t="s">
        <v>325</v>
      </c>
      <c r="F8">
        <v>290</v>
      </c>
      <c r="G8" t="s">
        <v>1041</v>
      </c>
      <c r="H8" s="37">
        <v>45400</v>
      </c>
    </row>
    <row r="9" spans="1:10" x14ac:dyDescent="0.25">
      <c r="B9" t="s">
        <v>452</v>
      </c>
      <c r="E9" t="s">
        <v>602</v>
      </c>
      <c r="F9">
        <v>221</v>
      </c>
      <c r="G9" t="s">
        <v>1025</v>
      </c>
      <c r="H9" s="37">
        <v>44670</v>
      </c>
    </row>
    <row r="10" spans="1:10" x14ac:dyDescent="0.25">
      <c r="B10" t="s">
        <v>477</v>
      </c>
    </row>
    <row r="11" spans="1:10" x14ac:dyDescent="0.25">
      <c r="B11" t="s">
        <v>478</v>
      </c>
    </row>
    <row r="12" spans="1:10" x14ac:dyDescent="0.25">
      <c r="B12" t="s">
        <v>480</v>
      </c>
      <c r="C12">
        <v>2019</v>
      </c>
      <c r="I12" t="s">
        <v>503</v>
      </c>
    </row>
    <row r="13" spans="1:10" x14ac:dyDescent="0.25">
      <c r="B13" t="s">
        <v>481</v>
      </c>
    </row>
    <row r="14" spans="1:10" x14ac:dyDescent="0.25">
      <c r="B14" t="s">
        <v>482</v>
      </c>
    </row>
    <row r="15" spans="1:10" x14ac:dyDescent="0.25">
      <c r="B15" t="s">
        <v>483</v>
      </c>
    </row>
    <row r="16" spans="1:10" x14ac:dyDescent="0.25">
      <c r="B16" t="s">
        <v>484</v>
      </c>
      <c r="E16" t="s">
        <v>393</v>
      </c>
      <c r="F16">
        <v>270</v>
      </c>
      <c r="G16" t="s">
        <v>1112</v>
      </c>
      <c r="H16" s="37">
        <v>44697</v>
      </c>
    </row>
    <row r="17" spans="2:9" x14ac:dyDescent="0.25">
      <c r="B17" t="s">
        <v>485</v>
      </c>
    </row>
    <row r="18" spans="2:9" x14ac:dyDescent="0.25">
      <c r="B18" t="s">
        <v>488</v>
      </c>
      <c r="E18" t="s">
        <v>393</v>
      </c>
      <c r="F18">
        <v>259</v>
      </c>
    </row>
    <row r="19" spans="2:9" x14ac:dyDescent="0.25">
      <c r="B19" t="s">
        <v>1002</v>
      </c>
      <c r="C19">
        <v>2020</v>
      </c>
      <c r="E19" t="s">
        <v>602</v>
      </c>
      <c r="F19">
        <v>150</v>
      </c>
      <c r="H19" s="37">
        <v>44657</v>
      </c>
      <c r="I19" t="s">
        <v>1003</v>
      </c>
    </row>
    <row r="20" spans="2:9" x14ac:dyDescent="0.25">
      <c r="B20" t="s">
        <v>486</v>
      </c>
    </row>
    <row r="21" spans="2:9" x14ac:dyDescent="0.25">
      <c r="B21" t="s">
        <v>1113</v>
      </c>
      <c r="E21" t="s">
        <v>602</v>
      </c>
      <c r="F21">
        <v>110</v>
      </c>
    </row>
    <row r="22" spans="2:9" x14ac:dyDescent="0.25">
      <c r="B22" t="s">
        <v>487</v>
      </c>
      <c r="C22">
        <v>2018</v>
      </c>
      <c r="E22" t="s">
        <v>613</v>
      </c>
      <c r="F22">
        <v>160</v>
      </c>
      <c r="G22" t="s">
        <v>616</v>
      </c>
      <c r="H22" s="37">
        <v>44817</v>
      </c>
      <c r="I22" t="s">
        <v>612</v>
      </c>
    </row>
    <row r="23" spans="2:9" x14ac:dyDescent="0.25">
      <c r="B23" t="s">
        <v>487</v>
      </c>
      <c r="C23">
        <v>2018</v>
      </c>
      <c r="E23" t="s">
        <v>393</v>
      </c>
      <c r="F23">
        <v>108</v>
      </c>
      <c r="G23" t="s">
        <v>615</v>
      </c>
      <c r="H23" s="37">
        <v>44362</v>
      </c>
    </row>
    <row r="24" spans="2:9" x14ac:dyDescent="0.25">
      <c r="B24" t="s">
        <v>487</v>
      </c>
      <c r="C24">
        <v>2018</v>
      </c>
      <c r="E24" t="s">
        <v>602</v>
      </c>
      <c r="F24">
        <v>105</v>
      </c>
      <c r="G24" t="s">
        <v>615</v>
      </c>
      <c r="H24" s="37">
        <v>44173</v>
      </c>
    </row>
    <row r="25" spans="2:9" x14ac:dyDescent="0.25">
      <c r="B25" t="s">
        <v>487</v>
      </c>
      <c r="C25">
        <v>2018</v>
      </c>
      <c r="E25" t="s">
        <v>325</v>
      </c>
      <c r="F25">
        <v>45</v>
      </c>
      <c r="G25" t="s">
        <v>614</v>
      </c>
      <c r="H25" s="37">
        <v>44118</v>
      </c>
    </row>
    <row r="26" spans="2:9" x14ac:dyDescent="0.25">
      <c r="H26" s="37"/>
    </row>
    <row r="27" spans="2:9" x14ac:dyDescent="0.25">
      <c r="B27" t="s">
        <v>392</v>
      </c>
      <c r="E27" t="s">
        <v>1037</v>
      </c>
      <c r="F27">
        <v>145</v>
      </c>
      <c r="G27" t="s">
        <v>1038</v>
      </c>
      <c r="H27" s="37">
        <v>45352</v>
      </c>
    </row>
    <row r="28" spans="2:9" x14ac:dyDescent="0.25">
      <c r="B28" t="s">
        <v>392</v>
      </c>
      <c r="E28" t="s">
        <v>613</v>
      </c>
      <c r="F28">
        <v>178</v>
      </c>
      <c r="G28" t="s">
        <v>1039</v>
      </c>
      <c r="H28" s="37">
        <v>44886</v>
      </c>
    </row>
    <row r="29" spans="2:9" x14ac:dyDescent="0.25">
      <c r="B29" t="s">
        <v>392</v>
      </c>
      <c r="E29" t="s">
        <v>393</v>
      </c>
      <c r="F29">
        <v>107</v>
      </c>
      <c r="I29" t="s">
        <v>394</v>
      </c>
    </row>
    <row r="31" spans="2:9" x14ac:dyDescent="0.25">
      <c r="B31" t="s">
        <v>494</v>
      </c>
      <c r="E31" t="s">
        <v>393</v>
      </c>
      <c r="F31">
        <v>140</v>
      </c>
      <c r="G31" t="s">
        <v>1683</v>
      </c>
      <c r="H31" s="37">
        <v>44601</v>
      </c>
    </row>
    <row r="33" spans="2:8" x14ac:dyDescent="0.25">
      <c r="B33" t="s">
        <v>1030</v>
      </c>
      <c r="E33" t="s">
        <v>602</v>
      </c>
      <c r="F33">
        <v>75</v>
      </c>
      <c r="G33" t="s">
        <v>1031</v>
      </c>
      <c r="H33" s="37">
        <v>45308</v>
      </c>
    </row>
    <row r="34" spans="2:8" x14ac:dyDescent="0.25">
      <c r="B34" t="s">
        <v>1032</v>
      </c>
      <c r="E34" t="s">
        <v>393</v>
      </c>
      <c r="F34">
        <v>75</v>
      </c>
      <c r="G34" t="s">
        <v>1033</v>
      </c>
      <c r="H34" s="37">
        <v>45314</v>
      </c>
    </row>
    <row r="35" spans="2:8" x14ac:dyDescent="0.25">
      <c r="B35" t="s">
        <v>1114</v>
      </c>
      <c r="H35" s="37"/>
    </row>
    <row r="36" spans="2:8" x14ac:dyDescent="0.25">
      <c r="B36" t="s">
        <v>489</v>
      </c>
    </row>
    <row r="37" spans="2:8" x14ac:dyDescent="0.25">
      <c r="B37" t="s">
        <v>490</v>
      </c>
    </row>
    <row r="38" spans="2:8" x14ac:dyDescent="0.25">
      <c r="B38" t="s">
        <v>491</v>
      </c>
    </row>
    <row r="39" spans="2:8" x14ac:dyDescent="0.25">
      <c r="B39" t="s">
        <v>492</v>
      </c>
    </row>
    <row r="40" spans="2:8" x14ac:dyDescent="0.25">
      <c r="B40" t="s">
        <v>493</v>
      </c>
    </row>
    <row r="41" spans="2:8" x14ac:dyDescent="0.25">
      <c r="B41" t="s">
        <v>1009</v>
      </c>
      <c r="C41">
        <v>2021</v>
      </c>
      <c r="F41">
        <v>20</v>
      </c>
      <c r="H41" s="37">
        <v>45030</v>
      </c>
    </row>
    <row r="42" spans="2:8" x14ac:dyDescent="0.25">
      <c r="B42" t="s">
        <v>1010</v>
      </c>
      <c r="C42">
        <v>2020</v>
      </c>
      <c r="F42">
        <v>20</v>
      </c>
      <c r="H42" s="37">
        <v>44987</v>
      </c>
    </row>
    <row r="43" spans="2:8" x14ac:dyDescent="0.25">
      <c r="B43" t="s">
        <v>1008</v>
      </c>
    </row>
    <row r="44" spans="2:8" x14ac:dyDescent="0.25">
      <c r="B44" t="s">
        <v>1011</v>
      </c>
      <c r="C44" s="13">
        <v>44188</v>
      </c>
      <c r="F44">
        <v>19</v>
      </c>
      <c r="H44" s="37">
        <v>44545</v>
      </c>
    </row>
    <row r="45" spans="2:8" x14ac:dyDescent="0.25">
      <c r="B45" t="s">
        <v>1035</v>
      </c>
      <c r="C45" s="13"/>
      <c r="E45" t="s">
        <v>325</v>
      </c>
      <c r="F45">
        <v>16.8</v>
      </c>
      <c r="G45" t="s">
        <v>1036</v>
      </c>
      <c r="H45" s="37">
        <v>45349</v>
      </c>
    </row>
    <row r="46" spans="2:8" x14ac:dyDescent="0.25">
      <c r="B46" t="s">
        <v>1180</v>
      </c>
      <c r="C46" s="13"/>
      <c r="H46" s="37"/>
    </row>
    <row r="47" spans="2:8" x14ac:dyDescent="0.25">
      <c r="B47" t="s">
        <v>1028</v>
      </c>
      <c r="C47" s="13"/>
      <c r="E47" t="s">
        <v>325</v>
      </c>
      <c r="F47">
        <v>14</v>
      </c>
      <c r="G47" t="s">
        <v>1029</v>
      </c>
      <c r="H47" s="37">
        <v>45307</v>
      </c>
    </row>
    <row r="48" spans="2:8" x14ac:dyDescent="0.25">
      <c r="B48" t="s">
        <v>1007</v>
      </c>
    </row>
    <row r="49" spans="2:8" x14ac:dyDescent="0.25">
      <c r="B49" t="s">
        <v>1185</v>
      </c>
    </row>
    <row r="50" spans="2:8" x14ac:dyDescent="0.25">
      <c r="B50" t="s">
        <v>495</v>
      </c>
    </row>
    <row r="51" spans="2:8" x14ac:dyDescent="0.25">
      <c r="B51" t="s">
        <v>496</v>
      </c>
    </row>
    <row r="52" spans="2:8" x14ac:dyDescent="0.25">
      <c r="B52" t="s">
        <v>444</v>
      </c>
    </row>
    <row r="53" spans="2:8" x14ac:dyDescent="0.25">
      <c r="B53" t="s">
        <v>1142</v>
      </c>
      <c r="E53" t="s">
        <v>602</v>
      </c>
      <c r="F53">
        <v>120</v>
      </c>
      <c r="H53" s="37">
        <v>45511</v>
      </c>
    </row>
    <row r="54" spans="2:8" x14ac:dyDescent="0.25">
      <c r="B54" t="s">
        <v>445</v>
      </c>
    </row>
    <row r="55" spans="2:8" x14ac:dyDescent="0.25">
      <c r="B55" t="s">
        <v>446</v>
      </c>
    </row>
    <row r="56" spans="2:8" x14ac:dyDescent="0.25">
      <c r="B56" t="s">
        <v>447</v>
      </c>
    </row>
    <row r="57" spans="2:8" x14ac:dyDescent="0.25">
      <c r="B57" t="s">
        <v>1317</v>
      </c>
      <c r="C57" s="13">
        <v>45196</v>
      </c>
      <c r="E57" t="s">
        <v>393</v>
      </c>
      <c r="F57">
        <v>175</v>
      </c>
      <c r="G57" t="s">
        <v>1318</v>
      </c>
    </row>
    <row r="58" spans="2:8" x14ac:dyDescent="0.25">
      <c r="B58" t="s">
        <v>448</v>
      </c>
    </row>
    <row r="59" spans="2:8" x14ac:dyDescent="0.25">
      <c r="B59" t="s">
        <v>450</v>
      </c>
    </row>
    <row r="60" spans="2:8" x14ac:dyDescent="0.25">
      <c r="B60" t="s">
        <v>449</v>
      </c>
    </row>
    <row r="61" spans="2:8" x14ac:dyDescent="0.25">
      <c r="B61" t="s">
        <v>451</v>
      </c>
      <c r="E61" t="s">
        <v>602</v>
      </c>
      <c r="F61">
        <v>500</v>
      </c>
    </row>
    <row r="62" spans="2:8" x14ac:dyDescent="0.25">
      <c r="B62" t="s">
        <v>453</v>
      </c>
    </row>
    <row r="63" spans="2:8" x14ac:dyDescent="0.25">
      <c r="B63" t="s">
        <v>454</v>
      </c>
    </row>
    <row r="64" spans="2:8" x14ac:dyDescent="0.25">
      <c r="B64" t="s">
        <v>455</v>
      </c>
    </row>
    <row r="65" spans="2:6" x14ac:dyDescent="0.25">
      <c r="B65" t="s">
        <v>456</v>
      </c>
    </row>
    <row r="66" spans="2:6" x14ac:dyDescent="0.25">
      <c r="B66" t="s">
        <v>473</v>
      </c>
    </row>
    <row r="67" spans="2:6" x14ac:dyDescent="0.25">
      <c r="B67" t="s">
        <v>474</v>
      </c>
    </row>
    <row r="68" spans="2:6" x14ac:dyDescent="0.25">
      <c r="B68" t="s">
        <v>476</v>
      </c>
    </row>
    <row r="69" spans="2:6" x14ac:dyDescent="0.25">
      <c r="B69" t="s">
        <v>475</v>
      </c>
    </row>
    <row r="70" spans="2:6" x14ac:dyDescent="0.25">
      <c r="B70" t="s">
        <v>458</v>
      </c>
    </row>
    <row r="71" spans="2:6" x14ac:dyDescent="0.25">
      <c r="B71" t="s">
        <v>459</v>
      </c>
    </row>
    <row r="72" spans="2:6" x14ac:dyDescent="0.25">
      <c r="B72" t="s">
        <v>461</v>
      </c>
    </row>
    <row r="73" spans="2:6" x14ac:dyDescent="0.25">
      <c r="B73" t="s">
        <v>462</v>
      </c>
    </row>
    <row r="74" spans="2:6" x14ac:dyDescent="0.25">
      <c r="B74" t="s">
        <v>463</v>
      </c>
    </row>
    <row r="75" spans="2:6" x14ac:dyDescent="0.25">
      <c r="B75" t="s">
        <v>464</v>
      </c>
    </row>
    <row r="76" spans="2:6" x14ac:dyDescent="0.25">
      <c r="B76" t="s">
        <v>466</v>
      </c>
    </row>
    <row r="77" spans="2:6" x14ac:dyDescent="0.25">
      <c r="B77" t="s">
        <v>467</v>
      </c>
    </row>
    <row r="78" spans="2:6" x14ac:dyDescent="0.25">
      <c r="B78" t="s">
        <v>468</v>
      </c>
    </row>
    <row r="79" spans="2:6" x14ac:dyDescent="0.25">
      <c r="B79" t="s">
        <v>469</v>
      </c>
    </row>
    <row r="80" spans="2:6" x14ac:dyDescent="0.25">
      <c r="B80" t="s">
        <v>470</v>
      </c>
      <c r="E80" t="s">
        <v>602</v>
      </c>
      <c r="F80" t="s">
        <v>1004</v>
      </c>
    </row>
    <row r="81" spans="2:8" x14ac:dyDescent="0.25">
      <c r="B81" t="s">
        <v>1005</v>
      </c>
      <c r="E81" t="s">
        <v>325</v>
      </c>
      <c r="F81" t="s">
        <v>1006</v>
      </c>
    </row>
    <row r="82" spans="2:8" x14ac:dyDescent="0.25">
      <c r="B82" t="s">
        <v>471</v>
      </c>
    </row>
    <row r="83" spans="2:8" x14ac:dyDescent="0.25">
      <c r="B83" t="s">
        <v>472</v>
      </c>
    </row>
    <row r="84" spans="2:8" x14ac:dyDescent="0.25">
      <c r="B84" t="s">
        <v>465</v>
      </c>
    </row>
    <row r="85" spans="2:8" x14ac:dyDescent="0.25">
      <c r="B85" t="s">
        <v>460</v>
      </c>
    </row>
    <row r="86" spans="2:8" x14ac:dyDescent="0.25">
      <c r="B86" t="s">
        <v>443</v>
      </c>
    </row>
    <row r="87" spans="2:8" x14ac:dyDescent="0.25">
      <c r="B87" t="s">
        <v>0</v>
      </c>
    </row>
    <row r="88" spans="2:8" x14ac:dyDescent="0.25">
      <c r="B88" t="s">
        <v>280</v>
      </c>
    </row>
    <row r="89" spans="2:8" x14ac:dyDescent="0.25">
      <c r="B89" t="s">
        <v>281</v>
      </c>
    </row>
    <row r="90" spans="2:8" x14ac:dyDescent="0.25">
      <c r="B90" t="s">
        <v>282</v>
      </c>
      <c r="C90">
        <v>2019</v>
      </c>
      <c r="D90" t="s">
        <v>283</v>
      </c>
    </row>
    <row r="91" spans="2:8" x14ac:dyDescent="0.25">
      <c r="B91" t="s">
        <v>285</v>
      </c>
    </row>
    <row r="92" spans="2:8" x14ac:dyDescent="0.25">
      <c r="B92" t="s">
        <v>287</v>
      </c>
    </row>
    <row r="93" spans="2:8" x14ac:dyDescent="0.25">
      <c r="B93" t="s">
        <v>290</v>
      </c>
    </row>
    <row r="94" spans="2:8" x14ac:dyDescent="0.25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7">
        <v>44599</v>
      </c>
    </row>
    <row r="95" spans="2:8" x14ac:dyDescent="0.25">
      <c r="B95" t="s">
        <v>338</v>
      </c>
      <c r="E95" t="s">
        <v>325</v>
      </c>
      <c r="F95" t="s">
        <v>339</v>
      </c>
    </row>
    <row r="96" spans="2:8" x14ac:dyDescent="0.25">
      <c r="B96" t="s">
        <v>340</v>
      </c>
    </row>
    <row r="97" spans="2:9" x14ac:dyDescent="0.25">
      <c r="B97" t="s">
        <v>1042</v>
      </c>
    </row>
    <row r="98" spans="2:9" x14ac:dyDescent="0.25">
      <c r="B98" t="s">
        <v>341</v>
      </c>
      <c r="I98" t="s">
        <v>342</v>
      </c>
    </row>
    <row r="99" spans="2:9" x14ac:dyDescent="0.25">
      <c r="B99" t="s">
        <v>384</v>
      </c>
    </row>
    <row r="100" spans="2:9" x14ac:dyDescent="0.25">
      <c r="B100" t="s">
        <v>387</v>
      </c>
      <c r="C100" t="s">
        <v>388</v>
      </c>
      <c r="E100" t="s">
        <v>325</v>
      </c>
      <c r="F100" t="s">
        <v>389</v>
      </c>
      <c r="H100" s="37">
        <v>43466</v>
      </c>
      <c r="I100" t="s">
        <v>390</v>
      </c>
    </row>
    <row r="101" spans="2:9" x14ac:dyDescent="0.25">
      <c r="B101" t="s">
        <v>391</v>
      </c>
    </row>
    <row r="103" spans="2:9" x14ac:dyDescent="0.25">
      <c r="B103" t="s">
        <v>398</v>
      </c>
      <c r="E103" t="s">
        <v>393</v>
      </c>
      <c r="F103">
        <v>121</v>
      </c>
    </row>
    <row r="104" spans="2:9" x14ac:dyDescent="0.25">
      <c r="B104" t="s">
        <v>415</v>
      </c>
    </row>
    <row r="105" spans="2:9" x14ac:dyDescent="0.25">
      <c r="B105" t="s">
        <v>418</v>
      </c>
    </row>
    <row r="106" spans="2:9" x14ac:dyDescent="0.25">
      <c r="B106" t="s">
        <v>420</v>
      </c>
    </row>
    <row r="107" spans="2:9" x14ac:dyDescent="0.25">
      <c r="B107" t="s">
        <v>425</v>
      </c>
      <c r="I107" t="s">
        <v>426</v>
      </c>
    </row>
    <row r="108" spans="2:9" x14ac:dyDescent="0.25">
      <c r="B108" t="s">
        <v>440</v>
      </c>
    </row>
    <row r="109" spans="2:9" x14ac:dyDescent="0.25">
      <c r="B109" t="s">
        <v>502</v>
      </c>
    </row>
    <row r="110" spans="2:9" x14ac:dyDescent="0.25">
      <c r="B110" t="s">
        <v>518</v>
      </c>
      <c r="I110" t="s">
        <v>519</v>
      </c>
    </row>
    <row r="111" spans="2:9" x14ac:dyDescent="0.25">
      <c r="B111" t="s">
        <v>521</v>
      </c>
      <c r="I111" t="s">
        <v>519</v>
      </c>
    </row>
    <row r="112" spans="2:9" x14ac:dyDescent="0.25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7">
        <v>43251</v>
      </c>
    </row>
    <row r="113" spans="2:9" x14ac:dyDescent="0.25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5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5">
      <c r="B115" t="s">
        <v>610</v>
      </c>
      <c r="I115" t="s">
        <v>611</v>
      </c>
    </row>
    <row r="116" spans="2:9" x14ac:dyDescent="0.25">
      <c r="B116" t="s">
        <v>617</v>
      </c>
      <c r="E116" t="s">
        <v>602</v>
      </c>
      <c r="F116" t="s">
        <v>619</v>
      </c>
    </row>
    <row r="117" spans="2:9" x14ac:dyDescent="0.25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5">
      <c r="B118" t="s">
        <v>621</v>
      </c>
      <c r="E118" t="s">
        <v>393</v>
      </c>
      <c r="F118" t="s">
        <v>622</v>
      </c>
    </row>
    <row r="119" spans="2:9" x14ac:dyDescent="0.25">
      <c r="B119" t="s">
        <v>621</v>
      </c>
      <c r="E119" t="s">
        <v>613</v>
      </c>
      <c r="F119" t="s">
        <v>608</v>
      </c>
    </row>
    <row r="120" spans="2:9" x14ac:dyDescent="0.25">
      <c r="B120" t="s">
        <v>1012</v>
      </c>
      <c r="E120" t="s">
        <v>602</v>
      </c>
      <c r="F120" t="s">
        <v>1013</v>
      </c>
    </row>
    <row r="121" spans="2:9" x14ac:dyDescent="0.25">
      <c r="B121" t="s">
        <v>1014</v>
      </c>
      <c r="E121" t="s">
        <v>325</v>
      </c>
      <c r="F121" t="s">
        <v>1015</v>
      </c>
    </row>
    <row r="122" spans="2:9" x14ac:dyDescent="0.25">
      <c r="B122" t="s">
        <v>1017</v>
      </c>
      <c r="E122" t="s">
        <v>1018</v>
      </c>
      <c r="F122" t="s">
        <v>1019</v>
      </c>
    </row>
    <row r="123" spans="2:9" x14ac:dyDescent="0.25">
      <c r="B123" t="s">
        <v>1020</v>
      </c>
    </row>
    <row r="124" spans="2:9" x14ac:dyDescent="0.25">
      <c r="B124" t="s">
        <v>1021</v>
      </c>
    </row>
    <row r="125" spans="2:9" x14ac:dyDescent="0.25">
      <c r="B125" t="s">
        <v>1651</v>
      </c>
    </row>
    <row r="126" spans="2:9" x14ac:dyDescent="0.25">
      <c r="B126" t="s">
        <v>1652</v>
      </c>
    </row>
    <row r="127" spans="2:9" x14ac:dyDescent="0.25">
      <c r="B127" t="s">
        <v>1673</v>
      </c>
      <c r="I127" t="s">
        <v>1674</v>
      </c>
    </row>
    <row r="128" spans="2:9" x14ac:dyDescent="0.25">
      <c r="B128" t="s">
        <v>1023</v>
      </c>
      <c r="E128" t="s">
        <v>1018</v>
      </c>
      <c r="F128" t="s">
        <v>1024</v>
      </c>
      <c r="G128" t="s">
        <v>1025</v>
      </c>
      <c r="H128" s="37">
        <v>44915</v>
      </c>
      <c r="I128" t="s">
        <v>1026</v>
      </c>
    </row>
    <row r="129" spans="2:9" x14ac:dyDescent="0.25">
      <c r="B129" t="s">
        <v>1679</v>
      </c>
    </row>
    <row r="130" spans="2:9" x14ac:dyDescent="0.25">
      <c r="B130" t="s">
        <v>1685</v>
      </c>
    </row>
    <row r="131" spans="2:9" x14ac:dyDescent="0.25">
      <c r="B131" t="s">
        <v>1680</v>
      </c>
    </row>
    <row r="132" spans="2:9" x14ac:dyDescent="0.25">
      <c r="B132" t="s">
        <v>1783</v>
      </c>
      <c r="I132" t="s">
        <v>1784</v>
      </c>
    </row>
    <row r="133" spans="2:9" x14ac:dyDescent="0.25">
      <c r="B133" t="s">
        <v>1785</v>
      </c>
      <c r="I133" t="s">
        <v>1786</v>
      </c>
    </row>
    <row r="134" spans="2:9" x14ac:dyDescent="0.25">
      <c r="B134" t="s">
        <v>1787</v>
      </c>
    </row>
    <row r="135" spans="2:9" x14ac:dyDescent="0.25">
      <c r="B135" t="s">
        <v>1788</v>
      </c>
    </row>
    <row r="136" spans="2:9" x14ac:dyDescent="0.25">
      <c r="B136" t="s">
        <v>1790</v>
      </c>
      <c r="I136" t="s">
        <v>1791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286</v>
      </c>
    </row>
    <row r="2" spans="1:6" x14ac:dyDescent="0.25">
      <c r="B2" t="s">
        <v>1</v>
      </c>
      <c r="C2" t="s">
        <v>1338</v>
      </c>
      <c r="D2" t="s">
        <v>1319</v>
      </c>
      <c r="E2" s="28" t="s">
        <v>1328</v>
      </c>
      <c r="F2" s="28" t="s">
        <v>1329</v>
      </c>
    </row>
    <row r="3" spans="1:6" x14ac:dyDescent="0.25">
      <c r="B3" t="s">
        <v>1320</v>
      </c>
      <c r="C3" t="s">
        <v>1343</v>
      </c>
      <c r="D3" t="s">
        <v>1321</v>
      </c>
      <c r="E3" s="30">
        <v>21976.23993</v>
      </c>
      <c r="F3" s="30">
        <v>7825</v>
      </c>
    </row>
    <row r="4" spans="1:6" x14ac:dyDescent="0.25">
      <c r="B4" t="s">
        <v>1336</v>
      </c>
      <c r="D4" t="s">
        <v>1359</v>
      </c>
      <c r="E4" s="30">
        <v>18211.07</v>
      </c>
    </row>
    <row r="5" spans="1:6" x14ac:dyDescent="0.25">
      <c r="B5" t="s">
        <v>1335</v>
      </c>
      <c r="D5" t="s">
        <v>1359</v>
      </c>
      <c r="E5" s="30">
        <v>16117.395447000001</v>
      </c>
    </row>
    <row r="6" spans="1:6" x14ac:dyDescent="0.25">
      <c r="B6" t="s">
        <v>1334</v>
      </c>
      <c r="C6" t="s">
        <v>1344</v>
      </c>
      <c r="D6" t="s">
        <v>1360</v>
      </c>
      <c r="E6" s="30">
        <v>11227.234425000001</v>
      </c>
    </row>
    <row r="7" spans="1:6" x14ac:dyDescent="0.25">
      <c r="B7" t="s">
        <v>1322</v>
      </c>
      <c r="D7" t="s">
        <v>1359</v>
      </c>
      <c r="E7" s="30">
        <v>9575.6820260000004</v>
      </c>
    </row>
    <row r="8" spans="1:6" x14ac:dyDescent="0.25">
      <c r="B8" t="s">
        <v>1323</v>
      </c>
      <c r="C8" t="s">
        <v>1345</v>
      </c>
      <c r="D8" t="s">
        <v>1361</v>
      </c>
      <c r="E8" s="30">
        <v>8820.4850540000007</v>
      </c>
    </row>
    <row r="9" spans="1:6" x14ac:dyDescent="0.25">
      <c r="B9" t="s">
        <v>1332</v>
      </c>
      <c r="E9" s="30">
        <v>8737.9044240000003</v>
      </c>
    </row>
    <row r="10" spans="1:6" x14ac:dyDescent="0.25">
      <c r="B10" t="s">
        <v>1369</v>
      </c>
      <c r="C10" t="s">
        <v>1370</v>
      </c>
      <c r="D10" t="s">
        <v>1362</v>
      </c>
      <c r="E10" s="30"/>
      <c r="F10" s="30">
        <v>6000</v>
      </c>
    </row>
    <row r="11" spans="1:6" x14ac:dyDescent="0.25">
      <c r="B11" t="s">
        <v>1333</v>
      </c>
      <c r="C11" t="s">
        <v>1346</v>
      </c>
      <c r="D11" t="s">
        <v>1362</v>
      </c>
      <c r="E11" s="30">
        <v>5911.15</v>
      </c>
    </row>
    <row r="12" spans="1:6" x14ac:dyDescent="0.25">
      <c r="B12" t="s">
        <v>1324</v>
      </c>
      <c r="E12" s="30">
        <v>5768.7178190000004</v>
      </c>
    </row>
    <row r="13" spans="1:6" x14ac:dyDescent="0.25">
      <c r="B13" t="s">
        <v>1363</v>
      </c>
      <c r="C13" t="s">
        <v>1364</v>
      </c>
      <c r="D13" t="s">
        <v>1362</v>
      </c>
      <c r="E13" s="30"/>
      <c r="F13" s="30">
        <v>5600</v>
      </c>
    </row>
    <row r="14" spans="1:6" x14ac:dyDescent="0.25">
      <c r="B14" t="s">
        <v>1337</v>
      </c>
      <c r="E14" s="30">
        <v>5116.0800019999997</v>
      </c>
    </row>
    <row r="15" spans="1:6" x14ac:dyDescent="0.25">
      <c r="B15" t="s">
        <v>1326</v>
      </c>
      <c r="E15" s="30">
        <v>5001.7414399999998</v>
      </c>
    </row>
    <row r="16" spans="1:6" x14ac:dyDescent="0.25">
      <c r="B16" s="5" t="s">
        <v>1339</v>
      </c>
      <c r="C16" t="s">
        <v>1340</v>
      </c>
      <c r="E16" s="30">
        <v>4902.1930000000002</v>
      </c>
      <c r="F16" s="30">
        <v>3187.7679090000001</v>
      </c>
    </row>
    <row r="17" spans="2:5" x14ac:dyDescent="0.25">
      <c r="B17" t="s">
        <v>1325</v>
      </c>
      <c r="C17" t="s">
        <v>1347</v>
      </c>
      <c r="E17" s="30">
        <v>4012.7660850000002</v>
      </c>
    </row>
    <row r="18" spans="2:5" x14ac:dyDescent="0.25">
      <c r="B18" t="s">
        <v>1331</v>
      </c>
      <c r="E18" s="30">
        <v>3542.0446270000002</v>
      </c>
    </row>
    <row r="19" spans="2:5" x14ac:dyDescent="0.25">
      <c r="B19" t="s">
        <v>1342</v>
      </c>
      <c r="E19" s="30">
        <v>2643.6989920000001</v>
      </c>
    </row>
    <row r="20" spans="2:5" x14ac:dyDescent="0.25">
      <c r="B20" s="5" t="s">
        <v>1349</v>
      </c>
      <c r="E20" s="30">
        <v>1296.421245</v>
      </c>
    </row>
    <row r="21" spans="2:5" x14ac:dyDescent="0.25">
      <c r="B21" t="s">
        <v>1330</v>
      </c>
      <c r="E21" s="30">
        <v>1057</v>
      </c>
    </row>
    <row r="22" spans="2:5" x14ac:dyDescent="0.25">
      <c r="B22" t="s">
        <v>1341</v>
      </c>
      <c r="C22" t="s">
        <v>1348</v>
      </c>
      <c r="E22" s="30">
        <v>981.87468000000001</v>
      </c>
    </row>
    <row r="23" spans="2:5" x14ac:dyDescent="0.25">
      <c r="B23" t="s">
        <v>1327</v>
      </c>
      <c r="E23" s="30">
        <v>507.774765</v>
      </c>
    </row>
    <row r="24" spans="2:5" x14ac:dyDescent="0.25">
      <c r="B24" t="s">
        <v>1350</v>
      </c>
    </row>
    <row r="25" spans="2:5" x14ac:dyDescent="0.25">
      <c r="B25" t="s">
        <v>1351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286</v>
      </c>
    </row>
    <row r="2" spans="1:15" x14ac:dyDescent="0.25">
      <c r="B2" t="s">
        <v>294</v>
      </c>
      <c r="C2" t="s">
        <v>295</v>
      </c>
      <c r="D2" t="s">
        <v>320</v>
      </c>
      <c r="E2" t="s">
        <v>1202</v>
      </c>
      <c r="F2" t="s">
        <v>1218</v>
      </c>
      <c r="G2" t="s">
        <v>427</v>
      </c>
    </row>
    <row r="3" spans="1:15" x14ac:dyDescent="0.25">
      <c r="B3" t="s">
        <v>1250</v>
      </c>
      <c r="C3" t="s">
        <v>1251</v>
      </c>
      <c r="D3" s="6">
        <v>76000</v>
      </c>
      <c r="E3">
        <v>2000</v>
      </c>
      <c r="G3" t="s">
        <v>1252</v>
      </c>
    </row>
    <row r="4" spans="1:15" x14ac:dyDescent="0.25">
      <c r="B4" t="s">
        <v>1204</v>
      </c>
      <c r="C4" t="s">
        <v>32</v>
      </c>
      <c r="D4" s="6">
        <v>74000</v>
      </c>
      <c r="E4" s="13">
        <v>43468</v>
      </c>
    </row>
    <row r="5" spans="1:15" x14ac:dyDescent="0.25">
      <c r="B5" t="s">
        <v>1206</v>
      </c>
      <c r="C5" t="s">
        <v>24</v>
      </c>
      <c r="D5" s="6">
        <v>68000</v>
      </c>
      <c r="E5" s="13">
        <v>39838</v>
      </c>
    </row>
    <row r="6" spans="1:15" x14ac:dyDescent="0.25">
      <c r="B6" t="s">
        <v>1247</v>
      </c>
      <c r="C6" t="s">
        <v>1248</v>
      </c>
      <c r="D6" s="6">
        <v>67000</v>
      </c>
      <c r="E6" s="8">
        <v>1999</v>
      </c>
      <c r="G6" t="s">
        <v>1249</v>
      </c>
    </row>
    <row r="7" spans="1:15" x14ac:dyDescent="0.25">
      <c r="B7" t="s">
        <v>1224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1203</v>
      </c>
      <c r="C8" t="s">
        <v>18</v>
      </c>
      <c r="D8" s="6">
        <v>63000</v>
      </c>
      <c r="E8" s="13">
        <v>43641</v>
      </c>
    </row>
    <row r="9" spans="1:15" x14ac:dyDescent="0.25">
      <c r="B9" t="s">
        <v>1259</v>
      </c>
      <c r="C9" t="s">
        <v>255</v>
      </c>
      <c r="D9" s="6">
        <v>63000</v>
      </c>
      <c r="E9" s="8">
        <v>2018</v>
      </c>
    </row>
    <row r="10" spans="1:15" x14ac:dyDescent="0.25">
      <c r="B10" t="s">
        <v>1263</v>
      </c>
      <c r="C10" t="s">
        <v>1057</v>
      </c>
      <c r="D10" s="6">
        <v>63000</v>
      </c>
      <c r="E10" s="8">
        <v>1996</v>
      </c>
      <c r="G10" t="s">
        <v>1264</v>
      </c>
    </row>
    <row r="11" spans="1:15" x14ac:dyDescent="0.25">
      <c r="B11" t="s">
        <v>1191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1208</v>
      </c>
      <c r="C12" t="s">
        <v>24</v>
      </c>
      <c r="D12" s="6">
        <v>60000</v>
      </c>
      <c r="E12" s="49" t="s">
        <v>1207</v>
      </c>
    </row>
    <row r="13" spans="1:15" x14ac:dyDescent="0.25">
      <c r="B13" t="s">
        <v>1221</v>
      </c>
      <c r="C13" t="s">
        <v>21</v>
      </c>
      <c r="D13" s="6">
        <v>47000</v>
      </c>
      <c r="E13" s="8">
        <v>2019</v>
      </c>
      <c r="G13" t="s">
        <v>1223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1211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1215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1245</v>
      </c>
      <c r="C17" t="s">
        <v>29</v>
      </c>
      <c r="D17" s="6">
        <v>39000</v>
      </c>
      <c r="E17" s="8">
        <v>2008</v>
      </c>
      <c r="F17" s="6"/>
      <c r="G17" s="51" t="s">
        <v>1246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1190</v>
      </c>
      <c r="C18" t="s">
        <v>1191</v>
      </c>
      <c r="D18" s="31">
        <v>32000</v>
      </c>
      <c r="E18">
        <v>2016</v>
      </c>
    </row>
    <row r="19" spans="1:15" x14ac:dyDescent="0.25">
      <c r="B19" t="s">
        <v>1258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1226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1227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1205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1201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1219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1225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1232</v>
      </c>
      <c r="C27" t="s">
        <v>1231</v>
      </c>
      <c r="D27" s="31">
        <v>14500</v>
      </c>
      <c r="E27" s="49">
        <v>42058</v>
      </c>
      <c r="F27" s="49"/>
    </row>
    <row r="28" spans="1:15" x14ac:dyDescent="0.25">
      <c r="B28" t="s">
        <v>400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599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1229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355</v>
      </c>
      <c r="C31" t="s">
        <v>44</v>
      </c>
      <c r="D31" s="31">
        <v>11700</v>
      </c>
      <c r="E31">
        <v>2021</v>
      </c>
    </row>
    <row r="32" spans="1:15" x14ac:dyDescent="0.25">
      <c r="B32" t="s">
        <v>87</v>
      </c>
      <c r="C32" t="s">
        <v>23</v>
      </c>
      <c r="D32" s="31">
        <v>11600</v>
      </c>
      <c r="E32">
        <v>2022</v>
      </c>
    </row>
    <row r="33" spans="1:7" x14ac:dyDescent="0.25">
      <c r="B33" t="s">
        <v>416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1216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1016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1213</v>
      </c>
      <c r="C37" t="s">
        <v>30</v>
      </c>
      <c r="D37" s="31">
        <v>9700</v>
      </c>
      <c r="E37">
        <v>2019</v>
      </c>
    </row>
    <row r="38" spans="1:7" x14ac:dyDescent="0.25">
      <c r="B38" t="s">
        <v>1243</v>
      </c>
      <c r="C38" t="s">
        <v>1204</v>
      </c>
      <c r="D38" s="31">
        <v>9000</v>
      </c>
      <c r="E38">
        <v>2018</v>
      </c>
    </row>
    <row r="39" spans="1:7" x14ac:dyDescent="0.25">
      <c r="B39" t="s">
        <v>1214</v>
      </c>
      <c r="C39" t="s">
        <v>30</v>
      </c>
      <c r="D39" s="31">
        <v>8700</v>
      </c>
      <c r="E39">
        <v>2018</v>
      </c>
    </row>
    <row r="40" spans="1:7" x14ac:dyDescent="0.25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1230</v>
      </c>
      <c r="C41" t="s">
        <v>1231</v>
      </c>
      <c r="D41" s="31">
        <v>8700</v>
      </c>
      <c r="E41" s="13">
        <v>41421</v>
      </c>
      <c r="F41" s="13"/>
    </row>
    <row r="42" spans="1:7" x14ac:dyDescent="0.25">
      <c r="B42" t="s">
        <v>1212</v>
      </c>
      <c r="C42" t="s">
        <v>28</v>
      </c>
      <c r="D42" s="31">
        <v>8400</v>
      </c>
      <c r="E42">
        <v>2014</v>
      </c>
    </row>
    <row r="43" spans="1:7" x14ac:dyDescent="0.25">
      <c r="B43" t="s">
        <v>1260</v>
      </c>
      <c r="C43" t="s">
        <v>1261</v>
      </c>
      <c r="D43" s="31">
        <v>7700</v>
      </c>
      <c r="E43">
        <v>2005</v>
      </c>
      <c r="G43" t="s">
        <v>1249</v>
      </c>
    </row>
    <row r="44" spans="1:7" x14ac:dyDescent="0.25">
      <c r="B44" t="s">
        <v>1238</v>
      </c>
      <c r="C44" t="s">
        <v>1239</v>
      </c>
      <c r="D44" s="31">
        <v>7600</v>
      </c>
      <c r="E44">
        <v>2004</v>
      </c>
      <c r="G44" t="s">
        <v>1240</v>
      </c>
    </row>
    <row r="45" spans="1:7" x14ac:dyDescent="0.25">
      <c r="B45" t="s">
        <v>1242</v>
      </c>
      <c r="C45" t="s">
        <v>93</v>
      </c>
      <c r="D45" s="31">
        <v>7200</v>
      </c>
      <c r="E45">
        <v>2021</v>
      </c>
    </row>
    <row r="46" spans="1:7" x14ac:dyDescent="0.25">
      <c r="B46" t="s">
        <v>1233</v>
      </c>
      <c r="C46" t="s">
        <v>96</v>
      </c>
      <c r="D46" s="31">
        <v>6800</v>
      </c>
      <c r="E46">
        <v>2011</v>
      </c>
    </row>
    <row r="47" spans="1:7" x14ac:dyDescent="0.25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1256</v>
      </c>
      <c r="C48" t="s">
        <v>1254</v>
      </c>
      <c r="D48" s="31">
        <v>6500</v>
      </c>
      <c r="E48">
        <v>2008</v>
      </c>
      <c r="G48" t="s">
        <v>1257</v>
      </c>
    </row>
    <row r="49" spans="1:7" x14ac:dyDescent="0.25">
      <c r="B49" t="s">
        <v>1234</v>
      </c>
      <c r="C49" t="s">
        <v>263</v>
      </c>
      <c r="D49" s="31">
        <v>5800</v>
      </c>
      <c r="E49" s="49" t="s">
        <v>1235</v>
      </c>
    </row>
    <row r="50" spans="1:7" x14ac:dyDescent="0.25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1236</v>
      </c>
      <c r="C51" t="s">
        <v>29</v>
      </c>
      <c r="D51" s="31">
        <v>5100</v>
      </c>
      <c r="E51">
        <v>2005</v>
      </c>
      <c r="F51" s="13"/>
      <c r="G51" s="23" t="s">
        <v>1237</v>
      </c>
    </row>
    <row r="52" spans="1:7" x14ac:dyDescent="0.25">
      <c r="B52" t="s">
        <v>346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5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752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5">
      <c r="A57" s="1"/>
      <c r="B57" t="s">
        <v>1241</v>
      </c>
      <c r="C57" t="s">
        <v>81</v>
      </c>
      <c r="D57" s="6">
        <v>4000</v>
      </c>
      <c r="E57">
        <v>2010</v>
      </c>
    </row>
    <row r="58" spans="1:7" x14ac:dyDescent="0.25">
      <c r="B58" t="s">
        <v>1217</v>
      </c>
      <c r="C58" t="s">
        <v>28</v>
      </c>
      <c r="D58" s="31">
        <v>3850</v>
      </c>
      <c r="E58">
        <v>2014</v>
      </c>
      <c r="G58" t="s">
        <v>1307</v>
      </c>
    </row>
    <row r="59" spans="1:7" x14ac:dyDescent="0.25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1228</v>
      </c>
      <c r="C60" t="s">
        <v>45</v>
      </c>
      <c r="D60" s="31">
        <v>2500</v>
      </c>
      <c r="E60">
        <v>2006</v>
      </c>
    </row>
    <row r="61" spans="1:7" x14ac:dyDescent="0.25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1220</v>
      </c>
      <c r="C62" t="s">
        <v>14</v>
      </c>
      <c r="D62" s="31">
        <v>2400</v>
      </c>
      <c r="E62">
        <v>2003</v>
      </c>
    </row>
    <row r="63" spans="1:7" x14ac:dyDescent="0.25">
      <c r="B63" t="s">
        <v>1253</v>
      </c>
      <c r="C63" t="s">
        <v>1254</v>
      </c>
      <c r="D63" s="31">
        <v>2300</v>
      </c>
      <c r="E63">
        <v>2006</v>
      </c>
    </row>
    <row r="64" spans="1:7" x14ac:dyDescent="0.25">
      <c r="B64" t="s">
        <v>1221</v>
      </c>
      <c r="C64" t="s">
        <v>21</v>
      </c>
      <c r="D64" s="31">
        <v>2100</v>
      </c>
      <c r="E64">
        <v>1990</v>
      </c>
      <c r="G64" t="s">
        <v>1222</v>
      </c>
    </row>
    <row r="65" spans="1:10" x14ac:dyDescent="0.25">
      <c r="B65" t="s">
        <v>1255</v>
      </c>
      <c r="C65" t="s">
        <v>1254</v>
      </c>
      <c r="D65" s="31">
        <v>2100</v>
      </c>
      <c r="E65">
        <v>2006</v>
      </c>
    </row>
    <row r="66" spans="1:10" x14ac:dyDescent="0.25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1244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1070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254</v>
      </c>
      <c r="C69" t="s">
        <v>1245</v>
      </c>
      <c r="D69" s="31">
        <v>770</v>
      </c>
      <c r="E69" s="13">
        <v>44796</v>
      </c>
    </row>
    <row r="70" spans="1:10" x14ac:dyDescent="0.25">
      <c r="B70" t="s">
        <v>1209</v>
      </c>
      <c r="C70" t="s">
        <v>1208</v>
      </c>
      <c r="D70" s="31">
        <v>650</v>
      </c>
      <c r="E70" s="50" t="s">
        <v>1210</v>
      </c>
    </row>
    <row r="71" spans="1:10" x14ac:dyDescent="0.25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434</v>
      </c>
      <c r="C72" t="s">
        <v>18</v>
      </c>
    </row>
    <row r="73" spans="1:10" x14ac:dyDescent="0.25">
      <c r="B73" t="s">
        <v>999</v>
      </c>
      <c r="C73" t="s">
        <v>255</v>
      </c>
      <c r="E73">
        <v>2021</v>
      </c>
    </row>
    <row r="74" spans="1:10" x14ac:dyDescent="0.25">
      <c r="B74" t="s">
        <v>1000</v>
      </c>
      <c r="C74" t="s">
        <v>255</v>
      </c>
      <c r="E74">
        <v>2020</v>
      </c>
    </row>
    <row r="75" spans="1:10" x14ac:dyDescent="0.25">
      <c r="B75" t="s">
        <v>1001</v>
      </c>
      <c r="C75" t="s">
        <v>255</v>
      </c>
      <c r="E75">
        <v>2019</v>
      </c>
    </row>
    <row r="76" spans="1:10" x14ac:dyDescent="0.25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([183]Main!$J$5-[183]Main!$J$6)/HKD</f>
        <v>991.71512820512828</v>
      </c>
      <c r="G76" s="6">
        <f>+E76-F76</f>
        <v>23523.572694544873</v>
      </c>
      <c r="H76" s="3" t="s">
        <v>301</v>
      </c>
      <c r="I76" s="6">
        <f>+[183]Main!$J$3</f>
        <v>4263.5283170000002</v>
      </c>
      <c r="J76" s="9">
        <v>45086</v>
      </c>
    </row>
    <row r="77" spans="1:10" x14ac:dyDescent="0.25">
      <c r="A77" s="1"/>
      <c r="B77" s="1" t="s">
        <v>141</v>
      </c>
      <c r="C77" s="1" t="s">
        <v>142</v>
      </c>
      <c r="D77" s="7">
        <v>12.2</v>
      </c>
    </row>
    <row r="78" spans="1:10" x14ac:dyDescent="0.25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ht="13" x14ac:dyDescent="0.3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ht="13" x14ac:dyDescent="0.3">
      <c r="A80" s="1"/>
      <c r="B80" s="34" t="s">
        <v>343</v>
      </c>
      <c r="C80" s="34" t="s">
        <v>344</v>
      </c>
      <c r="D80" s="35">
        <v>14.86</v>
      </c>
      <c r="E80" s="36">
        <v>2880</v>
      </c>
    </row>
    <row r="81" spans="1:5" x14ac:dyDescent="0.25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5">
      <c r="A82" s="1"/>
      <c r="B82" t="s">
        <v>825</v>
      </c>
      <c r="C82" t="s">
        <v>826</v>
      </c>
    </row>
    <row r="83" spans="1:5" x14ac:dyDescent="0.25">
      <c r="A83" s="1"/>
      <c r="B83" t="s">
        <v>724</v>
      </c>
      <c r="C83" t="s">
        <v>725</v>
      </c>
    </row>
    <row r="84" spans="1:5" x14ac:dyDescent="0.25">
      <c r="B84" t="s">
        <v>1143</v>
      </c>
      <c r="C84" t="s">
        <v>67</v>
      </c>
    </row>
    <row r="85" spans="1:5" x14ac:dyDescent="0.25">
      <c r="B85" t="s">
        <v>1148</v>
      </c>
    </row>
    <row r="86" spans="1:5" x14ac:dyDescent="0.25">
      <c r="B86" t="s">
        <v>1151</v>
      </c>
      <c r="C86" t="s">
        <v>39</v>
      </c>
    </row>
    <row r="87" spans="1:5" x14ac:dyDescent="0.25">
      <c r="B87" t="s">
        <v>1152</v>
      </c>
      <c r="C87" t="s">
        <v>39</v>
      </c>
    </row>
    <row r="88" spans="1:5" x14ac:dyDescent="0.25">
      <c r="B88" t="s">
        <v>1153</v>
      </c>
      <c r="C88" t="s">
        <v>15</v>
      </c>
    </row>
    <row r="89" spans="1:5" x14ac:dyDescent="0.25">
      <c r="B89" t="s">
        <v>1166</v>
      </c>
      <c r="C89" t="s">
        <v>39</v>
      </c>
    </row>
    <row r="90" spans="1:5" x14ac:dyDescent="0.25">
      <c r="B90" t="s">
        <v>1262</v>
      </c>
      <c r="C90" t="s">
        <v>103</v>
      </c>
    </row>
    <row r="91" spans="1:5" x14ac:dyDescent="0.25">
      <c r="C91" t="s">
        <v>103</v>
      </c>
    </row>
    <row r="92" spans="1:5" x14ac:dyDescent="0.25">
      <c r="B92" t="s">
        <v>1265</v>
      </c>
      <c r="C92" t="s">
        <v>1266</v>
      </c>
      <c r="E92">
        <v>1970</v>
      </c>
    </row>
    <row r="93" spans="1:5" x14ac:dyDescent="0.25">
      <c r="B93" t="s">
        <v>1267</v>
      </c>
    </row>
    <row r="94" spans="1:5" x14ac:dyDescent="0.25">
      <c r="B94" t="s">
        <v>1268</v>
      </c>
    </row>
    <row r="95" spans="1:5" x14ac:dyDescent="0.25">
      <c r="B95" t="s">
        <v>1269</v>
      </c>
    </row>
    <row r="96" spans="1:5" x14ac:dyDescent="0.25">
      <c r="B96" t="s">
        <v>1270</v>
      </c>
    </row>
    <row r="97" spans="2:5" x14ac:dyDescent="0.25">
      <c r="B97" t="s">
        <v>1273</v>
      </c>
      <c r="C97" t="s">
        <v>263</v>
      </c>
    </row>
    <row r="98" spans="2:5" x14ac:dyDescent="0.25">
      <c r="B98" t="s">
        <v>1276</v>
      </c>
      <c r="C98" t="s">
        <v>29</v>
      </c>
    </row>
    <row r="99" spans="2:5" x14ac:dyDescent="0.25">
      <c r="B99" t="s">
        <v>1277</v>
      </c>
      <c r="C99" t="s">
        <v>1278</v>
      </c>
    </row>
    <row r="100" spans="2:5" x14ac:dyDescent="0.25">
      <c r="B100" t="s">
        <v>1297</v>
      </c>
      <c r="C100" t="s">
        <v>271</v>
      </c>
    </row>
    <row r="101" spans="2:5" x14ac:dyDescent="0.25">
      <c r="B101" t="s">
        <v>1410</v>
      </c>
      <c r="C101" t="s">
        <v>1409</v>
      </c>
      <c r="D101">
        <v>7000</v>
      </c>
      <c r="E101">
        <v>2001</v>
      </c>
    </row>
    <row r="102" spans="2:5" x14ac:dyDescent="0.25">
      <c r="B102" t="s">
        <v>1358</v>
      </c>
      <c r="C102" t="s">
        <v>1204</v>
      </c>
      <c r="D102">
        <v>2900</v>
      </c>
    </row>
    <row r="103" spans="2:5" x14ac:dyDescent="0.25">
      <c r="B103" t="s">
        <v>747</v>
      </c>
      <c r="C103" t="s">
        <v>272</v>
      </c>
      <c r="D103">
        <v>2500</v>
      </c>
    </row>
    <row r="104" spans="2:5" x14ac:dyDescent="0.25">
      <c r="B104" t="s">
        <v>1368</v>
      </c>
      <c r="C104" t="s">
        <v>34</v>
      </c>
      <c r="D104">
        <v>1600</v>
      </c>
      <c r="E104">
        <v>2021</v>
      </c>
    </row>
    <row r="105" spans="2:5" x14ac:dyDescent="0.25">
      <c r="B105" t="s">
        <v>1663</v>
      </c>
      <c r="C105" t="s">
        <v>37</v>
      </c>
      <c r="D105">
        <v>1300</v>
      </c>
      <c r="E105">
        <v>2006</v>
      </c>
    </row>
    <row r="106" spans="2:5" x14ac:dyDescent="0.25">
      <c r="B106" t="s">
        <v>1366</v>
      </c>
      <c r="C106" t="s">
        <v>34</v>
      </c>
      <c r="D106">
        <v>993</v>
      </c>
      <c r="E106">
        <v>2021</v>
      </c>
    </row>
    <row r="107" spans="2:5" x14ac:dyDescent="0.25">
      <c r="B107" t="s">
        <v>1357</v>
      </c>
      <c r="C107" t="s">
        <v>32</v>
      </c>
    </row>
    <row r="108" spans="2:5" x14ac:dyDescent="0.25">
      <c r="B108" t="s">
        <v>1365</v>
      </c>
      <c r="C108" t="s">
        <v>34</v>
      </c>
    </row>
    <row r="109" spans="2:5" x14ac:dyDescent="0.25">
      <c r="B109" t="s">
        <v>1367</v>
      </c>
      <c r="C109" t="s">
        <v>34</v>
      </c>
    </row>
    <row r="110" spans="2:5" x14ac:dyDescent="0.25">
      <c r="B110" t="s">
        <v>1438</v>
      </c>
      <c r="C110" t="s">
        <v>1439</v>
      </c>
    </row>
    <row r="111" spans="2:5" x14ac:dyDescent="0.25">
      <c r="B111" t="s">
        <v>1440</v>
      </c>
      <c r="C111" t="s">
        <v>14</v>
      </c>
    </row>
    <row r="112" spans="2:5" x14ac:dyDescent="0.25">
      <c r="B112" t="s">
        <v>673</v>
      </c>
      <c r="C112" t="s">
        <v>1254</v>
      </c>
      <c r="E112" s="13">
        <v>45520</v>
      </c>
    </row>
    <row r="113" spans="2:3" x14ac:dyDescent="0.25">
      <c r="B113" t="s">
        <v>1653</v>
      </c>
      <c r="C113" t="s">
        <v>1654</v>
      </c>
    </row>
    <row r="114" spans="2:3" x14ac:dyDescent="0.25">
      <c r="B114" t="s">
        <v>1664</v>
      </c>
      <c r="C114" t="s">
        <v>39</v>
      </c>
    </row>
    <row r="115" spans="2:3" x14ac:dyDescent="0.25">
      <c r="B115" t="s">
        <v>1681</v>
      </c>
      <c r="C115" t="s">
        <v>18</v>
      </c>
    </row>
    <row r="116" spans="2:3" x14ac:dyDescent="0.25">
      <c r="B116" t="s">
        <v>1682</v>
      </c>
      <c r="C116" t="s">
        <v>18</v>
      </c>
    </row>
    <row r="117" spans="2:3" x14ac:dyDescent="0.25">
      <c r="B117" t="s">
        <v>1686</v>
      </c>
      <c r="C117" t="s">
        <v>14</v>
      </c>
    </row>
    <row r="118" spans="2:3" x14ac:dyDescent="0.25">
      <c r="B118" t="s">
        <v>1789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1696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1258</v>
      </c>
    </row>
    <row r="5" spans="2:183" x14ac:dyDescent="0.25">
      <c r="B5" t="s">
        <v>825</v>
      </c>
    </row>
    <row r="6" spans="2:183" x14ac:dyDescent="0.25">
      <c r="B6" t="s">
        <v>346</v>
      </c>
    </row>
    <row r="7" spans="2:183" ht="12.75" customHeight="1" x14ac:dyDescent="0.3">
      <c r="B7" t="s">
        <v>1208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1742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1208</v>
      </c>
      <c r="DZ7" s="75"/>
      <c r="EA7" s="75"/>
      <c r="EB7" s="75"/>
      <c r="EC7" s="75"/>
      <c r="ED7" s="85" t="s">
        <v>1208</v>
      </c>
      <c r="EE7" s="75"/>
      <c r="EF7" s="75"/>
      <c r="EG7" s="75"/>
      <c r="EH7" s="75"/>
      <c r="EI7" s="85" t="s">
        <v>1208</v>
      </c>
      <c r="EJ7" s="85" t="s">
        <v>1208</v>
      </c>
      <c r="EK7" s="85" t="s">
        <v>1208</v>
      </c>
      <c r="EL7" s="85" t="s">
        <v>1208</v>
      </c>
      <c r="EM7" s="85" t="s">
        <v>1208</v>
      </c>
      <c r="EN7" s="85" t="s">
        <v>1208</v>
      </c>
      <c r="EO7" s="85" t="s">
        <v>1208</v>
      </c>
      <c r="EP7" s="85" t="s">
        <v>1208</v>
      </c>
      <c r="EQ7" s="85" t="s">
        <v>1208</v>
      </c>
      <c r="ER7" s="85" t="s">
        <v>1208</v>
      </c>
      <c r="ES7" s="75" t="s">
        <v>1738</v>
      </c>
      <c r="ET7" s="118" t="s">
        <v>1740</v>
      </c>
      <c r="EU7" s="118" t="s">
        <v>1740</v>
      </c>
      <c r="EV7" s="118" t="s">
        <v>1740</v>
      </c>
      <c r="EW7" s="118" t="s">
        <v>1740</v>
      </c>
      <c r="EX7" s="129" t="s">
        <v>1208</v>
      </c>
      <c r="EY7" s="129" t="s">
        <v>1208</v>
      </c>
      <c r="EZ7" s="129" t="s">
        <v>1208</v>
      </c>
      <c r="FA7" s="130" t="s">
        <v>1734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1764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1737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1736</v>
      </c>
      <c r="DZ8" s="76"/>
      <c r="EA8" s="76"/>
      <c r="EB8" s="76"/>
      <c r="EC8" s="76"/>
      <c r="ED8" s="86" t="s">
        <v>1736</v>
      </c>
      <c r="EE8" s="76"/>
      <c r="EF8" s="76"/>
      <c r="EG8" s="76"/>
      <c r="EH8" s="76"/>
      <c r="EI8" s="86" t="s">
        <v>1736</v>
      </c>
      <c r="EJ8" s="86" t="s">
        <v>1736</v>
      </c>
      <c r="EK8" s="86" t="s">
        <v>1736</v>
      </c>
      <c r="EL8" s="86" t="s">
        <v>1736</v>
      </c>
      <c r="EM8" s="86" t="s">
        <v>1736</v>
      </c>
      <c r="EN8" s="86" t="s">
        <v>1736</v>
      </c>
      <c r="EO8" s="86" t="s">
        <v>1736</v>
      </c>
      <c r="EP8" s="86" t="s">
        <v>1736</v>
      </c>
      <c r="EQ8" s="86" t="s">
        <v>1736</v>
      </c>
      <c r="ER8" s="86" t="s">
        <v>1736</v>
      </c>
      <c r="ES8" s="76" t="s">
        <v>1739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1259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1259</v>
      </c>
      <c r="DZ9" s="77"/>
      <c r="EA9" s="77"/>
      <c r="EB9" s="77"/>
      <c r="EC9" s="77"/>
      <c r="ED9" s="84" t="s">
        <v>1259</v>
      </c>
      <c r="EE9" s="77"/>
      <c r="EF9" s="77"/>
      <c r="EG9" s="77"/>
      <c r="EH9" s="77"/>
      <c r="EI9" s="78" t="s">
        <v>1744</v>
      </c>
      <c r="EJ9" s="115" t="s">
        <v>1259</v>
      </c>
      <c r="EK9" s="115" t="s">
        <v>1259</v>
      </c>
      <c r="EL9" s="115" t="s">
        <v>1259</v>
      </c>
      <c r="EM9" s="115" t="s">
        <v>1259</v>
      </c>
      <c r="EN9" s="115" t="s">
        <v>1259</v>
      </c>
      <c r="EO9" s="115" t="s">
        <v>1259</v>
      </c>
      <c r="EP9" s="115" t="s">
        <v>1259</v>
      </c>
      <c r="EQ9" s="115" t="s">
        <v>1259</v>
      </c>
      <c r="ER9" s="115" t="s">
        <v>1259</v>
      </c>
      <c r="ES9" s="115" t="s">
        <v>1259</v>
      </c>
      <c r="ET9" s="115" t="s">
        <v>1259</v>
      </c>
      <c r="EU9" s="115" t="s">
        <v>1259</v>
      </c>
      <c r="EV9" s="115" t="s">
        <v>1259</v>
      </c>
      <c r="EW9" s="132" t="s">
        <v>1743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1741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1741</v>
      </c>
      <c r="DZ10" s="75"/>
      <c r="EA10" s="75"/>
      <c r="EB10" s="75"/>
      <c r="EC10" s="75"/>
      <c r="ED10" s="85" t="s">
        <v>1741</v>
      </c>
      <c r="EE10" s="75"/>
      <c r="EF10" s="75"/>
      <c r="EG10" s="75"/>
      <c r="EH10" s="75"/>
      <c r="EI10" s="75" t="s">
        <v>1745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1209</v>
      </c>
      <c r="EQ11" s="88" t="s">
        <v>1209</v>
      </c>
      <c r="ER11" s="88" t="s">
        <v>1209</v>
      </c>
      <c r="ES11" s="88" t="s">
        <v>1209</v>
      </c>
      <c r="ET11" s="88" t="s">
        <v>1209</v>
      </c>
      <c r="EU11" s="88" t="s">
        <v>1209</v>
      </c>
      <c r="EV11" s="88" t="s">
        <v>1209</v>
      </c>
      <c r="EW11" s="88" t="s">
        <v>1775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1735</v>
      </c>
      <c r="EX12" s="117" t="s">
        <v>23</v>
      </c>
      <c r="EY12" s="117" t="s">
        <v>23</v>
      </c>
      <c r="EZ12" s="117" t="s">
        <v>23</v>
      </c>
      <c r="FA12" s="133" t="s">
        <v>1746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1731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1732</v>
      </c>
      <c r="DA13" s="72"/>
      <c r="DB13" s="72"/>
      <c r="DC13" s="72"/>
      <c r="DD13" s="72"/>
      <c r="DE13" s="72" t="s">
        <v>1767</v>
      </c>
      <c r="DF13" s="113" t="s">
        <v>1714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1769</v>
      </c>
      <c r="DU13" s="105" t="s">
        <v>1714</v>
      </c>
      <c r="DV13" s="105"/>
      <c r="DW13" s="105"/>
      <c r="DX13" s="105"/>
      <c r="DY13" s="105" t="s">
        <v>1714</v>
      </c>
      <c r="DZ13" s="105"/>
      <c r="EA13" s="105"/>
      <c r="EB13" s="105"/>
      <c r="EC13" s="105"/>
      <c r="ED13" s="105" t="s">
        <v>1714</v>
      </c>
      <c r="EE13" s="105"/>
      <c r="EF13" s="105"/>
      <c r="EG13" s="105"/>
      <c r="EH13" s="105"/>
      <c r="EI13" s="105" t="s">
        <v>1714</v>
      </c>
      <c r="EJ13" s="105" t="s">
        <v>1714</v>
      </c>
      <c r="EK13" s="105" t="s">
        <v>1714</v>
      </c>
      <c r="EL13" s="105" t="s">
        <v>1714</v>
      </c>
      <c r="EM13" s="105" t="s">
        <v>1714</v>
      </c>
      <c r="EN13" s="105" t="s">
        <v>1714</v>
      </c>
      <c r="EO13" s="105" t="s">
        <v>1714</v>
      </c>
      <c r="EP13" s="105" t="s">
        <v>1714</v>
      </c>
      <c r="EQ13" s="105" t="s">
        <v>1714</v>
      </c>
      <c r="ER13" s="105" t="s">
        <v>1714</v>
      </c>
      <c r="ES13" s="105" t="s">
        <v>1714</v>
      </c>
      <c r="ET13" s="105" t="s">
        <v>1714</v>
      </c>
      <c r="EU13" s="105" t="s">
        <v>1714</v>
      </c>
      <c r="EV13" s="105" t="s">
        <v>1714</v>
      </c>
      <c r="EW13" s="116" t="s">
        <v>1734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1733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1766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1754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1765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1768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1747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1753</v>
      </c>
      <c r="CG16" s="119" t="s">
        <v>1747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1762</v>
      </c>
      <c r="CT16" s="123" t="s">
        <v>1747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1747</v>
      </c>
      <c r="DZ16" s="104" t="s">
        <v>1747</v>
      </c>
      <c r="EA16" s="104" t="s">
        <v>1747</v>
      </c>
      <c r="EB16" s="104" t="s">
        <v>1747</v>
      </c>
      <c r="EC16" s="104" t="s">
        <v>1747</v>
      </c>
      <c r="ED16" s="104" t="s">
        <v>1747</v>
      </c>
      <c r="EE16" s="104" t="s">
        <v>1747</v>
      </c>
      <c r="EF16" s="104" t="s">
        <v>1747</v>
      </c>
      <c r="EG16" s="104" t="s">
        <v>1747</v>
      </c>
      <c r="EH16" s="104" t="s">
        <v>1747</v>
      </c>
      <c r="EI16" s="104" t="s">
        <v>1747</v>
      </c>
      <c r="EJ16" s="104" t="s">
        <v>1747</v>
      </c>
      <c r="EK16" s="104" t="s">
        <v>1747</v>
      </c>
      <c r="EL16" s="104" t="s">
        <v>1747</v>
      </c>
      <c r="EM16" s="104" t="s">
        <v>1747</v>
      </c>
      <c r="EN16" s="104" t="s">
        <v>1747</v>
      </c>
      <c r="EO16" s="104" t="s">
        <v>1747</v>
      </c>
      <c r="EP16" s="104" t="s">
        <v>1747</v>
      </c>
      <c r="EQ16" s="127" t="s">
        <v>1747</v>
      </c>
      <c r="ER16" s="128" t="s">
        <v>1763</v>
      </c>
      <c r="ES16" s="118" t="s">
        <v>1747</v>
      </c>
      <c r="ET16" s="119" t="s">
        <v>1747</v>
      </c>
      <c r="EU16" s="119" t="s">
        <v>1747</v>
      </c>
      <c r="EV16" s="119" t="s">
        <v>1747</v>
      </c>
      <c r="EW16" s="119" t="s">
        <v>1747</v>
      </c>
      <c r="EX16" s="119" t="s">
        <v>1747</v>
      </c>
      <c r="EY16" s="119" t="s">
        <v>1747</v>
      </c>
      <c r="EZ16" s="119" t="s">
        <v>1747</v>
      </c>
      <c r="FA16" s="119" t="s">
        <v>1747</v>
      </c>
      <c r="FB16" s="119" t="s">
        <v>1747</v>
      </c>
      <c r="FC16" s="119" t="s">
        <v>1747</v>
      </c>
      <c r="FD16" s="119" t="s">
        <v>1747</v>
      </c>
      <c r="FE16" s="119" t="s">
        <v>1747</v>
      </c>
      <c r="FF16" s="119" t="s">
        <v>1747</v>
      </c>
      <c r="FG16" s="124" t="s">
        <v>1734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1748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1750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1751</v>
      </c>
      <c r="CF17" s="80" t="s">
        <v>1752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1761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1760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1755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1760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1749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1757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1759</v>
      </c>
      <c r="CF20" s="122" t="s">
        <v>1749</v>
      </c>
      <c r="CG20" s="121" t="s">
        <v>1749</v>
      </c>
      <c r="CH20" s="121" t="s">
        <v>1749</v>
      </c>
      <c r="CI20" s="121" t="s">
        <v>1749</v>
      </c>
      <c r="CJ20" s="121" t="s">
        <v>1749</v>
      </c>
      <c r="CK20" s="121" t="s">
        <v>1749</v>
      </c>
      <c r="CL20" s="121" t="s">
        <v>1749</v>
      </c>
      <c r="CM20" s="121" t="s">
        <v>1749</v>
      </c>
      <c r="CN20" s="121" t="s">
        <v>1749</v>
      </c>
      <c r="CO20" s="121" t="s">
        <v>1749</v>
      </c>
      <c r="CP20" s="121" t="s">
        <v>1749</v>
      </c>
      <c r="CQ20" s="121" t="s">
        <v>1749</v>
      </c>
      <c r="CR20" s="121" t="s">
        <v>1749</v>
      </c>
      <c r="CS20" s="121" t="s">
        <v>1749</v>
      </c>
      <c r="CT20" s="121" t="s">
        <v>1749</v>
      </c>
      <c r="CU20" s="121" t="s">
        <v>1749</v>
      </c>
      <c r="CV20" s="121" t="s">
        <v>1749</v>
      </c>
      <c r="CW20" s="121" t="s">
        <v>1749</v>
      </c>
      <c r="CX20" s="121" t="s">
        <v>1749</v>
      </c>
      <c r="CY20" s="121" t="s">
        <v>1749</v>
      </c>
      <c r="CZ20" s="121" t="s">
        <v>1749</v>
      </c>
      <c r="DA20" s="121" t="s">
        <v>1749</v>
      </c>
      <c r="DB20" s="121" t="s">
        <v>1749</v>
      </c>
      <c r="DC20" s="121" t="s">
        <v>1749</v>
      </c>
      <c r="DD20" s="121" t="s">
        <v>1749</v>
      </c>
      <c r="DE20" s="121" t="s">
        <v>1749</v>
      </c>
      <c r="DF20" s="121" t="s">
        <v>1749</v>
      </c>
      <c r="DG20" s="121" t="s">
        <v>1749</v>
      </c>
      <c r="DH20" s="121" t="s">
        <v>1749</v>
      </c>
      <c r="DI20" s="121" t="s">
        <v>1749</v>
      </c>
      <c r="DJ20" s="121" t="s">
        <v>1749</v>
      </c>
      <c r="DK20" s="121" t="s">
        <v>1749</v>
      </c>
      <c r="DL20" s="121" t="s">
        <v>1749</v>
      </c>
      <c r="DM20" s="121" t="s">
        <v>1749</v>
      </c>
      <c r="DN20" s="121" t="s">
        <v>1749</v>
      </c>
      <c r="DO20" s="121" t="s">
        <v>1749</v>
      </c>
      <c r="DP20" s="121" t="s">
        <v>1749</v>
      </c>
      <c r="DQ20" s="121" t="s">
        <v>1749</v>
      </c>
      <c r="DR20" s="121" t="s">
        <v>1749</v>
      </c>
      <c r="DS20" s="121" t="s">
        <v>1749</v>
      </c>
      <c r="DT20" s="121" t="s">
        <v>1749</v>
      </c>
      <c r="DU20" s="121" t="s">
        <v>1749</v>
      </c>
      <c r="DV20" s="121" t="s">
        <v>1749</v>
      </c>
      <c r="DW20" s="121" t="s">
        <v>1749</v>
      </c>
      <c r="DX20" s="121" t="s">
        <v>1749</v>
      </c>
      <c r="DY20" s="121" t="s">
        <v>1749</v>
      </c>
      <c r="DZ20" s="121" t="s">
        <v>1749</v>
      </c>
      <c r="EA20" s="121" t="s">
        <v>1749</v>
      </c>
      <c r="EB20" s="121" t="s">
        <v>1749</v>
      </c>
      <c r="EC20" s="121" t="s">
        <v>1749</v>
      </c>
      <c r="ED20" s="121" t="s">
        <v>1749</v>
      </c>
      <c r="EE20" s="121" t="s">
        <v>1749</v>
      </c>
      <c r="EF20" s="121" t="s">
        <v>1749</v>
      </c>
      <c r="EG20" s="121" t="s">
        <v>1749</v>
      </c>
      <c r="EH20" s="121" t="s">
        <v>1749</v>
      </c>
      <c r="EI20" s="121" t="s">
        <v>1749</v>
      </c>
      <c r="EJ20" s="121" t="s">
        <v>1749</v>
      </c>
      <c r="EK20" s="121" t="s">
        <v>1749</v>
      </c>
      <c r="EL20" s="121" t="s">
        <v>1749</v>
      </c>
      <c r="EM20" s="121" t="s">
        <v>1749</v>
      </c>
      <c r="EN20" s="121" t="s">
        <v>1749</v>
      </c>
      <c r="EO20" s="121" t="s">
        <v>1749</v>
      </c>
      <c r="EP20" s="121" t="s">
        <v>1749</v>
      </c>
      <c r="EQ20" s="121" t="s">
        <v>1749</v>
      </c>
      <c r="ER20" s="131" t="s">
        <v>1760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1756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1758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1772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1776</v>
      </c>
      <c r="FC22" s="91" t="s">
        <v>1201</v>
      </c>
      <c r="FD22" s="91" t="s">
        <v>1201</v>
      </c>
      <c r="FE22" s="91" t="s">
        <v>1201</v>
      </c>
      <c r="FF22" s="91" t="s">
        <v>1201</v>
      </c>
      <c r="FG22" s="91" t="s">
        <v>1201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1774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400</v>
      </c>
      <c r="FD23" s="92" t="s">
        <v>400</v>
      </c>
      <c r="FE23" s="92" t="s">
        <v>400</v>
      </c>
      <c r="FF23" s="92" t="s">
        <v>400</v>
      </c>
      <c r="FG23" s="92" t="s">
        <v>400</v>
      </c>
      <c r="FH23" s="92" t="s">
        <v>400</v>
      </c>
      <c r="FI23" s="92" t="s">
        <v>400</v>
      </c>
      <c r="FJ23" s="92" t="s">
        <v>400</v>
      </c>
      <c r="FK23" s="92" t="s">
        <v>400</v>
      </c>
      <c r="FL23" s="92" t="s">
        <v>400</v>
      </c>
      <c r="FM23" s="92" t="s">
        <v>400</v>
      </c>
      <c r="FN23" s="92" t="s">
        <v>1734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1771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402</v>
      </c>
      <c r="EW24" s="94" t="s">
        <v>402</v>
      </c>
      <c r="EX24" s="94" t="s">
        <v>402</v>
      </c>
      <c r="EY24" s="94" t="s">
        <v>402</v>
      </c>
      <c r="EZ24" s="94" t="s">
        <v>402</v>
      </c>
      <c r="FA24" s="94" t="s">
        <v>402</v>
      </c>
      <c r="FB24" s="94" t="s">
        <v>402</v>
      </c>
      <c r="FC24" s="94" t="s">
        <v>402</v>
      </c>
      <c r="FD24" s="94" t="s">
        <v>402</v>
      </c>
      <c r="FE24" s="94" t="s">
        <v>402</v>
      </c>
      <c r="FF24" s="94" t="s">
        <v>402</v>
      </c>
      <c r="FG24" s="94" t="s">
        <v>402</v>
      </c>
      <c r="FH24" s="94" t="s">
        <v>402</v>
      </c>
      <c r="FI24" s="94" t="s">
        <v>402</v>
      </c>
      <c r="FJ24" s="94" t="s">
        <v>402</v>
      </c>
      <c r="FK24" s="94" t="s">
        <v>402</v>
      </c>
      <c r="FL24" s="94" t="s">
        <v>402</v>
      </c>
      <c r="FM24" s="94" t="s">
        <v>402</v>
      </c>
      <c r="FN24" s="94" t="s">
        <v>402</v>
      </c>
      <c r="FO24" s="94" t="s">
        <v>402</v>
      </c>
      <c r="FP24" s="94" t="s">
        <v>402</v>
      </c>
      <c r="FQ24" s="94" t="s">
        <v>402</v>
      </c>
      <c r="FR24" s="94" t="s">
        <v>402</v>
      </c>
      <c r="FS24" s="94" t="s">
        <v>402</v>
      </c>
      <c r="FT24" s="94" t="s">
        <v>1734</v>
      </c>
      <c r="FU24" s="125"/>
      <c r="FV24" s="125"/>
      <c r="FW24" s="125"/>
    </row>
    <row r="25" spans="2:179" ht="12.75" customHeight="1" x14ac:dyDescent="0.3">
      <c r="B25" t="s">
        <v>1778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87</v>
      </c>
      <c r="FM25" s="91" t="s">
        <v>87</v>
      </c>
      <c r="FN25" s="91" t="s">
        <v>87</v>
      </c>
      <c r="FO25" s="91" t="s">
        <v>87</v>
      </c>
      <c r="FP25" s="91" t="s">
        <v>87</v>
      </c>
      <c r="FQ25" s="91" t="s">
        <v>87</v>
      </c>
      <c r="FR25" s="91" t="s">
        <v>87</v>
      </c>
      <c r="FS25" s="91" t="s">
        <v>87</v>
      </c>
      <c r="FT25" s="91" t="s">
        <v>1734</v>
      </c>
      <c r="FU25" s="125"/>
      <c r="FV25" s="125"/>
      <c r="FW25" s="125"/>
    </row>
    <row r="26" spans="2:179" ht="12.75" customHeight="1" x14ac:dyDescent="0.3">
      <c r="B26" t="s">
        <v>1773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1770</v>
      </c>
      <c r="EW26" s="84" t="s">
        <v>1770</v>
      </c>
      <c r="EX26" s="84" t="s">
        <v>1770</v>
      </c>
      <c r="EY26" s="84" t="s">
        <v>1770</v>
      </c>
      <c r="EZ26" s="84" t="s">
        <v>1770</v>
      </c>
      <c r="FA26" s="84" t="s">
        <v>1770</v>
      </c>
      <c r="FB26" s="84" t="s">
        <v>1770</v>
      </c>
      <c r="FC26" s="84" t="s">
        <v>1770</v>
      </c>
      <c r="FD26" s="84" t="s">
        <v>1770</v>
      </c>
      <c r="FE26" s="84" t="s">
        <v>1770</v>
      </c>
      <c r="FF26" s="84" t="s">
        <v>1770</v>
      </c>
      <c r="FG26" s="84" t="s">
        <v>1770</v>
      </c>
      <c r="FH26" s="84" t="s">
        <v>1770</v>
      </c>
      <c r="FI26" s="84" t="s">
        <v>1770</v>
      </c>
      <c r="FJ26" s="84" t="s">
        <v>1770</v>
      </c>
      <c r="FK26" s="84" t="s">
        <v>1770</v>
      </c>
      <c r="FL26" s="84" t="s">
        <v>1770</v>
      </c>
      <c r="FM26" s="84" t="s">
        <v>1770</v>
      </c>
      <c r="FN26" s="84" t="s">
        <v>1770</v>
      </c>
      <c r="FO26" s="84" t="s">
        <v>1770</v>
      </c>
      <c r="FP26" s="84" t="s">
        <v>1770</v>
      </c>
      <c r="FQ26" s="84" t="s">
        <v>1770</v>
      </c>
      <c r="FR26" s="84" t="s">
        <v>1770</v>
      </c>
      <c r="FS26" s="84" t="s">
        <v>1770</v>
      </c>
      <c r="FT26" s="84" t="s">
        <v>1770</v>
      </c>
      <c r="FU26" s="84" t="s">
        <v>1734</v>
      </c>
      <c r="FV26" s="125"/>
      <c r="FW26" s="125"/>
    </row>
    <row r="27" spans="2:179" ht="12.75" customHeight="1" x14ac:dyDescent="0.25">
      <c r="B27" t="s">
        <v>1225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1779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1247</v>
      </c>
    </row>
    <row r="30" spans="2:179" ht="12.75" customHeight="1" x14ac:dyDescent="0.25">
      <c r="B30" t="s">
        <v>1248</v>
      </c>
    </row>
    <row r="31" spans="2:179" ht="12.75" customHeight="1" x14ac:dyDescent="0.25">
      <c r="B31" t="s">
        <v>1697</v>
      </c>
    </row>
    <row r="32" spans="2:179" ht="12.75" customHeight="1" x14ac:dyDescent="0.25">
      <c r="B32" t="s">
        <v>1700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1211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1213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1236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1698</v>
      </c>
      <c r="C36" s="64"/>
      <c r="D36" s="65" t="s">
        <v>1704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1702</v>
      </c>
      <c r="DU36" s="105" t="s">
        <v>1263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1699</v>
      </c>
      <c r="C37" s="66" t="s">
        <v>1703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1705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1701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1777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1221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1706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1711</v>
      </c>
      <c r="EN44" s="110" t="s">
        <v>1713</v>
      </c>
      <c r="EO44" s="107"/>
      <c r="EP44" s="107"/>
      <c r="EQ44" s="110" t="s">
        <v>1713</v>
      </c>
      <c r="ER44" s="107"/>
      <c r="ES44" s="107"/>
      <c r="ET44" s="107"/>
      <c r="EU44" s="110" t="s">
        <v>1713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1707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1709</v>
      </c>
      <c r="BA45" s="68" t="s">
        <v>1708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1710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1712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1729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1730</v>
      </c>
      <c r="EY46" s="111"/>
      <c r="EZ46" s="111" t="s">
        <v>1730</v>
      </c>
      <c r="FA46" s="111"/>
      <c r="FB46" s="111" t="s">
        <v>1730</v>
      </c>
      <c r="FC46" s="111"/>
    </row>
    <row r="47" spans="2:179" x14ac:dyDescent="0.25">
      <c r="B47" t="s">
        <v>1721</v>
      </c>
      <c r="C47" s="66" t="s">
        <v>1722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1724</v>
      </c>
      <c r="DU47" s="108" t="s">
        <v>1719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1726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1723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1725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1715</v>
      </c>
    </row>
    <row r="50" spans="2:77" x14ac:dyDescent="0.25">
      <c r="B50" t="s">
        <v>1716</v>
      </c>
    </row>
    <row r="51" spans="2:77" x14ac:dyDescent="0.25">
      <c r="B51" t="s">
        <v>1717</v>
      </c>
    </row>
    <row r="52" spans="2:77" x14ac:dyDescent="0.25">
      <c r="B52" t="s">
        <v>1718</v>
      </c>
    </row>
    <row r="53" spans="2:77" x14ac:dyDescent="0.25">
      <c r="B53" t="s">
        <v>1720</v>
      </c>
    </row>
    <row r="54" spans="2:77" x14ac:dyDescent="0.25">
      <c r="B54" t="s">
        <v>1727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1728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1256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1253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1260</v>
      </c>
    </row>
    <row r="62" spans="2:77" x14ac:dyDescent="0.25">
      <c r="B62" t="s">
        <v>1239</v>
      </c>
    </row>
    <row r="63" spans="2:77" x14ac:dyDescent="0.25">
      <c r="B63" t="s">
        <v>1238</v>
      </c>
    </row>
    <row r="64" spans="2:77" x14ac:dyDescent="0.25">
      <c r="B64" t="s">
        <v>255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263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286</v>
      </c>
    </row>
    <row r="2" spans="1:2" x14ac:dyDescent="0.25">
      <c r="B2" t="s">
        <v>1262</v>
      </c>
    </row>
    <row r="3" spans="1:2" x14ac:dyDescent="0.25">
      <c r="B3" t="s">
        <v>993</v>
      </c>
    </row>
    <row r="4" spans="1:2" x14ac:dyDescent="0.25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2025-02-14T03:08:26Z</dcterms:modified>
</cp:coreProperties>
</file>