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25C0AAE0-9758-4B35-827D-267511C1A8E4}" xr6:coauthVersionLast="47" xr6:coauthVersionMax="47" xr10:uidLastSave="{00000000-0000-0000-0000-000000000000}"/>
  <bookViews>
    <workbookView xWindow="-47265" yWindow="1740" windowWidth="33240" windowHeight="1887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40" i="1" l="1"/>
  <c r="AL339" i="1"/>
  <c r="AL338" i="1"/>
  <c r="AL336" i="1"/>
  <c r="AL335" i="1"/>
  <c r="AL331" i="1"/>
  <c r="AL330" i="1"/>
  <c r="AL328" i="1"/>
  <c r="AL327" i="1"/>
  <c r="AL325" i="1"/>
  <c r="AL324" i="1"/>
  <c r="AL320" i="1"/>
  <c r="AL319" i="1"/>
  <c r="AL317" i="1"/>
  <c r="AL313" i="1"/>
  <c r="AL312" i="1"/>
  <c r="AL291" i="1"/>
  <c r="AL310" i="1"/>
  <c r="AL307" i="1"/>
  <c r="AL306" i="1"/>
  <c r="AL304" i="1"/>
  <c r="AL302" i="1"/>
  <c r="AL300" i="1"/>
  <c r="AL299" i="1"/>
  <c r="AL297" i="1"/>
  <c r="AL296" i="1"/>
  <c r="AL295" i="1"/>
  <c r="AL286" i="1"/>
  <c r="AL292" i="1"/>
  <c r="AL285" i="1"/>
  <c r="AL281" i="1"/>
  <c r="AL280" i="1"/>
  <c r="AL278" i="1"/>
  <c r="AL271" i="1"/>
  <c r="AL264" i="1"/>
  <c r="AL258" i="1"/>
  <c r="AL256" i="1"/>
  <c r="AL254" i="1"/>
  <c r="AL253" i="1"/>
  <c r="AL251" i="1"/>
  <c r="AL242" i="1"/>
  <c r="AL236" i="1"/>
  <c r="AL235" i="1"/>
  <c r="AL229" i="1"/>
  <c r="AL227" i="1"/>
  <c r="AL219" i="1"/>
  <c r="AL215" i="1"/>
  <c r="AL212" i="1"/>
  <c r="AL190" i="1"/>
  <c r="AL180" i="1"/>
  <c r="AL166" i="1"/>
  <c r="AL142" i="1"/>
  <c r="AL138" i="1"/>
  <c r="AL117" i="1"/>
  <c r="AL100" i="1"/>
  <c r="AL96" i="1"/>
  <c r="AL88" i="1"/>
  <c r="AL65" i="1"/>
  <c r="AL68" i="1"/>
  <c r="AL56" i="1"/>
  <c r="AL51" i="1"/>
  <c r="AL505" i="1"/>
  <c r="AL504" i="1"/>
  <c r="AL120" i="1"/>
  <c r="AL520" i="1"/>
  <c r="AL337" i="1"/>
  <c r="AL613" i="1"/>
  <c r="AL453" i="1"/>
  <c r="AL608" i="1"/>
  <c r="AL369" i="1"/>
  <c r="AL333" i="1"/>
  <c r="AL401" i="1"/>
  <c r="AL263" i="1"/>
  <c r="AL611" i="1"/>
  <c r="AL609" i="1"/>
  <c r="AL607" i="1"/>
  <c r="AL366" i="1"/>
  <c r="AL612" i="1"/>
  <c r="AL987" i="1"/>
  <c r="AL438" i="1"/>
  <c r="AL195" i="1"/>
  <c r="AL610" i="1"/>
  <c r="AL364" i="1"/>
  <c r="AL602" i="1"/>
  <c r="AL237" i="1"/>
  <c r="AL245" i="1"/>
  <c r="AL204" i="1"/>
  <c r="AL202" i="1"/>
  <c r="AL581" i="1"/>
  <c r="AL583" i="1"/>
  <c r="AL379" i="1"/>
  <c r="AL441" i="1"/>
  <c r="AL402" i="1"/>
  <c r="AL586" i="1"/>
  <c r="AL439" i="1"/>
  <c r="AL587" i="1"/>
  <c r="AL386" i="1"/>
  <c r="AL591" i="1"/>
  <c r="AL588" i="1"/>
  <c r="AL456" i="1"/>
  <c r="AL1145" i="1"/>
  <c r="AL589" i="1"/>
  <c r="AL590" i="1"/>
  <c r="AL592" i="1"/>
  <c r="AL593" i="1"/>
  <c r="AL595" i="1"/>
  <c r="AL596" i="1"/>
  <c r="AL597" i="1"/>
  <c r="AL601" i="1"/>
  <c r="AL598" i="1"/>
  <c r="AL599" i="1"/>
  <c r="AL600" i="1"/>
  <c r="AL603" i="1"/>
  <c r="AL604" i="1"/>
  <c r="AL605" i="1"/>
  <c r="AL606" i="1"/>
  <c r="AL527" i="1"/>
  <c r="AL477" i="1"/>
  <c r="AL454" i="1"/>
  <c r="AL257" i="1"/>
  <c r="AL287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L171" i="1"/>
  <c r="AL555" i="1"/>
  <c r="AL240" i="1"/>
  <c r="AL200" i="1"/>
  <c r="AL323" i="1"/>
  <c r="AL413" i="1"/>
  <c r="AL314" i="1"/>
  <c r="AL357" i="1"/>
  <c r="AL529" i="1"/>
  <c r="AL143" i="1"/>
  <c r="AL259" i="1"/>
  <c r="AL417" i="1"/>
  <c r="AL131" i="1"/>
  <c r="AL139" i="1"/>
  <c r="AL114" i="1"/>
  <c r="AL161" i="1"/>
  <c r="AL109" i="1"/>
  <c r="AL169" i="1"/>
  <c r="AL111" i="1"/>
  <c r="AL128" i="1"/>
  <c r="AL250" i="1"/>
  <c r="AL221" i="1"/>
  <c r="AL298" i="1"/>
  <c r="AL551" i="1"/>
  <c r="AL261" i="1"/>
  <c r="AL309" i="1"/>
  <c r="AL579" i="1"/>
  <c r="AL214" i="1"/>
  <c r="AL217" i="1"/>
  <c r="AL358" i="1"/>
  <c r="AL205" i="1"/>
  <c r="AL274" i="1"/>
  <c r="AL544" i="1"/>
  <c r="AL459" i="1"/>
  <c r="AL187" i="1"/>
  <c r="AL322" i="1"/>
  <c r="AL378" i="1"/>
  <c r="AL196" i="1"/>
  <c r="AL525" i="1"/>
  <c r="AL524" i="1"/>
  <c r="AL577" i="1"/>
  <c r="N826" i="1"/>
  <c r="N902" i="1"/>
  <c r="N951" i="1"/>
  <c r="N851" i="1"/>
  <c r="N506" i="1"/>
  <c r="N710" i="1"/>
  <c r="N896" i="1"/>
  <c r="N816" i="1"/>
  <c r="AL213" i="1"/>
  <c r="AL451" i="1"/>
  <c r="AL226" i="1"/>
  <c r="AL192" i="1"/>
  <c r="AL247" i="1"/>
  <c r="AL266" i="1"/>
  <c r="AL576" i="1"/>
  <c r="AL232" i="1"/>
  <c r="AL316" i="1"/>
  <c r="AL355" i="1"/>
  <c r="AL288" i="1"/>
  <c r="AL201" i="1"/>
  <c r="AL6" i="1"/>
  <c r="AL207" i="1"/>
  <c r="AL113" i="1"/>
  <c r="AL542" i="1"/>
  <c r="AL243" i="1"/>
  <c r="AL381" i="1"/>
  <c r="AL260" i="1"/>
  <c r="AL267" i="1"/>
  <c r="AL289" i="1"/>
  <c r="AL225" i="1"/>
  <c r="AL268" i="1"/>
  <c r="AL239" i="1"/>
  <c r="AL163" i="1"/>
  <c r="AL431" i="1"/>
  <c r="AL230" i="1"/>
  <c r="AL301" i="1"/>
  <c r="AL276" i="1"/>
  <c r="AL211" i="1"/>
  <c r="AL293" i="1"/>
  <c r="AL343" i="1"/>
  <c r="AL574" i="1"/>
  <c r="AL209" i="1"/>
  <c r="AL356" i="1"/>
  <c r="AL279" i="1"/>
  <c r="AL222" i="1"/>
  <c r="AL450" i="1"/>
  <c r="AL231" i="1"/>
  <c r="AL168" i="1"/>
  <c r="AL216" i="1"/>
  <c r="AL189" i="1"/>
  <c r="AL575" i="1"/>
  <c r="AL582" i="1"/>
  <c r="AL132" i="1"/>
  <c r="AL170" i="1"/>
  <c r="AL308" i="1"/>
  <c r="AL560" i="1"/>
  <c r="AL353" i="1"/>
  <c r="AL464" i="1"/>
  <c r="AL522" i="1"/>
  <c r="AL184" i="1"/>
  <c r="AR503" i="1" s="1"/>
  <c r="AL57" i="1"/>
  <c r="AR18" i="1" s="1"/>
  <c r="AL519" i="1"/>
  <c r="AL81" i="1"/>
  <c r="AL515" i="1"/>
  <c r="AL49" i="1"/>
  <c r="AL95" i="1"/>
  <c r="AL521" i="1"/>
  <c r="AL377" i="1"/>
  <c r="AL514" i="1"/>
  <c r="AL573" i="1"/>
  <c r="AL365" i="1"/>
  <c r="AL517" i="1"/>
  <c r="AL360" i="1"/>
  <c r="AL516" i="1"/>
  <c r="AL125" i="1"/>
  <c r="AL197" i="1"/>
  <c r="AL148" i="1"/>
  <c r="AL185" i="1"/>
  <c r="AL523" i="1"/>
  <c r="AL115" i="1"/>
  <c r="AL29" i="1"/>
  <c r="AL61" i="1"/>
  <c r="AL303" i="1"/>
  <c r="AL344" i="1"/>
  <c r="AR22" i="1" s="1"/>
  <c r="AL513" i="1"/>
  <c r="AL512" i="1"/>
  <c r="AL511" i="1"/>
  <c r="AL510" i="1"/>
  <c r="AL55" i="1"/>
  <c r="AL30" i="1"/>
  <c r="AL34" i="1"/>
  <c r="AL503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L461" i="1"/>
  <c r="AL290" i="1"/>
  <c r="AL191" i="1"/>
  <c r="AL547" i="1"/>
  <c r="AL329" i="1"/>
  <c r="AL157" i="1"/>
  <c r="AL585" i="1"/>
  <c r="AL275" i="1"/>
  <c r="AL315" i="1"/>
  <c r="AL178" i="1"/>
  <c r="AL181" i="1"/>
  <c r="AL182" i="1"/>
  <c r="AL188" i="1"/>
  <c r="AL179" i="1"/>
  <c r="AL126" i="1"/>
  <c r="AL426" i="1"/>
  <c r="AL578" i="1"/>
  <c r="AL158" i="1"/>
  <c r="AL466" i="1"/>
  <c r="AL584" i="1"/>
  <c r="AL255" i="1"/>
  <c r="AL160" i="1"/>
  <c r="AL151" i="1"/>
  <c r="AL334" i="1"/>
  <c r="AL305" i="1"/>
  <c r="AL269" i="1"/>
  <c r="AL165" i="1"/>
  <c r="AL284" i="1"/>
  <c r="AL262" i="1"/>
  <c r="AL311" i="1"/>
  <c r="AL282" i="1"/>
  <c r="AL193" i="1"/>
  <c r="AL277" i="1"/>
  <c r="AL224" i="1"/>
  <c r="AL218" i="1"/>
  <c r="AL332" i="1"/>
  <c r="AL234" i="1"/>
  <c r="AL249" i="1"/>
  <c r="AL380" i="1"/>
  <c r="AL283" i="1"/>
  <c r="AL294" i="1"/>
  <c r="AL538" i="1"/>
  <c r="AL176" i="1"/>
  <c r="AL210" i="1"/>
  <c r="AL199" i="1"/>
  <c r="AL150" i="1"/>
  <c r="AL548" i="1"/>
  <c r="AL177" i="1"/>
  <c r="AL411" i="1"/>
  <c r="AL273" i="1"/>
  <c r="AL415" i="1"/>
  <c r="AL154" i="1"/>
  <c r="AL594" i="1"/>
  <c r="AL147" i="1"/>
  <c r="AL321" i="1"/>
  <c r="AL541" i="1"/>
  <c r="AL531" i="1"/>
  <c r="AL145" i="1"/>
  <c r="AL248" i="1"/>
  <c r="AL155" i="1"/>
  <c r="AL159" i="1"/>
  <c r="AL106" i="1"/>
  <c r="AL241" i="1"/>
  <c r="AL149" i="1"/>
  <c r="AL228" i="1"/>
  <c r="AL174" i="1"/>
  <c r="AL272" i="1"/>
  <c r="AL326" i="1"/>
  <c r="AL526" i="1"/>
  <c r="AL244" i="1"/>
  <c r="AH129" i="1"/>
  <c r="AL129" i="1" s="1"/>
  <c r="AL580" i="1"/>
  <c r="AL370" i="1"/>
  <c r="AL470" i="1"/>
  <c r="AL153" i="1"/>
  <c r="AL186" i="1"/>
  <c r="AL238" i="1"/>
  <c r="AL198" i="1"/>
  <c r="AL175" i="1"/>
  <c r="AL146" i="1"/>
  <c r="AL141" i="1"/>
  <c r="AL223" i="1"/>
  <c r="AL167" i="1"/>
  <c r="AL110" i="1"/>
  <c r="AL156" i="1"/>
  <c r="AL144" i="1"/>
  <c r="AL133" i="1"/>
  <c r="AL183" i="1"/>
  <c r="AL130" i="1"/>
  <c r="AL21" i="1"/>
  <c r="AL140" i="1"/>
  <c r="AL123" i="1"/>
  <c r="AL246" i="1"/>
  <c r="AL252" i="1"/>
  <c r="AL539" i="1"/>
  <c r="AL270" i="1"/>
  <c r="AL152" i="1"/>
  <c r="AL203" i="1"/>
  <c r="AL265" i="1"/>
  <c r="AL172" i="1"/>
  <c r="AL71" i="1"/>
  <c r="AL121" i="1"/>
  <c r="AL194" i="1"/>
  <c r="AL349" i="1"/>
  <c r="AL118" i="1"/>
  <c r="AL98" i="1"/>
  <c r="AL90" i="1"/>
  <c r="AL108" i="1"/>
  <c r="AL518" i="1"/>
  <c r="AL62" i="1"/>
  <c r="AL164" i="1"/>
  <c r="AL112" i="1"/>
  <c r="AL94" i="1"/>
  <c r="AL173" i="1"/>
  <c r="AL122" i="1"/>
  <c r="AL19" i="1"/>
  <c r="AL119" i="1"/>
  <c r="AL318" i="1"/>
  <c r="AL220" i="1"/>
  <c r="AL136" i="1"/>
  <c r="AL127" i="1"/>
  <c r="AL124" i="1"/>
  <c r="AL233" i="1"/>
  <c r="AL206" i="1"/>
  <c r="AL208" i="1"/>
  <c r="AL89" i="1"/>
  <c r="AL92" i="1"/>
  <c r="AL80" i="1"/>
  <c r="AL105" i="1"/>
  <c r="AL134" i="1"/>
  <c r="AL97" i="1"/>
  <c r="AL162" i="1"/>
  <c r="AL70" i="1"/>
  <c r="AL101" i="1"/>
  <c r="AL116" i="1"/>
  <c r="AL77" i="1"/>
  <c r="AL91" i="1"/>
  <c r="AL137" i="1"/>
  <c r="AL99" i="1"/>
  <c r="AL135" i="1"/>
  <c r="AL73" i="1"/>
  <c r="AL74" i="1"/>
  <c r="AL20" i="1"/>
  <c r="AL76" i="1"/>
  <c r="AL84" i="1"/>
  <c r="AL79" i="1"/>
  <c r="AL85" i="1"/>
  <c r="AL7" i="1"/>
  <c r="AL86" i="1"/>
  <c r="AL69" i="1"/>
  <c r="AL104" i="1"/>
  <c r="AL87" i="1"/>
  <c r="AL83" i="1"/>
  <c r="AL82" i="1"/>
  <c r="AL103" i="1"/>
  <c r="AL93" i="1"/>
  <c r="AL64" i="1"/>
  <c r="AL78" i="1"/>
  <c r="AL43" i="1"/>
  <c r="AL42" i="1"/>
  <c r="AL502" i="1"/>
  <c r="AL32" i="1"/>
  <c r="AL107" i="1"/>
  <c r="AL67" i="1"/>
  <c r="AL50" i="1"/>
  <c r="AL60" i="1"/>
  <c r="AL66" i="1"/>
  <c r="AL54" i="1"/>
  <c r="AL102" i="1"/>
  <c r="AL46" i="1"/>
  <c r="AL72" i="1"/>
  <c r="AL38" i="1"/>
  <c r="AL45" i="1"/>
  <c r="AL59" i="1"/>
  <c r="AL41" i="1"/>
  <c r="AL53" i="1"/>
  <c r="AL58" i="1"/>
  <c r="AL26" i="1"/>
  <c r="AL31" i="1"/>
  <c r="AL44" i="1"/>
  <c r="AL3" i="1"/>
  <c r="AL10" i="1"/>
  <c r="AL16" i="1"/>
  <c r="AL15" i="1"/>
  <c r="AL18" i="1"/>
  <c r="AL12" i="1"/>
  <c r="AR6" i="1" s="1"/>
  <c r="AL22" i="1"/>
  <c r="AL23" i="1"/>
  <c r="AL17" i="1"/>
  <c r="AR12" i="1" s="1"/>
  <c r="AL63" i="1"/>
  <c r="AR15" i="1" s="1"/>
  <c r="AL27" i="1"/>
  <c r="AL25" i="1"/>
  <c r="AL24" i="1"/>
  <c r="AL48" i="1"/>
  <c r="AL39" i="1"/>
  <c r="AL47" i="1"/>
  <c r="AL52" i="1"/>
  <c r="AL36" i="1"/>
  <c r="AL35" i="1"/>
  <c r="AL33" i="1"/>
  <c r="AL75" i="1"/>
  <c r="AL40" i="1"/>
  <c r="A10" i="1"/>
  <c r="AR16" i="1" l="1"/>
  <c r="AR344" i="1"/>
  <c r="AR10" i="1"/>
  <c r="AR4" i="1"/>
  <c r="AR5" i="1"/>
  <c r="AR3" i="1"/>
  <c r="AO3" i="1"/>
  <c r="AS344" i="1" l="1"/>
  <c r="AS4" i="1"/>
  <c r="AS503" i="1"/>
  <c r="AS18" i="1"/>
  <c r="AS15" i="1"/>
  <c r="AS12" i="1"/>
  <c r="AS22" i="1"/>
  <c r="AS6" i="1"/>
  <c r="AS10" i="1"/>
  <c r="AS5" i="1"/>
  <c r="AS16" i="1"/>
  <c r="AS3" i="1"/>
  <c r="A618" i="1" l="1"/>
  <c r="A620" i="1" l="1"/>
  <c r="A622" i="1" s="1"/>
  <c r="A623" i="1" s="1"/>
  <c r="A624" i="1" s="1"/>
  <c r="A628" i="1" s="1"/>
  <c r="A629" i="1" s="1"/>
  <c r="A641" i="1" s="1"/>
  <c r="A657" i="1" s="1"/>
  <c r="A658" i="1" s="1"/>
  <c r="A659" i="1" s="1"/>
  <c r="A660" i="1" s="1"/>
  <c r="A669" i="1" l="1"/>
  <c r="A670" i="1" s="1"/>
  <c r="A671" i="1" s="1"/>
  <c r="A6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D12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E12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495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<sst xmlns="http://schemas.openxmlformats.org/spreadsheetml/2006/main" count="4228" uniqueCount="1480">
  <si>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</si>
  <si>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</si>
  <si>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</si>
  <si>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</si>
  <si>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</si>
  <si>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</si>
  <si>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</si>
  <si>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</si>
  <si>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</si>
  <si>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</si>
  <si>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</si>
  <si>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</si>
  <si>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</si>
  <si>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</si>
  <si>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</si>
  <si>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</si>
  <si>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</si>
  <si>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</si>
  <si>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</si>
  <si>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</si>
  <si>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</si>
  <si>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</si>
  <si>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</si>
  <si>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</si>
  <si>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</si>
  <si>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</si>
  <si>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</si>
  <si>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</si>
  <si>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</si>
  <si>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</si>
  <si>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</si>
  <si>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</si>
  <si>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</si>
  <si>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</si>
  <si>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</si>
  <si>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</si>
  <si>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</si>
  <si>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</si>
  <si>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</si>
  <si>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</si>
  <si>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</si>
  <si>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</si>
  <si>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</si>
  <si>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</si>
  <si>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</si>
  <si>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</si>
  <si>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</si>
  <si>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</si>
  <si>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</si>
  <si>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</si>
  <si>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</si>
  <si>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</si>
  <si>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</si>
  <si>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</si>
  <si>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</si>
  <si>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</si>
  <si>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</si>
  <si>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</si>
  <si>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</si>
  <si>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</si>
  <si>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</si>
  <si>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</si>
  <si>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</si>
  <si>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</si>
  <si>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</si>
  <si>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</si>
  <si>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</si>
  <si>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</si>
  <si>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</si>
  <si>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</si>
  <si>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</si>
  <si>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</si>
  <si>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</si>
  <si>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</si>
  <si>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</si>
  <si>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</si>
  <si>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</si>
  <si>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</si>
  <si>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</si>
  <si>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</si>
  <si>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</si>
  <si>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</si>
  <si>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</si>
  <si>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</si>
  <si>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</si>
  <si>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</si>
  <si>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</si>
  <si>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</si>
  <si>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</si>
  <si>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</si>
  <si>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</si>
  <si>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</si>
  <si>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</si>
  <si>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</si>
  <si>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</si>
  <si>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</si>
  <si>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</si>
  <si>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</si>
  <si>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</si>
  <si>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</si>
  <si>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</si>
  <si>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</si>
  <si>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</si>
  <si>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</si>
  <si>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</si>
  <si>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</si>
  <si>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</si>
  <si>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</si>
  <si>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</si>
  <si>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</si>
  <si>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</si>
  <si>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</si>
  <si>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</si>
  <si>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</si>
  <si>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</si>
  <si>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</si>
  <si>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</si>
  <si>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</si>
  <si>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</si>
  <si>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</si>
  <si>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</si>
  <si>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</si>
  <si>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</si>
  <si>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</si>
  <si>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</si>
  <si>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</si>
  <si>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</si>
  <si>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</si>
  <si>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</si>
  <si>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</si>
  <si>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</si>
  <si>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</si>
  <si>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</si>
  <si>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</si>
  <si>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</si>
  <si>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</si>
  <si>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</si>
  <si>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</si>
  <si>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</si>
  <si>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</si>
  <si>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</si>
  <si>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</si>
  <si>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</si>
  <si>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</si>
  <si>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</si>
  <si>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</si>
  <si>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</si>
  <si>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</si>
  <si>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</si>
  <si>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</si>
  <si>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</si>
  <si>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</si>
  <si>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</si>
  <si>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</si>
  <si>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</si>
  <si>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</si>
  <si>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</si>
  <si>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</si>
  <si>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</si>
  <si>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</si>
  <si>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</si>
  <si>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</si>
  <si>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</si>
  <si>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</si>
  <si>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</si>
  <si>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</si>
  <si>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</si>
  <si>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</si>
  <si>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</si>
  <si>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</si>
  <si>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</si>
  <si>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</si>
  <si>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</si>
  <si>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</si>
  <si>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</si>
  <si>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</si>
  <si>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</si>
  <si>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</si>
  <si>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</si>
  <si>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</si>
  <si>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</si>
  <si>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</si>
  <si>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</si>
  <si>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</si>
  <si>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</si>
  <si>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</si>
  <si>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</si>
  <si>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</si>
  <si>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</si>
  <si>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</si>
  <si>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</si>
  <si>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</si>
  <si>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</si>
  <si>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</si>
  <si>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</si>
  <si>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</si>
  <si>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</si>
  <si>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</si>
  <si>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</si>
  <si>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</si>
  <si>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</si>
  <si>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</si>
  <si>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</si>
  <si>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</si>
  <si>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</si>
  <si>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</si>
  <si>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</si>
  <si>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</si>
  <si>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</si>
  <si>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</si>
  <si>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</si>
  <si>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</si>
  <si>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</si>
  <si>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</si>
  <si>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</si>
  <si>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</si>
  <si>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</si>
  <si>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</si>
  <si>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</si>
  <si>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</si>
  <si>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</si>
  <si>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</si>
  <si>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</si>
  <si>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</si>
  <si>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</si>
  <si>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</si>
  <si>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</si>
  <si>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</si>
  <si>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</si>
  <si>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</si>
  <si>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</si>
  <si>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</si>
  <si>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</si>
  <si>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</si>
  <si>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</si>
  <si>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</si>
  <si>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</si>
  <si>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</si>
  <si>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</si>
  <si>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</si>
  <si>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</si>
  <si>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</si>
  <si>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</si>
  <si>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</si>
  <si>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</si>
  <si>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</si>
  <si>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</si>
  <si>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</si>
  <si>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</si>
  <si>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</si>
  <si>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</si>
  <si>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</si>
  <si>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</si>
  <si>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</si>
  <si>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</si>
  <si>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</si>
  <si>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</si>
  <si>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</si>
  <si>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</si>
  <si>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</si>
  <si>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</si>
  <si>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</si>
  <si>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</si>
  <si>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</si>
  <si>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</si>
  <si>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</si>
  <si>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</si>
  <si>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</si>
  <si>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</si>
  <si>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</si>
  <si>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</si>
  <si>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</si>
  <si>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</si>
  <si>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</si>
  <si>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</si>
  <si>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</si>
  <si>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</si>
  <si>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</si>
  <si>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</si>
  <si>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</si>
  <si>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</si>
  <si>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</si>
  <si>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</si>
  <si>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</si>
  <si>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</si>
  <si>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</si>
  <si>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</si>
  <si>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</si>
  <si>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</si>
  <si>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</si>
  <si>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</si>
  <si>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</si>
  <si>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</si>
  <si>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</si>
  <si>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</si>
  <si>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</si>
  <si>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</si>
  <si>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</si>
  <si>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</si>
  <si>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</si>
  <si>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</si>
  <si>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</si>
  <si>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</si>
  <si>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</si>
  <si>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</si>
  <si>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</si>
  <si>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</si>
  <si>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</si>
  <si>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</si>
  <si>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</si>
  <si>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</si>
  <si>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</si>
  <si>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</si>
  <si>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</si>
  <si>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</si>
  <si>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</si>
  <si>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</si>
  <si>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</si>
  <si>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</si>
  <si>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</si>
  <si>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</si>
  <si>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</si>
  <si>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</si>
  <si>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</si>
  <si>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</si>
  <si>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</si>
  <si>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</si>
  <si>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</si>
  <si>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</si>
  <si>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</si>
  <si>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</si>
  <si>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</si>
  <si>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</si>
  <si>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</si>
  <si>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</si>
  <si>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</si>
  <si>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</si>
  <si>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</si>
  <si>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</si>
  <si>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</si>
  <si>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</si>
  <si>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</si>
  <si>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</si>
  <si>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</si>
  <si>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</si>
  <si>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</si>
  <si>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</si>
  <si>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</si>
  <si>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</si>
  <si>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</si>
  <si>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</si>
  <si>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</si>
  <si>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</si>
  <si>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</si>
  <si>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</si>
  <si>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</si>
  <si>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</si>
  <si>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</si>
  <si>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</si>
  <si>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</si>
  <si>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</si>
  <si>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</si>
  <si>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</si>
  <si>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</si>
  <si>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</si>
  <si>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</si>
  <si>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</si>
  <si>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</si>
  <si>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</si>
  <si>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</si>
  <si>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</si>
  <si>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</si>
  <si>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</si>
  <si>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</si>
  <si>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</si>
  <si>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</si>
  <si>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</si>
  <si>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</si>
  <si>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</si>
  <si>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</si>
  <si>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</si>
  <si>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</si>
  <si>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</si>
  <si>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</si>
  <si>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</si>
  <si>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</si>
  <si>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</si>
  <si>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</si>
  <si>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</si>
  <si>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</si>
  <si>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</si>
  <si>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</si>
  <si>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</si>
  <si>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</si>
  <si>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</si>
  <si>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</si>
  <si>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</si>
  <si>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</si>
  <si>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</si>
  <si>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</si>
  <si>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</si>
  <si>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</si>
  <si>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</si>
  <si>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</si>
  <si>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</si>
  <si>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</si>
  <si>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</si>
  <si>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</si>
  <si>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</si>
  <si>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</si>
  <si>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</si>
  <si>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</si>
  <si>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</si>
  <si>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</si>
  <si>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</si>
  <si>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</si>
  <si>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</si>
  <si>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</si>
  <si>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</si>
  <si>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</si>
  <si>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</si>
  <si>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</si>
  <si>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</si>
  <si>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</si>
  <si>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</si>
  <si>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</si>
  <si>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</si>
  <si>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</si>
  <si>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</si>
  <si>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</si>
  <si>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</si>
  <si>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</si>
  <si>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</si>
  <si>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</si>
  <si>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</si>
  <si>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</si>
  <si>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</si>
  <si>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</si>
  <si>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</si>
  <si>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</si>
  <si>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</si>
  <si>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</si>
  <si>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</si>
  <si>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</si>
  <si>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</si>
  <si>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</si>
  <si>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</si>
  <si>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</si>
  <si>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</si>
  <si>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</si>
  <si>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</si>
  <si>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</si>
  <si>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</si>
  <si>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</si>
  <si>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</si>
  <si>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</si>
  <si>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</si>
  <si>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</si>
  <si>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</si>
  <si>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</si>
  <si>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</si>
  <si>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</si>
  <si>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</si>
  <si>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</si>
  <si>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</si>
  <si>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</si>
  <si>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</si>
  <si>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</si>
  <si>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</si>
  <si>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</si>
  <si>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</si>
  <si>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</si>
  <si>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</si>
  <si>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</si>
  <si>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</si>
  <si>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</si>
  <si>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</si>
  <si>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</si>
  <si>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</si>
  <si>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</si>
  <si>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</si>
  <si>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</si>
  <si>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</si>
  <si>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</si>
  <si>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</si>
  <si>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</si>
  <si>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</si>
  <si>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</si>
  <si>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</si>
  <si>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</si>
  <si>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</si>
  <si>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</si>
  <si>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</si>
  <si>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</si>
  <si>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</si>
  <si>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</si>
  <si>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</si>
  <si>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</si>
  <si>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</si>
  <si>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</si>
  <si>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</si>
  <si>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</si>
  <si>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</si>
  <si>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</si>
  <si>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</si>
  <si>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</si>
  <si>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</si>
  <si>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</si>
  <si>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</si>
  <si>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</si>
  <si>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</si>
  <si>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</si>
  <si>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</si>
  <si>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</si>
  <si>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</si>
  <si>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</si>
  <si>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</si>
  <si>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</si>
  <si>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</si>
  <si>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</si>
  <si>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</si>
  <si>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</si>
  <si>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</si>
  <si>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</si>
  <si>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</si>
  <si>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</si>
  <si>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</si>
  <si>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</si>
  <si>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</si>
  <si>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</si>
  <si>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</si>
  <si>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</si>
  <si>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</si>
  <si>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</si>
  <si>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</si>
  <si>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</si>
  <si>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</si>
  <si>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</si>
  <si>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</si>
  <si>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</si>
  <si>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</si>
  <si>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</si>
  <si>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</si>
  <si>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</si>
  <si>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</si>
  <si>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</si>
  <si>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</si>
  <si>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</si>
  <si>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</si>
  <si>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</si>
  <si>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</si>
  <si>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</si>
  <si>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</si>
  <si>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</si>
  <si>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</si>
  <si>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</si>
  <si>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</si>
  <si>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</si>
  <si>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</si>
  <si>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</si>
  <si>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</si>
  <si>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</si>
  <si>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</si>
  <si>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</si>
  <si>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</si>
  <si>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</si>
  <si>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</si>
  <si>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</si>
  <si>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</si>
  <si>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</si>
  <si>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</si>
  <si>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</si>
  <si>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</si>
  <si>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</si>
  <si>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</si>
  <si>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</si>
  <si>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</si>
  <si>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</si>
  <si>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</si>
  <si>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</si>
  <si>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</si>
  <si>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</si>
  <si>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</si>
  <si>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</si>
  <si>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</si>
  <si>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</si>
  <si>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</si>
  <si>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</si>
  <si>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</si>
  <si>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</si>
  <si>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</si>
  <si>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</si>
  <si>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</si>
  <si>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</si>
  <si>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</si>
  <si>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</si>
  <si>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</si>
  <si>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</si>
  <si>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</si>
  <si>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</si>
  <si>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</si>
  <si>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</si>
  <si>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</si>
  <si>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</si>
  <si>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</si>
  <si>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</si>
  <si>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</si>
  <si>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</si>
  <si>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</si>
  <si>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</si>
  <si>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</si>
  <si>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</si>
  <si>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</si>
  <si>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</si>
  <si>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</si>
  <si>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</si>
  <si>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</si>
  <si>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</si>
  <si>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</si>
  <si>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</si>
  <si>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</si>
  <si>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</si>
  <si>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</si>
  <si>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</si>
  <si>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</si>
  <si>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</si>
  <si>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</si>
  <si>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</si>
  <si>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</si>
  <si>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</si>
  <si>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</si>
  <si>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</si>
  <si>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</si>
  <si>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</si>
  <si>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</si>
  <si>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</si>
  <si>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</si>
  <si>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</si>
  <si>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</si>
  <si>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</si>
  <si>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</si>
  <si>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</si>
  <si>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</si>
  <si>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</si>
  <si>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</si>
  <si>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</si>
  <si>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</si>
  <si>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</si>
  <si>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</si>
  <si>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</si>
  <si>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</si>
  <si>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</si>
  <si>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</si>
  <si>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</si>
  <si>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</si>
  <si>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</si>
  <si>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</si>
  <si>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</si>
  <si>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</si>
  <si>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</si>
  <si>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</si>
  <si>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</si>
  <si>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</si>
  <si>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</si>
  <si>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</si>
  <si>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</si>
  <si>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</si>
  <si>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</si>
  <si>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</si>
  <si>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</si>
  <si>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</si>
  <si>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</si>
  <si>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</si>
  <si>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</si>
  <si>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</si>
  <si>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</si>
  <si>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</si>
  <si>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</si>
  <si>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</si>
  <si>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</si>
  <si>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</si>
  <si>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</si>
  <si>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</si>
  <si>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</si>
  <si>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</si>
  <si>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</si>
  <si>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</si>
  <si>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</si>
  <si>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</si>
  <si>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</si>
  <si>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</si>
  <si>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</si>
  <si>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</si>
  <si>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</si>
  <si>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</si>
  <si>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</si>
  <si>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</si>
  <si>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</si>
  <si>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</si>
  <si>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</si>
  <si>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</si>
  <si>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</si>
  <si>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</si>
  <si>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</si>
  <si>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</si>
  <si>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</si>
  <si>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</si>
  <si>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</si>
  <si>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</si>
  <si>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</si>
  <si>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</si>
  <si>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</si>
  <si>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</si>
  <si>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</si>
  <si>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</si>
  <si>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</si>
  <si>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</si>
  <si>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</si>
  <si>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</si>
  <si>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</si>
  <si>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</si>
  <si>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</si>
  <si>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</si>
  <si>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</si>
  <si>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</si>
  <si>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</si>
  <si>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</si>
  <si>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</si>
  <si>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</si>
  <si>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</si>
  <si>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</si>
  <si>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</si>
  <si>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</si>
  <si>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</si>
  <si>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</si>
  <si>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</si>
  <si>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</si>
  <si>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</si>
  <si>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</si>
  <si>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</si>
  <si>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</si>
  <si>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</si>
  <si>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</si>
  <si>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</si>
  <si>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</si>
  <si>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</si>
  <si>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</si>
  <si>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</si>
  <si>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</si>
  <si>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</si>
  <si>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</si>
  <si>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</si>
  <si>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</si>
  <si>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</si>
  <si>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</si>
  <si>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</si>
  <si>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</si>
  <si>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</si>
  <si>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</si>
  <si>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</si>
  <si>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</si>
  <si>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</si>
  <si>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</si>
  <si>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</si>
  <si>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</si>
  <si>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</si>
  <si>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</si>
  <si>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</si>
  <si>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</si>
  <si>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</si>
  <si>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</si>
  <si>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</si>
  <si>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</si>
  <si>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</si>
  <si>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</si>
  <si>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</si>
  <si>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</si>
  <si>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</si>
  <si>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</si>
  <si>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</si>
  <si>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</si>
  <si>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</si>
  <si>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</si>
  <si>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</si>
  <si>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</si>
  <si>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</si>
  <si>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</si>
  <si>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</si>
  <si>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</si>
  <si>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</si>
  <si>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</si>
  <si>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</si>
  <si>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</si>
  <si>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</si>
  <si>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</si>
  <si>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</si>
  <si>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</si>
  <si>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</si>
  <si>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</si>
  <si>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</si>
  <si>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</si>
  <si>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</si>
  <si>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</si>
  <si>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</si>
  <si>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</si>
  <si>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</si>
  <si>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</si>
  <si>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</si>
  <si>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</si>
  <si>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</si>
  <si>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</si>
  <si>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</si>
  <si>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</si>
  <si>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</si>
  <si>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</si>
  <si>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</si>
  <si>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</si>
  <si>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</si>
  <si>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</si>
  <si>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</si>
  <si>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</si>
  <si>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</si>
  <si>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</si>
  <si>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</si>
  <si>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</si>
  <si>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</si>
  <si>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</si>
  <si>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</si>
  <si>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</si>
  <si>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</si>
  <si>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</si>
  <si>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</si>
  <si>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</si>
  <si>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</si>
  <si>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</si>
  <si>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</si>
  <si>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</si>
  <si>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</si>
  <si>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</si>
  <si>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</si>
  <si>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</si>
  <si>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</si>
  <si>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</si>
  <si>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</si>
  <si>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</si>
  <si>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</si>
  <si>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</si>
  <si>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</si>
  <si>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</si>
  <si>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</si>
  <si>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</si>
  <si>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</si>
  <si>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</si>
  <si>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</si>
  <si>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</si>
  <si>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</si>
  <si>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</si>
  <si>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</si>
  <si>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</si>
  <si>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</si>
  <si>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</si>
  <si>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</si>
  <si>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</si>
  <si>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</si>
  <si>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</si>
  <si>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</si>
  <si>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</si>
  <si>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</si>
  <si>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</si>
  <si>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</si>
  <si>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</si>
  <si>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</si>
  <si>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</si>
  <si>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</si>
  <si>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</si>
  <si>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</si>
  <si>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</si>
  <si>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</si>
  <si>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</si>
  <si>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</si>
  <si>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</si>
  <si>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</si>
  <si>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</si>
  <si>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</si>
  <si>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</si>
  <si>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</si>
  <si>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</si>
  <si>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</si>
  <si>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</si>
  <si>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</si>
  <si>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</si>
  <si>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</si>
  <si>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</si>
  <si>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</si>
  <si>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</si>
  <si>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</si>
  <si>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</si>
  <si>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</si>
  <si>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</si>
  <si>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</si>
  <si>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</si>
  <si>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</si>
  <si>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</si>
  <si>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</si>
  <si>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</si>
  <si>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</si>
  <si>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</si>
  <si>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</si>
  <si>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</si>
  <si>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</si>
  <si>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</si>
  <si>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</si>
  <si>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</si>
  <si>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</si>
  <si>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</si>
  <si>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</si>
  <si>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</si>
  <si>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</si>
  <si>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</si>
  <si>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</si>
  <si>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</si>
  <si>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</si>
  <si>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</si>
  <si>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</si>
  <si>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</si>
  <si>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</si>
  <si>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</si>
  <si>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</si>
  <si>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</si>
  <si>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</si>
  <si>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</si>
  <si>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</si>
  <si>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</si>
  <si>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</si>
  <si>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</si>
  <si>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</si>
  <si>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</si>
  <si>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</si>
  <si>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</si>
  <si>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</si>
  <si>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</si>
  <si>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</si>
  <si>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</si>
  <si>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</si>
  <si>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</si>
  <si>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</si>
  <si>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</si>
  <si>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</si>
  <si>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</si>
  <si>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</si>
  <si>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</si>
  <si>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</si>
  <si>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</si>
  <si>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</si>
  <si>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</si>
  <si>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</si>
  <si>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</si>
  <si>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</si>
  <si>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</si>
  <si>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</si>
  <si>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</si>
  <si>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</si>
  <si>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</si>
  <si>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</si>
  <si>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</si>
  <si>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</si>
  <si>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</si>
  <si>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</si>
  <si>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</si>
  <si>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</si>
  <si>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</si>
  <si>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</si>
  <si>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</si>
  <si>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</si>
  <si>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</si>
  <si>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</si>
  <si>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</si>
  <si>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</si>
  <si>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</si>
  <si>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</si>
  <si>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</si>
  <si>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</si>
  <si>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</si>
  <si>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</si>
  <si>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</si>
  <si>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</si>
  <si>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</si>
  <si>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</si>
  <si>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</si>
  <si>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</si>
  <si>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</si>
  <si>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</si>
  <si>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</si>
  <si>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</si>
  <si>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</si>
  <si>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</si>
  <si>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</si>
  <si>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</si>
  <si>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</si>
  <si>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</si>
  <si>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</si>
  <si>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</si>
  <si>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</si>
  <si>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</si>
  <si>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</si>
  <si>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</si>
  <si>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</si>
  <si>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</si>
  <si>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</si>
  <si>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</si>
  <si>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</si>
  <si>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</si>
  <si>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</si>
  <si>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</si>
  <si>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</si>
  <si>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</si>
  <si>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</si>
  <si>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</si>
  <si>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</si>
  <si>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</si>
  <si>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</si>
  <si>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</si>
  <si>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</si>
  <si>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</si>
  <si>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</si>
  <si>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</si>
  <si>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</si>
  <si>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</si>
  <si>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</si>
  <si>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</si>
  <si>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</si>
  <si>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</si>
  <si>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</si>
  <si>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</si>
  <si>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</si>
  <si>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</si>
  <si>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</si>
  <si>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</si>
  <si>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</si>
  <si>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</si>
  <si>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</si>
  <si>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</si>
  <si>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</si>
  <si>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</si>
  <si>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</si>
  <si>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</si>
  <si>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</si>
  <si>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</si>
  <si>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</si>
  <si>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</si>
  <si>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</si>
  <si>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</si>
  <si>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</si>
  <si>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</si>
  <si>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</si>
  <si>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</si>
  <si>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</si>
  <si>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</si>
  <si>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</si>
  <si>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</si>
  <si>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</si>
  <si>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</si>
  <si>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</si>
  <si>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</si>
  <si>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</si>
  <si>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</si>
  <si>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</si>
  <si>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</si>
  <si>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</si>
  <si>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</si>
  <si>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</si>
  <si>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</si>
  <si>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</si>
  <si>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</si>
  <si>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</si>
  <si>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</si>
  <si>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</si>
  <si>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</si>
  <si>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</si>
  <si>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</si>
  <si>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</si>
  <si>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</si>
  <si>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</si>
  <si>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</si>
  <si>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</si>
  <si>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</si>
  <si>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</si>
  <si>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</si>
  <si>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</si>
  <si>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</si>
  <si>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</si>
  <si>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</si>
  <si>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</si>
  <si>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</si>
  <si>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</si>
  <si>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</si>
  <si>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</si>
  <si>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</si>
  <si>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</si>
  <si>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</si>
  <si>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</si>
  <si>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</si>
  <si>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</si>
  <si>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</si>
  <si>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</si>
  <si>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</si>
  <si>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</si>
  <si>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</si>
  <si>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</si>
  <si>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</si>
  <si>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</si>
  <si>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</si>
  <si>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</si>
  <si>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</si>
  <si>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</si>
  <si>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</si>
  <si>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</si>
  <si>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</si>
  <si>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</si>
  <si>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</si>
  <si>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</si>
  <si>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</si>
  <si>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</si>
  <si>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</si>
  <si>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</si>
  <si>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</si>
  <si>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</si>
  <si>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</si>
  <si>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</si>
  <si>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</si>
  <si>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</si>
  <si>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</si>
  <si>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</si>
  <si>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</si>
  <si>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</si>
  <si>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</si>
  <si>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</si>
  <si>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</si>
  <si>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</si>
  <si>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</si>
  <si>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</si>
  <si>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</si>
  <si>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</si>
  <si>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</si>
  <si>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</si>
  <si>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</si>
  <si>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</si>
  <si>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</si>
  <si>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</si>
  <si>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</si>
  <si>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</si>
  <si>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</si>
  <si>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</si>
  <si>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</si>
  <si>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</si>
  <si>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</si>
  <si>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</si>
  <si>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</si>
  <si>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</si>
  <si>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</si>
  <si>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</si>
  <si>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</si>
  <si>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</si>
  <si>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</si>
  <si>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</si>
  <si>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</si>
  <si>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</si>
  <si>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</si>
  <si>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</si>
  <si>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</si>
  <si>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</si>
  <si>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</si>
  <si>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</si>
  <si>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</si>
  <si>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</si>
  <si>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</si>
  <si>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</si>
  <si>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</si>
  <si>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</si>
  <si>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</si>
  <si>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</si>
  <si>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</si>
  <si>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</si>
  <si>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</si>
  <si>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</si>
  <si>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</si>
  <si>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</si>
  <si>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</si>
  <si>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</si>
  <si>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</si>
  <si>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</si>
  <si>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</si>
  <si>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</si>
  <si>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</si>
  <si>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</si>
  <si>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</si>
  <si>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</si>
  <si>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</si>
  <si>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</si>
  <si>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</si>
  <si>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</si>
  <si>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</si>
  <si>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</si>
  <si>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</si>
  <si>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</si>
  <si>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</si>
  <si>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</si>
  <si>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</si>
  <si>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</si>
  <si>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</si>
  <si>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</si>
  <si>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</si>
  <si>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</si>
  <si>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</si>
  <si>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</si>
  <si>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</si>
  <si>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</si>
  <si>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</si>
  <si>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</si>
  <si>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</si>
  <si>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</si>
  <si>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</si>
  <si>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</si>
  <si>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</si>
  <si>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</si>
  <si>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</si>
  <si>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</si>
  <si>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</si>
  <si>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</si>
  <si>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</si>
  <si>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</si>
  <si>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</si>
  <si>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</si>
  <si>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</si>
  <si>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</si>
  <si>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</si>
  <si>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</si>
  <si>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</si>
  <si>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</si>
  <si>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</si>
  <si>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</si>
  <si>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</si>
  <si>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</si>
  <si>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</si>
  <si>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</si>
  <si>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</si>
  <si>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</si>
  <si>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</si>
  <si>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</si>
  <si>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</si>
  <si>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</si>
  <si>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</si>
  <si>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</si>
  <si>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</si>
  <si>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</si>
  <si>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</si>
  <si>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</si>
  <si>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</si>
  <si>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</si>
  <si>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</si>
  <si>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</si>
  <si>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</si>
  <si>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</si>
  <si>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</si>
  <si>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</si>
  <si>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</si>
  <si>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</si>
  <si>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</si>
  <si>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</si>
  <si>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</si>
  <si>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</si>
  <si>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</si>
  <si>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</si>
  <si>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</si>
  <si>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</si>
  <si>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</si>
  <si>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</si>
  <si>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</si>
  <si>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</si>
  <si>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</si>
  <si>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</si>
  <si>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</si>
  <si>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</si>
  <si>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</si>
  <si>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</si>
  <si>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</si>
  <si>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</si>
  <si>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</si>
  <si>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</si>
  <si>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</si>
  <si>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</si>
  <si>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</si>
  <si>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</si>
  <si>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</si>
  <si>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</si>
  <si>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</si>
  <si>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</si>
  <si>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</si>
  <si>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</si>
  <si>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</si>
  <si>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</si>
  <si>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</si>
  <si>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3:09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</si>
  <si>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</si>
  <si>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</si>
  <si>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</si>
  <si>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</si>
  <si>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</si>
  <si>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</si>
  <si>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</si>
  <si>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</si>
  <si>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</si>
  <si>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</si>
  <si>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</si>
  <si>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</si>
  <si>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</si>
  <si>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</si>
  <si>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</si>
  <si>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</si>
  <si>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</si>
  <si>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</si>
  <si>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</si>
  <si>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</si>
  <si>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</si>
  <si>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</si>
  <si>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</si>
  <si>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</si>
  <si>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</si>
  <si>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</si>
  <si>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</si>
  <si>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</si>
  <si>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</si>
  <si>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</si>
  <si>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</si>
  <si>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</si>
  <si>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</si>
  <si>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</si>
  <si>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</si>
  <si>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</si>
  <si>
    <t>Marketing</t>
  </si>
  <si>
    <t>Reading</t>
  </si>
  <si>
    <t>Food</t>
  </si>
  <si>
    <t>Invites</t>
  </si>
  <si>
    <t>brainly.in</t>
  </si>
  <si>
    <t>rakuten.co.jp</t>
  </si>
  <si>
    <t>chatgpt.com</t>
  </si>
  <si>
    <t>fmovies24.to</t>
  </si>
  <si>
    <t>studentaid.gov</t>
  </si>
  <si>
    <t>aniwave.to</t>
  </si>
  <si>
    <t>hiainme.to</t>
  </si>
  <si>
    <t>login.gov</t>
  </si>
  <si>
    <t>pemsrv.com</t>
  </si>
  <si>
    <t>site.com</t>
  </si>
  <si>
    <t>asuracomic.net</t>
  </si>
  <si>
    <t>oraclecloud.com</t>
  </si>
  <si>
    <t>blurbreimbursetrombone.com</t>
  </si>
  <si>
    <t>adsmoloco.com</t>
  </si>
  <si>
    <t>qvc.com</t>
  </si>
  <si>
    <t>navyfederal.org</t>
  </si>
  <si>
    <t>paycomonline.net</t>
  </si>
  <si>
    <t>faphouse.com</t>
  </si>
  <si>
    <t>fextralife.com</t>
  </si>
  <si>
    <t>statefarm.com</t>
  </si>
  <si>
    <t>appfolio.com</t>
  </si>
  <si>
    <t>carvana.com</t>
  </si>
  <si>
    <t>holahupa.com</t>
  </si>
  <si>
    <t>squarespace.com</t>
  </si>
  <si>
    <t>adblockplus.org</t>
  </si>
  <si>
    <t>clips4sale.com</t>
  </si>
  <si>
    <t>rockauto.com</t>
  </si>
  <si>
    <t>michaels.com</t>
  </si>
  <si>
    <t>lululemon.com</t>
  </si>
  <si>
    <t>kaliscan.com</t>
  </si>
  <si>
    <t>espncricinfo.com</t>
  </si>
  <si>
    <t>bedbathandbeyond.com</t>
  </si>
  <si>
    <t>uhaul.com</t>
  </si>
  <si>
    <t>foxsports.com</t>
  </si>
  <si>
    <t>shop.lululemon.com</t>
  </si>
  <si>
    <t>pornzog.com</t>
  </si>
  <si>
    <t>calculator.net</t>
  </si>
  <si>
    <t>swagbucks.com</t>
  </si>
  <si>
    <t>magsrv.com</t>
  </si>
  <si>
    <t>Audiobooks</t>
  </si>
  <si>
    <t>publix.com</t>
  </si>
  <si>
    <t>phreesia.net</t>
  </si>
  <si>
    <t>paylocity.com</t>
  </si>
  <si>
    <t>lipstickalley.com</t>
  </si>
  <si>
    <t>0123movie.net</t>
  </si>
  <si>
    <t>tomsguide.com</t>
  </si>
  <si>
    <t>seatgeek.com</t>
  </si>
  <si>
    <t>oreillyauto.com</t>
  </si>
  <si>
    <t>stripe.com</t>
  </si>
  <si>
    <t>chumbacasino.com</t>
  </si>
  <si>
    <t>baseball-reference.com</t>
  </si>
  <si>
    <t>mapquest.com</t>
  </si>
  <si>
    <t>gtp.fyi</t>
  </si>
  <si>
    <t>siriusxm.com</t>
  </si>
  <si>
    <t>livenation.com</t>
  </si>
  <si>
    <t>athlonsports.com</t>
  </si>
  <si>
    <t>stockx.com</t>
  </si>
  <si>
    <t>answers.microsoft.com</t>
  </si>
  <si>
    <t>eatingwell.com</t>
  </si>
  <si>
    <t>flightaware.com</t>
  </si>
  <si>
    <t>adjust.com</t>
  </si>
  <si>
    <t>onehome.com</t>
  </si>
  <si>
    <t>xbox.com</t>
  </si>
  <si>
    <t>nps.gov</t>
  </si>
  <si>
    <t>streameast.app</t>
  </si>
  <si>
    <t>pokerogue.net</t>
  </si>
  <si>
    <t>mediago.io</t>
  </si>
  <si>
    <t>nj.com</t>
  </si>
  <si>
    <t>axios.com</t>
  </si>
  <si>
    <t>rawstory.com</t>
  </si>
  <si>
    <t>zerohedge.com</t>
  </si>
  <si>
    <t>mnaspm.com</t>
  </si>
  <si>
    <t>newsbreak.com</t>
  </si>
  <si>
    <t>pinimg.com</t>
  </si>
  <si>
    <t>microsoft365.com</t>
  </si>
  <si>
    <t>fortune.com</t>
  </si>
  <si>
    <t>cnet.com</t>
  </si>
  <si>
    <t>moneycontrol.com</t>
  </si>
  <si>
    <t>economictimes.com</t>
  </si>
  <si>
    <t>poste.it</t>
  </si>
  <si>
    <t>hdfcbank.com</t>
  </si>
  <si>
    <t>zerodha.com</t>
  </si>
  <si>
    <t>rakuten-sec.com</t>
  </si>
  <si>
    <t>tinkoff.ru</t>
  </si>
  <si>
    <t>sbisec.co.jp</t>
  </si>
  <si>
    <t>caixa.gov.br</t>
  </si>
  <si>
    <t>exness.com</t>
  </si>
  <si>
    <t>trustpilot.com</t>
  </si>
  <si>
    <t>alipay.com</t>
  </si>
  <si>
    <t>klarna.com</t>
  </si>
  <si>
    <t>groww.in</t>
  </si>
  <si>
    <t>sberbank.ru</t>
  </si>
  <si>
    <t>icicibank.com</t>
  </si>
  <si>
    <t>mufg.jp</t>
  </si>
  <si>
    <t>td.com</t>
  </si>
  <si>
    <t>bancoestado.cl</t>
  </si>
  <si>
    <t>kontur.ru</t>
  </si>
  <si>
    <t>credit-agricole.fr</t>
  </si>
  <si>
    <t>moneyforward.com</t>
  </si>
  <si>
    <t>royalbank.com</t>
  </si>
  <si>
    <t>angelone.in</t>
  </si>
  <si>
    <t>cash.app</t>
  </si>
  <si>
    <t>healthsafe-id.com</t>
  </si>
  <si>
    <t>uhc.com</t>
  </si>
  <si>
    <t>UNH</t>
  </si>
  <si>
    <t>affirm.com</t>
  </si>
  <si>
    <t>sofi.com</t>
  </si>
  <si>
    <t>cox.com</t>
  </si>
  <si>
    <t>ally.com</t>
  </si>
  <si>
    <t>mysynchrony.com</t>
  </si>
  <si>
    <t>ml.com</t>
  </si>
  <si>
    <t>firstdata.com</t>
  </si>
  <si>
    <t>geico.com</t>
  </si>
  <si>
    <t>venmo.com</t>
  </si>
  <si>
    <t>allstate.com</t>
  </si>
  <si>
    <t>barclaycardus.com</t>
  </si>
  <si>
    <t>tdbank.com</t>
  </si>
  <si>
    <t>paychex.com</t>
  </si>
  <si>
    <t>creditonebank.com</t>
  </si>
  <si>
    <t>aetna.com</t>
  </si>
  <si>
    <t>cigna.com</t>
  </si>
  <si>
    <t>regions.com</t>
  </si>
  <si>
    <t>online-banking-services.com</t>
  </si>
  <si>
    <t>clover.com</t>
  </si>
  <si>
    <t>paymentus.com</t>
  </si>
  <si>
    <t>huntington.com</t>
  </si>
  <si>
    <t>afterpay.com</t>
  </si>
  <si>
    <t>ibanking-services.com</t>
  </si>
  <si>
    <t>mtb.com</t>
  </si>
  <si>
    <t>53.com</t>
  </si>
  <si>
    <t>progressivedirect.com</t>
  </si>
  <si>
    <t>zacks.com</t>
  </si>
  <si>
    <t>morningstar.com</t>
  </si>
  <si>
    <t>investorplace.com</t>
  </si>
  <si>
    <t>cody.md</t>
  </si>
  <si>
    <t>OpenAI</t>
  </si>
  <si>
    <t>7, 19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</si>
</sst>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8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20" fontId="8" fillId="0" borderId="0" xfId="0" applyNumberFormat="1" applyFont="1"/>
    <xf numFmtId="3" fontId="8" fillId="0" borderId="0" xfId="0" applyNumberFormat="1" applyFont="1"/>
    <xf numFmtId="3" fontId="2" fillId="2" borderId="0" xfId="0" applyNumberFormat="1" applyFont="1" applyFill="1"/>
    <xf numFmtId="20" fontId="2" fillId="0" borderId="0" xfId="0" quotePrefix="1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Font="1"/>
    <xf numFmtId="9" fontId="1" fillId="0" borderId="0" xfId="0" applyNumberFormat="1" applyFont="1"/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7059457140124"/>
          <c:y val="0.10296386936551374"/>
          <c:w val="0.80044376971234277"/>
          <c:h val="0.8370904794731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Main!$AQ$3:$AQ$344</c:f>
              <c:strCache>
                <c:ptCount val="342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7">
                  <c:v>MSFT</c:v>
                </c:pt>
                <c:pt idx="9">
                  <c:v>Reddit</c:v>
                </c:pt>
                <c:pt idx="12">
                  <c:v>Discord</c:v>
                </c:pt>
                <c:pt idx="13">
                  <c:v>AMZN</c:v>
                </c:pt>
                <c:pt idx="15">
                  <c:v>OAI</c:v>
                </c:pt>
                <c:pt idx="19">
                  <c:v>BIDU</c:v>
                </c:pt>
                <c:pt idx="74">
                  <c:v>ComScore</c:v>
                </c:pt>
                <c:pt idx="217">
                  <c:v>Originally YourDoctor.com. &gt;$100m revenue in 2019</c:v>
                </c:pt>
                <c:pt idx="341">
                  <c:v>News</c:v>
                </c:pt>
              </c:strCache>
            </c:strRef>
          </c:cat>
          <c:val>
            <c:numRef>
              <c:f>Main!$AR$3:$AR$344</c:f>
              <c:numCache>
                <c:formatCode>#,##0</c:formatCode>
                <c:ptCount val="342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7">
                  <c:v>54671.418333333342</c:v>
                </c:pt>
                <c:pt idx="9">
                  <c:v>13669.250000000002</c:v>
                </c:pt>
                <c:pt idx="12">
                  <c:v>7260.6333333333332</c:v>
                </c:pt>
                <c:pt idx="13">
                  <c:v>28236.23333333333</c:v>
                </c:pt>
                <c:pt idx="15">
                  <c:v>5602.9</c:v>
                </c:pt>
                <c:pt idx="19">
                  <c:v>24384.75</c:v>
                </c:pt>
                <c:pt idx="24" formatCode="General">
                  <c:v>2800</c:v>
                </c:pt>
                <c:pt idx="60" formatCode="General">
                  <c:v>1600</c:v>
                </c:pt>
                <c:pt idx="341">
                  <c:v>12277.512833333332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132801</xdr:colOff>
      <xdr:row>11</xdr:row>
      <xdr:rowOff>149891</xdr:rowOff>
    </xdr:from>
    <xdr:to>
      <xdr:col>55</xdr:col>
      <xdr:colOff>369627</xdr:colOff>
      <xdr:row>63</xdr:row>
      <xdr:rowOff>37911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2" dT="2024-01-12T01:54:35.31" personId="{7E81EC9F-7C5F-364D-8DAA-50BC36F4E6EA}" id="{51D53592-7EE9-ED4F-89BF-D1020A63BC4A}">
    <text xml:space="preserve">X.com 87.54M
</text>
  </threadedComment>
  <threadedComment ref="AE12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495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W1524"/>
  <sheetViews>
    <sheetView tabSelected="1" zoomScale="145" zoomScaleNormal="145" workbookViewId="0">
      <pane xSplit="7" ySplit="2" topLeftCell="AA330" activePane="bottomRight" state="frozen"/>
      <selection pane="topRight" activeCell="E1" sqref="E1"/>
      <selection pane="bottomLeft" activeCell="A3" sqref="A3"/>
      <selection pane="bottomRight" activeCell="AL340" sqref="AL340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3.42578125" customWidth="1"/>
    <col min="5" max="5" width="12.140625" customWidth="1"/>
    <col min="6" max="6" width="4.140625" customWidth="1"/>
    <col min="7" max="7" width="10.140625" style="2" bestFit="1" customWidth="1"/>
    <col min="8" max="8" width="10.85546875" style="2" customWidth="1"/>
    <col min="9" max="9" width="10.85546875" style="15" customWidth="1"/>
    <col min="10" max="10" width="10.85546875" style="16" customWidth="1"/>
    <col min="11" max="11" width="11.28515625" style="2" customWidth="1"/>
    <col min="12" max="12" width="12.28515625" style="1" bestFit="1" customWidth="1"/>
    <col min="13" max="13" width="4.85546875" style="1" bestFit="1" customWidth="1"/>
    <col min="14" max="14" width="5.42578125" style="1" customWidth="1"/>
    <col min="15" max="29" width="10" style="1" customWidth="1"/>
    <col min="30" max="30" width="10.140625" style="2" customWidth="1"/>
    <col min="31" max="31" width="10.7109375" style="1" customWidth="1"/>
    <col min="32" max="32" width="9.28515625" style="1" bestFit="1" customWidth="1"/>
    <col min="33" max="33" width="10.42578125" style="1" customWidth="1"/>
    <col min="34" max="34" width="10.140625" style="1" customWidth="1"/>
    <col min="35" max="35" width="9.42578125" style="1" customWidth="1"/>
    <col min="36" max="36" width="9.42578125" customWidth="1"/>
    <col min="37" max="37" width="9.140625" bestFit="1" customWidth="1"/>
    <col min="38" max="38" width="13" customWidth="1"/>
    <col min="41" max="41" width="9.28515625" bestFit="1" customWidth="1"/>
    <col min="44" max="44" width="9.28515625" bestFit="1" customWidth="1"/>
    <col min="46" max="46" width="22.140625" customWidth="1"/>
    <col min="47" max="47" width="14.28515625" customWidth="1"/>
    <col min="48" max="48" width="8.140625" customWidth="1"/>
    <col min="49" max="49" width="9.42578125" bestFit="1" customWidth="1"/>
  </cols>
  <sheetData>
    <row r="1" spans="1:46" x14ac:dyDescent="0.2">
      <c r="H1" s="2" t="s">
        <v>741</v>
      </c>
      <c r="I1" s="15" t="s">
        <v>740</v>
      </c>
      <c r="J1" s="15" t="s">
        <v>739</v>
      </c>
      <c r="K1" s="2" t="s">
        <v>735</v>
      </c>
      <c r="O1" s="1" t="s">
        <v>1334</v>
      </c>
      <c r="P1" s="1" t="s">
        <v>1334</v>
      </c>
      <c r="Q1" s="1" t="s">
        <v>1334</v>
      </c>
      <c r="R1" s="1" t="s">
        <v>1334</v>
      </c>
      <c r="S1" s="1" t="s">
        <v>1334</v>
      </c>
      <c r="T1" s="1" t="s">
        <v>1334</v>
      </c>
      <c r="U1" s="1" t="s">
        <v>1334</v>
      </c>
      <c r="V1" s="1" t="s">
        <v>1334</v>
      </c>
      <c r="W1" s="1" t="s">
        <v>1334</v>
      </c>
      <c r="X1" s="1" t="s">
        <v>1334</v>
      </c>
      <c r="Y1" s="1" t="s">
        <v>1334</v>
      </c>
      <c r="Z1" s="1" t="s">
        <v>1334</v>
      </c>
      <c r="AA1" s="1" t="s">
        <v>1334</v>
      </c>
      <c r="AC1" s="1" t="s">
        <v>1335</v>
      </c>
      <c r="AD1" s="1" t="s">
        <v>1335</v>
      </c>
      <c r="AE1" s="2" t="s">
        <v>1335</v>
      </c>
      <c r="AF1" s="2" t="s">
        <v>1335</v>
      </c>
      <c r="AG1" s="1" t="s">
        <v>1335</v>
      </c>
      <c r="AH1" s="1" t="s">
        <v>1335</v>
      </c>
      <c r="AI1" s="78" t="s">
        <v>745</v>
      </c>
      <c r="AJ1" s="78"/>
    </row>
    <row r="2" spans="1:46" x14ac:dyDescent="0.2">
      <c r="A2" s="2" t="s">
        <v>770</v>
      </c>
      <c r="B2" s="2" t="s">
        <v>769</v>
      </c>
      <c r="C2" s="2" t="s">
        <v>768</v>
      </c>
      <c r="G2" s="2" t="s">
        <v>742</v>
      </c>
      <c r="H2" s="2" t="s">
        <v>722</v>
      </c>
      <c r="I2" s="15" t="s">
        <v>734</v>
      </c>
      <c r="J2" s="15" t="s">
        <v>738</v>
      </c>
      <c r="K2" s="2" t="s">
        <v>743</v>
      </c>
      <c r="L2" s="1" t="s">
        <v>10</v>
      </c>
      <c r="M2" s="1" t="s">
        <v>15</v>
      </c>
      <c r="O2" s="24">
        <v>45292</v>
      </c>
      <c r="P2" s="24">
        <v>45261</v>
      </c>
      <c r="Q2" s="24">
        <v>45231</v>
      </c>
      <c r="R2" s="24">
        <v>45200</v>
      </c>
      <c r="S2" s="24">
        <v>45170</v>
      </c>
      <c r="T2" s="24">
        <v>45139</v>
      </c>
      <c r="U2" s="24">
        <v>45108</v>
      </c>
      <c r="V2" s="24">
        <v>45078</v>
      </c>
      <c r="W2" s="24">
        <v>45047</v>
      </c>
      <c r="X2" s="24">
        <v>45017</v>
      </c>
      <c r="Y2" s="24">
        <v>44986</v>
      </c>
      <c r="Z2" s="24">
        <v>44958</v>
      </c>
      <c r="AA2" s="24">
        <v>44927</v>
      </c>
      <c r="AB2" s="24"/>
      <c r="AC2" s="24">
        <v>45497</v>
      </c>
      <c r="AD2" s="24">
        <v>45302</v>
      </c>
      <c r="AE2" s="24">
        <v>45215</v>
      </c>
      <c r="AF2" s="24">
        <v>45154</v>
      </c>
      <c r="AG2" s="24">
        <v>45127</v>
      </c>
      <c r="AH2" s="24">
        <v>45121</v>
      </c>
      <c r="AI2" s="24">
        <v>45089</v>
      </c>
      <c r="AJ2" s="18">
        <v>45088</v>
      </c>
      <c r="AK2" t="s">
        <v>746</v>
      </c>
      <c r="AL2" t="s">
        <v>766</v>
      </c>
      <c r="AM2" s="1" t="s">
        <v>771</v>
      </c>
      <c r="AO2" s="8"/>
    </row>
    <row r="3" spans="1:46" s="3" customFormat="1" x14ac:dyDescent="0.2">
      <c r="A3" s="4">
        <v>1</v>
      </c>
      <c r="B3" s="4">
        <v>1</v>
      </c>
      <c r="C3" s="4">
        <v>1</v>
      </c>
      <c r="D3" s="3" t="s">
        <v>19</v>
      </c>
      <c r="E3" s="3" t="s">
        <v>0</v>
      </c>
      <c r="G3" s="4">
        <v>1000000</v>
      </c>
      <c r="H3" s="4">
        <v>71600</v>
      </c>
      <c r="I3" s="4">
        <v>2818</v>
      </c>
      <c r="J3" s="58">
        <v>1257</v>
      </c>
      <c r="K3" s="4"/>
      <c r="L3" s="9" t="s">
        <v>14</v>
      </c>
      <c r="M3" s="9" t="s">
        <v>16</v>
      </c>
      <c r="N3" s="9"/>
      <c r="O3" s="4">
        <v>176199</v>
      </c>
      <c r="P3" s="4">
        <v>168674.279117</v>
      </c>
      <c r="Q3" s="4">
        <v>177837.868701</v>
      </c>
      <c r="R3" s="4">
        <v>180268.31469900001</v>
      </c>
      <c r="S3" s="4">
        <v>165532.97277699999</v>
      </c>
      <c r="T3" s="4">
        <v>154482.65969999999</v>
      </c>
      <c r="U3" s="4">
        <v>172214.16023199999</v>
      </c>
      <c r="V3" s="4">
        <v>165369.52912399999</v>
      </c>
      <c r="W3" s="4">
        <v>179591.11481500001</v>
      </c>
      <c r="X3" s="4">
        <v>190506</v>
      </c>
      <c r="Y3" s="4">
        <v>185839</v>
      </c>
      <c r="Z3" s="4">
        <v>172979</v>
      </c>
      <c r="AA3" s="4">
        <v>179672</v>
      </c>
      <c r="AB3" s="4"/>
      <c r="AC3" s="4">
        <v>75930</v>
      </c>
      <c r="AD3" s="4">
        <v>75840</v>
      </c>
      <c r="AE3" s="4">
        <v>78690</v>
      </c>
      <c r="AF3" s="4">
        <v>77280</v>
      </c>
      <c r="AG3" s="4">
        <v>77620</v>
      </c>
      <c r="AH3" s="4">
        <v>77990</v>
      </c>
      <c r="AI3" s="4" t="s">
        <v>773</v>
      </c>
      <c r="AJ3" s="4" t="s">
        <v>773</v>
      </c>
      <c r="AK3" s="23">
        <v>0.44027777777777777</v>
      </c>
      <c r="AL3" s="66">
        <f>(10+(34/60))*AH3</f>
        <v>824094.33333333337</v>
      </c>
      <c r="AM3" s="3">
        <v>1998</v>
      </c>
      <c r="AO3" s="47">
        <f>SUM(AL3:AL606)</f>
        <v>2490565.4556050017</v>
      </c>
      <c r="AP3" s="80"/>
      <c r="AQ3" s="3" t="s">
        <v>1232</v>
      </c>
      <c r="AR3" s="47">
        <f>AL3+AL10</f>
        <v>1450678</v>
      </c>
      <c r="AS3" s="80">
        <f>AR3/AO3</f>
        <v>0.58246933311279103</v>
      </c>
    </row>
    <row r="4" spans="1:46" s="5" customFormat="1" x14ac:dyDescent="0.2">
      <c r="A4" s="6" t="s">
        <v>773</v>
      </c>
      <c r="B4" s="6" t="s">
        <v>773</v>
      </c>
      <c r="C4" s="6" t="s">
        <v>773</v>
      </c>
      <c r="D4" s="5" t="s">
        <v>1206</v>
      </c>
      <c r="E4" s="5" t="s">
        <v>0</v>
      </c>
      <c r="G4" s="6">
        <v>1000000</v>
      </c>
      <c r="H4" s="6">
        <v>4761</v>
      </c>
      <c r="I4" s="59">
        <v>170</v>
      </c>
      <c r="J4" s="59">
        <v>85.46</v>
      </c>
      <c r="K4" s="6"/>
      <c r="L4" s="7"/>
      <c r="M4" s="7"/>
      <c r="N4" s="7"/>
      <c r="O4" s="6">
        <v>3929.6</v>
      </c>
      <c r="P4" s="6">
        <v>3402.7</v>
      </c>
      <c r="Q4" s="6">
        <v>4078.2</v>
      </c>
      <c r="R4" s="6">
        <v>3967.8</v>
      </c>
      <c r="S4" s="6">
        <v>3567.3</v>
      </c>
      <c r="T4" s="6">
        <v>2815.1</v>
      </c>
      <c r="U4" s="6">
        <v>3049.1</v>
      </c>
      <c r="V4" s="6">
        <v>3011.6</v>
      </c>
      <c r="W4" s="6">
        <v>3639.2</v>
      </c>
      <c r="X4" s="6">
        <v>3485.4</v>
      </c>
      <c r="Y4" s="6">
        <v>3570.7</v>
      </c>
      <c r="Z4" s="6">
        <v>3304.8</v>
      </c>
      <c r="AA4" s="6">
        <v>2795.9</v>
      </c>
      <c r="AB4" s="7"/>
      <c r="AC4" s="6">
        <v>5001</v>
      </c>
      <c r="AD4" s="6">
        <v>4274</v>
      </c>
      <c r="AE4" s="6">
        <v>5631</v>
      </c>
      <c r="AF4" s="6">
        <v>4761</v>
      </c>
      <c r="AG4" s="50" t="s">
        <v>773</v>
      </c>
      <c r="AH4" s="50" t="s">
        <v>773</v>
      </c>
      <c r="AI4" s="50" t="s">
        <v>773</v>
      </c>
      <c r="AJ4" s="50" t="s">
        <v>773</v>
      </c>
      <c r="AK4" s="56" t="s">
        <v>773</v>
      </c>
      <c r="AL4" s="61" t="s">
        <v>773</v>
      </c>
      <c r="AM4" s="7" t="s">
        <v>773</v>
      </c>
      <c r="AQ4" t="s">
        <v>1233</v>
      </c>
      <c r="AR4" s="8">
        <f>AL16+AL22+AL164+AL39+AL244</f>
        <v>275773.0033333333</v>
      </c>
      <c r="AS4" s="62">
        <f>AR4/AO3</f>
        <v>0.11072706509789089</v>
      </c>
    </row>
    <row r="5" spans="1:46" s="5" customFormat="1" x14ac:dyDescent="0.2">
      <c r="A5" s="6" t="s">
        <v>773</v>
      </c>
      <c r="B5" s="6" t="s">
        <v>773</v>
      </c>
      <c r="C5" s="6" t="s">
        <v>773</v>
      </c>
      <c r="D5" s="5" t="s">
        <v>1207</v>
      </c>
      <c r="E5" s="5" t="s">
        <v>0</v>
      </c>
      <c r="G5" s="6">
        <v>1000000</v>
      </c>
      <c r="H5" s="6">
        <v>2089</v>
      </c>
      <c r="I5" s="59">
        <v>74.63</v>
      </c>
      <c r="J5" s="59">
        <v>44.13</v>
      </c>
      <c r="K5" s="6"/>
      <c r="L5" s="7"/>
      <c r="M5" s="7"/>
      <c r="N5" s="7"/>
      <c r="O5" s="6">
        <v>1544.8</v>
      </c>
      <c r="P5" s="6">
        <v>1423.3</v>
      </c>
      <c r="Q5" s="6">
        <v>1557.7</v>
      </c>
      <c r="R5" s="6">
        <v>1605.5</v>
      </c>
      <c r="S5" s="6">
        <v>1435.4</v>
      </c>
      <c r="T5" s="6">
        <v>1251.8</v>
      </c>
      <c r="U5" s="6">
        <v>1511.1</v>
      </c>
      <c r="V5" s="6">
        <v>1425.7</v>
      </c>
      <c r="W5" s="6">
        <v>1745.8</v>
      </c>
      <c r="X5" s="6">
        <v>1707.7</v>
      </c>
      <c r="Y5" s="6">
        <v>1662.4</v>
      </c>
      <c r="Z5" s="6">
        <v>1554.4</v>
      </c>
      <c r="AA5" s="6">
        <v>1430.7</v>
      </c>
      <c r="AB5" s="7"/>
      <c r="AC5" s="6">
        <v>2178</v>
      </c>
      <c r="AD5" s="6">
        <v>2040</v>
      </c>
      <c r="AE5" s="6">
        <v>2397</v>
      </c>
      <c r="AF5" s="6">
        <v>2089</v>
      </c>
      <c r="AG5" s="50" t="s">
        <v>773</v>
      </c>
      <c r="AH5" s="50" t="s">
        <v>773</v>
      </c>
      <c r="AI5" s="50" t="s">
        <v>773</v>
      </c>
      <c r="AJ5" s="50" t="s">
        <v>773</v>
      </c>
      <c r="AK5" s="56" t="s">
        <v>773</v>
      </c>
      <c r="AL5" s="61" t="s">
        <v>773</v>
      </c>
      <c r="AM5" s="6" t="s">
        <v>773</v>
      </c>
      <c r="AQ5" t="s">
        <v>1234</v>
      </c>
      <c r="AR5" s="8">
        <f>AL34+AL30+AL55+AL61+AL81+AL82</f>
        <v>77311.713333333348</v>
      </c>
      <c r="AS5" s="49">
        <f>AR5/AO3</f>
        <v>3.1041831548471788E-2</v>
      </c>
    </row>
    <row r="6" spans="1:46" s="5" customFormat="1" x14ac:dyDescent="0.2">
      <c r="A6" s="6" t="s">
        <v>773</v>
      </c>
      <c r="B6" s="6" t="s">
        <v>773</v>
      </c>
      <c r="C6" s="6" t="s">
        <v>773</v>
      </c>
      <c r="D6" s="5" t="s">
        <v>1204</v>
      </c>
      <c r="E6" s="5" t="s">
        <v>0</v>
      </c>
      <c r="G6" s="6">
        <v>1000000</v>
      </c>
      <c r="H6" s="6">
        <v>3806</v>
      </c>
      <c r="I6" s="17">
        <v>135.9</v>
      </c>
      <c r="J6" s="17">
        <v>102.6</v>
      </c>
      <c r="K6" s="6"/>
      <c r="L6" s="7"/>
      <c r="M6" s="7"/>
      <c r="N6" s="7"/>
      <c r="O6" s="6">
        <v>4239.8</v>
      </c>
      <c r="P6" s="6">
        <v>4147.7</v>
      </c>
      <c r="Q6" s="6">
        <v>4325.3</v>
      </c>
      <c r="R6" s="6">
        <v>4230.5</v>
      </c>
      <c r="S6" s="6">
        <v>3898.1</v>
      </c>
      <c r="T6" s="6">
        <v>3829.1</v>
      </c>
      <c r="U6" s="6">
        <v>4391.6000000000004</v>
      </c>
      <c r="V6" s="6">
        <v>3852.4</v>
      </c>
      <c r="W6" s="6">
        <v>4209.2</v>
      </c>
      <c r="X6" s="6">
        <v>4180.1000000000004</v>
      </c>
      <c r="Y6" s="6">
        <v>3994.3</v>
      </c>
      <c r="Z6" s="6">
        <v>3673.3</v>
      </c>
      <c r="AA6" s="6">
        <v>3700.1</v>
      </c>
      <c r="AB6" s="7"/>
      <c r="AC6" s="6">
        <v>3669</v>
      </c>
      <c r="AD6" s="6">
        <v>3706</v>
      </c>
      <c r="AE6" s="6">
        <v>3904</v>
      </c>
      <c r="AF6" s="6">
        <v>3806</v>
      </c>
      <c r="AG6" s="50" t="s">
        <v>773</v>
      </c>
      <c r="AH6" s="50" t="s">
        <v>773</v>
      </c>
      <c r="AI6" s="50" t="s">
        <v>773</v>
      </c>
      <c r="AJ6" s="50" t="s">
        <v>773</v>
      </c>
      <c r="AK6" s="53">
        <v>9.5833333333333326E-2</v>
      </c>
      <c r="AL6" s="54">
        <f>(2+(18/60))*AF6</f>
        <v>8753.7999999999993</v>
      </c>
      <c r="AM6" s="6" t="s">
        <v>773</v>
      </c>
      <c r="AQ6" t="s">
        <v>1247</v>
      </c>
      <c r="AR6" s="8">
        <f>AL12</f>
        <v>64767.600000000006</v>
      </c>
      <c r="AS6" s="62">
        <f>AR6/AO3</f>
        <v>2.6005178805576436E-2</v>
      </c>
    </row>
    <row r="7" spans="1:46" s="5" customFormat="1" x14ac:dyDescent="0.2">
      <c r="A7" s="6">
        <v>99</v>
      </c>
      <c r="B7" s="6">
        <v>85</v>
      </c>
      <c r="C7" s="6">
        <v>121</v>
      </c>
      <c r="D7" s="5" t="s">
        <v>84</v>
      </c>
      <c r="E7" s="5" t="s">
        <v>0</v>
      </c>
      <c r="F7" s="5" t="s">
        <v>1237</v>
      </c>
      <c r="G7" s="6">
        <v>1000000</v>
      </c>
      <c r="H7" s="6">
        <v>364.7</v>
      </c>
      <c r="I7" s="17">
        <v>13.02</v>
      </c>
      <c r="J7" s="17">
        <v>6.7720000000000002</v>
      </c>
      <c r="K7" s="6"/>
      <c r="L7" s="7"/>
      <c r="M7" s="7"/>
      <c r="N7" s="7"/>
      <c r="O7" s="6">
        <v>471.5</v>
      </c>
      <c r="P7" s="6">
        <v>482.7</v>
      </c>
      <c r="Q7" s="6">
        <v>460.5</v>
      </c>
      <c r="R7" s="6">
        <v>508.3</v>
      </c>
      <c r="S7" s="6">
        <v>470.1</v>
      </c>
      <c r="T7" s="6">
        <v>422.6</v>
      </c>
      <c r="U7" s="6">
        <v>455.2</v>
      </c>
      <c r="V7" s="6">
        <v>455.5</v>
      </c>
      <c r="W7" s="6">
        <v>504.2</v>
      </c>
      <c r="X7" s="6">
        <v>546.4</v>
      </c>
      <c r="Y7" s="6">
        <v>504.9</v>
      </c>
      <c r="Z7" s="6">
        <v>501</v>
      </c>
      <c r="AA7" s="6">
        <v>553.79999999999995</v>
      </c>
      <c r="AB7" s="7"/>
      <c r="AC7" s="6">
        <v>317.7</v>
      </c>
      <c r="AD7" s="6">
        <v>352.7</v>
      </c>
      <c r="AE7" s="6">
        <v>352.3</v>
      </c>
      <c r="AF7" s="6">
        <v>364.7</v>
      </c>
      <c r="AG7" s="6" t="s">
        <v>773</v>
      </c>
      <c r="AH7" s="6">
        <v>366.3</v>
      </c>
      <c r="AI7" s="6" t="s">
        <v>773</v>
      </c>
      <c r="AJ7" s="6" t="s">
        <v>773</v>
      </c>
      <c r="AK7" s="53">
        <v>0.23680555555555557</v>
      </c>
      <c r="AL7" s="54">
        <f>(5+(41/60))*AH7</f>
        <v>2081.8050000000003</v>
      </c>
      <c r="AM7" s="6" t="s">
        <v>773</v>
      </c>
      <c r="AT7" s="5" t="s">
        <v>479</v>
      </c>
    </row>
    <row r="8" spans="1:46" s="5" customFormat="1" x14ac:dyDescent="0.2">
      <c r="A8" s="6">
        <v>494</v>
      </c>
      <c r="B8" s="6"/>
      <c r="C8" s="6"/>
      <c r="D8" s="5" t="s">
        <v>345</v>
      </c>
      <c r="E8" s="5" t="s">
        <v>0</v>
      </c>
      <c r="G8" s="6"/>
      <c r="H8" s="6"/>
      <c r="I8" s="17"/>
      <c r="J8" s="17"/>
      <c r="K8" s="6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6">
        <v>24.87</v>
      </c>
      <c r="AD8" s="6" t="s">
        <v>773</v>
      </c>
      <c r="AE8" s="6" t="s">
        <v>773</v>
      </c>
      <c r="AF8" s="6" t="s">
        <v>773</v>
      </c>
      <c r="AG8" s="6" t="s">
        <v>773</v>
      </c>
      <c r="AH8" s="6" t="s">
        <v>773</v>
      </c>
      <c r="AI8" s="6" t="s">
        <v>773</v>
      </c>
      <c r="AJ8" s="6" t="s">
        <v>773</v>
      </c>
      <c r="AK8" s="53"/>
      <c r="AL8" s="54"/>
      <c r="AM8" s="6" t="s">
        <v>773</v>
      </c>
    </row>
    <row r="9" spans="1:46" s="5" customFormat="1" x14ac:dyDescent="0.2">
      <c r="A9" s="6">
        <v>955</v>
      </c>
      <c r="B9" s="6">
        <v>955</v>
      </c>
      <c r="C9" s="6">
        <v>1069</v>
      </c>
      <c r="D9" s="5" t="s">
        <v>1180</v>
      </c>
      <c r="E9" s="5" t="s">
        <v>0</v>
      </c>
      <c r="G9" s="6"/>
      <c r="H9" s="17">
        <v>31.03</v>
      </c>
      <c r="I9" s="17"/>
      <c r="J9" s="69"/>
      <c r="K9" s="17"/>
      <c r="L9" s="7"/>
      <c r="M9" s="7"/>
      <c r="N9" s="7"/>
      <c r="O9" s="6">
        <v>12.3</v>
      </c>
      <c r="P9" s="6">
        <v>15.1</v>
      </c>
      <c r="Q9" s="6">
        <v>12.8</v>
      </c>
      <c r="R9" s="6">
        <v>11.5</v>
      </c>
      <c r="S9" s="6">
        <v>11.6</v>
      </c>
      <c r="T9" s="6">
        <v>12.7</v>
      </c>
      <c r="U9" s="6">
        <v>10.7</v>
      </c>
      <c r="V9" s="6">
        <v>10.8</v>
      </c>
      <c r="W9" s="6">
        <v>12.1</v>
      </c>
      <c r="X9" s="6">
        <v>13.3</v>
      </c>
      <c r="Y9" s="6">
        <v>13.5</v>
      </c>
      <c r="Z9" s="6">
        <v>11.5</v>
      </c>
      <c r="AA9" s="6">
        <v>7.6</v>
      </c>
      <c r="AB9" s="7"/>
      <c r="AC9" s="50">
        <v>30.13</v>
      </c>
      <c r="AD9" s="6" t="s">
        <v>773</v>
      </c>
      <c r="AE9" s="7" t="s">
        <v>773</v>
      </c>
      <c r="AF9" s="50" t="s">
        <v>773</v>
      </c>
      <c r="AG9" s="50">
        <v>31.03</v>
      </c>
      <c r="AH9" s="50" t="s">
        <v>773</v>
      </c>
      <c r="AI9" s="50" t="s">
        <v>773</v>
      </c>
      <c r="AJ9" s="6" t="s">
        <v>773</v>
      </c>
      <c r="AK9" s="75">
        <v>0.33124999999999999</v>
      </c>
    </row>
    <row r="10" spans="1:46" s="3" customFormat="1" x14ac:dyDescent="0.2">
      <c r="A10" s="4">
        <f>A3+1</f>
        <v>2</v>
      </c>
      <c r="B10" s="4">
        <v>2</v>
      </c>
      <c r="C10" s="4">
        <v>2</v>
      </c>
      <c r="D10" s="3" t="s">
        <v>20</v>
      </c>
      <c r="E10" s="3" t="s">
        <v>0</v>
      </c>
      <c r="G10" s="4">
        <v>1000000</v>
      </c>
      <c r="H10" s="4">
        <v>30210</v>
      </c>
      <c r="I10" s="58">
        <v>1079</v>
      </c>
      <c r="J10" s="58">
        <v>423.1</v>
      </c>
      <c r="K10" s="4"/>
      <c r="L10" s="9" t="s">
        <v>13</v>
      </c>
      <c r="M10" s="9" t="s">
        <v>16</v>
      </c>
      <c r="N10" s="9"/>
      <c r="O10" s="4">
        <v>114876</v>
      </c>
      <c r="P10" s="4">
        <v>112090</v>
      </c>
      <c r="Q10" s="4">
        <v>117336</v>
      </c>
      <c r="R10" s="4">
        <v>112896</v>
      </c>
      <c r="S10" s="4">
        <v>109798</v>
      </c>
      <c r="T10" s="4">
        <v>103226</v>
      </c>
      <c r="U10" s="4">
        <v>112065</v>
      </c>
      <c r="V10" s="4">
        <v>110504</v>
      </c>
      <c r="W10" s="4">
        <v>115724</v>
      </c>
      <c r="X10" s="4">
        <v>117414</v>
      </c>
      <c r="Y10" s="4">
        <v>117029</v>
      </c>
      <c r="Z10" s="4">
        <v>108121</v>
      </c>
      <c r="AA10" s="4">
        <v>113441</v>
      </c>
      <c r="AB10" s="9"/>
      <c r="AC10" s="4">
        <v>27310</v>
      </c>
      <c r="AD10" s="4">
        <v>30890</v>
      </c>
      <c r="AE10" s="4">
        <v>29630</v>
      </c>
      <c r="AF10" s="4">
        <v>30780</v>
      </c>
      <c r="AG10" s="4">
        <v>30760</v>
      </c>
      <c r="AH10" s="4">
        <v>30740</v>
      </c>
      <c r="AI10" s="4" t="s">
        <v>773</v>
      </c>
      <c r="AJ10" s="4" t="s">
        <v>773</v>
      </c>
      <c r="AK10" s="23">
        <v>0.84930555555555554</v>
      </c>
      <c r="AL10" s="66">
        <f>(20+(23/60))*AH10</f>
        <v>626583.66666666663</v>
      </c>
      <c r="AM10" s="3">
        <v>2005</v>
      </c>
      <c r="AQ10" s="3" t="s">
        <v>7</v>
      </c>
      <c r="AR10" s="47">
        <f>AL27+AL24+AL39+AL49+AL36+AL33+AL64</f>
        <v>54671.418333333342</v>
      </c>
      <c r="AS10" s="80">
        <f>AR10/AO3</f>
        <v>2.1951407946454754E-2</v>
      </c>
    </row>
    <row r="11" spans="1:46" s="5" customFormat="1" x14ac:dyDescent="0.2">
      <c r="A11" s="6">
        <v>123</v>
      </c>
      <c r="B11" s="6" t="s">
        <v>773</v>
      </c>
      <c r="C11" s="6" t="s">
        <v>773</v>
      </c>
      <c r="D11" s="5" t="s">
        <v>196</v>
      </c>
      <c r="E11" s="5" t="s">
        <v>0</v>
      </c>
      <c r="G11" s="6"/>
      <c r="H11" s="6"/>
      <c r="I11" s="59"/>
      <c r="J11" s="59"/>
      <c r="K11" s="6"/>
      <c r="L11" s="7"/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6">
        <v>244.8</v>
      </c>
      <c r="AD11" s="6" t="s">
        <v>773</v>
      </c>
      <c r="AE11" s="6" t="s">
        <v>773</v>
      </c>
      <c r="AF11" s="6" t="s">
        <v>773</v>
      </c>
      <c r="AG11" s="6" t="s">
        <v>773</v>
      </c>
      <c r="AH11" s="6" t="s">
        <v>773</v>
      </c>
      <c r="AI11" s="6" t="s">
        <v>773</v>
      </c>
      <c r="AJ11" s="6" t="s">
        <v>773</v>
      </c>
      <c r="AK11" s="53"/>
      <c r="AL11" s="74"/>
      <c r="AR11" s="54"/>
      <c r="AS11" s="62"/>
    </row>
    <row r="12" spans="1:46" x14ac:dyDescent="0.2">
      <c r="A12" s="2" t="s">
        <v>1479</v>
      </c>
      <c r="B12" s="2">
        <v>3</v>
      </c>
      <c r="C12" s="2">
        <v>5</v>
      </c>
      <c r="D12" t="s">
        <v>24</v>
      </c>
      <c r="E12" t="s">
        <v>4</v>
      </c>
      <c r="G12" s="2">
        <v>20000</v>
      </c>
      <c r="H12" s="2">
        <v>5910</v>
      </c>
      <c r="I12" s="57">
        <v>211</v>
      </c>
      <c r="J12" s="57">
        <v>113.1</v>
      </c>
      <c r="L12" s="1" t="s">
        <v>12</v>
      </c>
      <c r="M12" s="1" t="s">
        <v>16</v>
      </c>
      <c r="O12" s="2">
        <v>8501</v>
      </c>
      <c r="P12" s="2">
        <v>9142</v>
      </c>
      <c r="Q12" s="2">
        <v>8528</v>
      </c>
      <c r="R12" s="2">
        <v>8441</v>
      </c>
      <c r="S12" s="2">
        <v>8209</v>
      </c>
      <c r="T12" s="2">
        <v>8315</v>
      </c>
      <c r="U12" s="2">
        <v>9570</v>
      </c>
      <c r="V12" s="2">
        <v>9981</v>
      </c>
      <c r="W12" s="2">
        <v>10429</v>
      </c>
      <c r="X12" s="2">
        <v>10822</v>
      </c>
      <c r="Y12" s="2">
        <v>9815</v>
      </c>
      <c r="Z12" s="2">
        <v>9439</v>
      </c>
      <c r="AA12" s="2">
        <v>10206</v>
      </c>
      <c r="AC12" s="2">
        <v>952.5</v>
      </c>
      <c r="AD12" s="2">
        <v>5762</v>
      </c>
      <c r="AE12" s="2">
        <v>5494</v>
      </c>
      <c r="AF12" s="2">
        <v>5898</v>
      </c>
      <c r="AG12" s="2">
        <v>5927</v>
      </c>
      <c r="AH12" s="2">
        <v>5997</v>
      </c>
      <c r="AI12" s="2" t="s">
        <v>773</v>
      </c>
      <c r="AJ12" s="2" t="s">
        <v>773</v>
      </c>
      <c r="AK12" s="19">
        <v>0.45</v>
      </c>
      <c r="AL12" s="60">
        <f>(10+(48/60))*AH12</f>
        <v>64767.600000000006</v>
      </c>
      <c r="AM12">
        <v>2006</v>
      </c>
      <c r="AO12" s="8"/>
      <c r="AP12" s="49"/>
      <c r="AQ12" t="s">
        <v>1235</v>
      </c>
      <c r="AR12" s="8">
        <f>AL17</f>
        <v>13669.250000000002</v>
      </c>
      <c r="AS12" s="49">
        <f>AR12/$AO$3</f>
        <v>5.488412267678989E-3</v>
      </c>
    </row>
    <row r="13" spans="1:46" x14ac:dyDescent="0.2">
      <c r="D13" t="s">
        <v>1336</v>
      </c>
      <c r="E13" t="s">
        <v>4</v>
      </c>
      <c r="G13" s="2">
        <v>20000</v>
      </c>
      <c r="I13" s="57"/>
      <c r="J13" s="57"/>
      <c r="M13" s="1" t="s">
        <v>16</v>
      </c>
      <c r="O13" s="2">
        <v>1010</v>
      </c>
      <c r="P13" s="2">
        <v>1171</v>
      </c>
      <c r="Q13" s="2">
        <v>1135</v>
      </c>
      <c r="R13" s="2">
        <v>1028</v>
      </c>
      <c r="S13" s="2">
        <v>751</v>
      </c>
      <c r="T13" s="2">
        <v>247</v>
      </c>
      <c r="U13" s="2">
        <v>23.39</v>
      </c>
      <c r="V13" s="2">
        <v>0.3</v>
      </c>
      <c r="W13" s="2">
        <v>0.4</v>
      </c>
      <c r="X13" s="2">
        <v>1.1000000000000001</v>
      </c>
      <c r="Y13" s="2">
        <v>0.4</v>
      </c>
      <c r="Z13" s="2">
        <v>0.4</v>
      </c>
      <c r="AA13" s="2">
        <v>0.4</v>
      </c>
      <c r="AC13" s="2">
        <v>12800</v>
      </c>
      <c r="AD13" s="6" t="s">
        <v>773</v>
      </c>
      <c r="AE13" s="6" t="s">
        <v>773</v>
      </c>
      <c r="AF13" s="6" t="s">
        <v>773</v>
      </c>
      <c r="AG13" s="6" t="s">
        <v>773</v>
      </c>
      <c r="AH13" s="6" t="s">
        <v>773</v>
      </c>
      <c r="AI13" s="6" t="s">
        <v>773</v>
      </c>
      <c r="AJ13" s="6" t="s">
        <v>773</v>
      </c>
      <c r="AK13" s="19"/>
      <c r="AL13" s="60"/>
      <c r="AO13" s="8"/>
      <c r="AP13" s="49"/>
      <c r="AR13" s="8"/>
      <c r="AS13" s="49"/>
    </row>
    <row r="14" spans="1:46" x14ac:dyDescent="0.2">
      <c r="D14" t="s">
        <v>1337</v>
      </c>
      <c r="E14" t="s">
        <v>4</v>
      </c>
      <c r="G14" s="2">
        <v>20000</v>
      </c>
      <c r="I14" s="57"/>
      <c r="J14" s="57"/>
      <c r="M14" s="1" t="s">
        <v>16</v>
      </c>
      <c r="O14" s="2">
        <f t="shared" ref="O14:AA14" si="0">SUM(O12:O13)</f>
        <v>9511</v>
      </c>
      <c r="P14" s="2">
        <f t="shared" si="0"/>
        <v>10313</v>
      </c>
      <c r="Q14" s="2">
        <f t="shared" si="0"/>
        <v>9663</v>
      </c>
      <c r="R14" s="2">
        <f t="shared" si="0"/>
        <v>9469</v>
      </c>
      <c r="S14" s="2">
        <f t="shared" si="0"/>
        <v>8960</v>
      </c>
      <c r="T14" s="2">
        <f t="shared" si="0"/>
        <v>8562</v>
      </c>
      <c r="U14" s="2">
        <f t="shared" si="0"/>
        <v>9593.39</v>
      </c>
      <c r="V14" s="2">
        <f t="shared" si="0"/>
        <v>9981.2999999999993</v>
      </c>
      <c r="W14" s="2">
        <f t="shared" si="0"/>
        <v>10429.4</v>
      </c>
      <c r="X14" s="2">
        <f t="shared" si="0"/>
        <v>10823.1</v>
      </c>
      <c r="Y14" s="2">
        <f t="shared" si="0"/>
        <v>9815.4</v>
      </c>
      <c r="Z14" s="2">
        <f t="shared" si="0"/>
        <v>9439.4</v>
      </c>
      <c r="AA14" s="2">
        <f t="shared" si="0"/>
        <v>10206.4</v>
      </c>
      <c r="AC14" s="2">
        <f>AC13+AC12</f>
        <v>13752.5</v>
      </c>
      <c r="AD14" s="6" t="s">
        <v>773</v>
      </c>
      <c r="AE14" s="6" t="s">
        <v>773</v>
      </c>
      <c r="AF14" s="6" t="s">
        <v>773</v>
      </c>
      <c r="AG14" s="6" t="s">
        <v>773</v>
      </c>
      <c r="AH14" s="6" t="s">
        <v>773</v>
      </c>
      <c r="AI14" s="6" t="s">
        <v>773</v>
      </c>
      <c r="AJ14" s="6" t="s">
        <v>773</v>
      </c>
      <c r="AK14" s="19"/>
      <c r="AL14" s="60"/>
      <c r="AO14" s="8"/>
      <c r="AP14" s="49"/>
      <c r="AR14" s="8"/>
      <c r="AS14" s="49"/>
    </row>
    <row r="15" spans="1:46" x14ac:dyDescent="0.2">
      <c r="A15" s="2">
        <v>4</v>
      </c>
      <c r="B15" s="2">
        <v>4</v>
      </c>
      <c r="C15" s="2">
        <v>12</v>
      </c>
      <c r="D15" t="s">
        <v>22</v>
      </c>
      <c r="E15" t="s">
        <v>2</v>
      </c>
      <c r="G15" s="2">
        <v>1000000</v>
      </c>
      <c r="H15" s="2">
        <v>2096</v>
      </c>
      <c r="I15" s="57">
        <v>74.86</v>
      </c>
      <c r="J15" s="57">
        <v>50.16</v>
      </c>
      <c r="M15" s="1" t="s">
        <v>16</v>
      </c>
      <c r="O15" s="2">
        <v>4429.8999999999996</v>
      </c>
      <c r="P15" s="2">
        <v>4765.8</v>
      </c>
      <c r="Q15" s="2">
        <v>4679.8</v>
      </c>
      <c r="R15" s="2">
        <v>4168.1000000000004</v>
      </c>
      <c r="S15" s="2">
        <v>3842.9</v>
      </c>
      <c r="T15" s="2">
        <v>3801.4</v>
      </c>
      <c r="U15" s="2">
        <v>4234.6000000000004</v>
      </c>
      <c r="V15" s="2">
        <v>3911.1</v>
      </c>
      <c r="W15" s="2">
        <v>4317.8999999999996</v>
      </c>
      <c r="X15" s="2">
        <v>4338.8</v>
      </c>
      <c r="Y15" s="2">
        <v>4590.2</v>
      </c>
      <c r="Z15" s="2">
        <v>4032.7</v>
      </c>
      <c r="AA15" s="2">
        <v>4393.6000000000004</v>
      </c>
      <c r="AC15" s="2">
        <v>2646</v>
      </c>
      <c r="AD15" s="2">
        <v>2381</v>
      </c>
      <c r="AE15" s="2">
        <v>2195</v>
      </c>
      <c r="AF15" s="2">
        <v>2223</v>
      </c>
      <c r="AG15" s="2">
        <v>2340</v>
      </c>
      <c r="AH15" s="2">
        <v>2318</v>
      </c>
      <c r="AI15" s="2" t="s">
        <v>773</v>
      </c>
      <c r="AJ15" s="2" t="s">
        <v>773</v>
      </c>
      <c r="AK15" s="19">
        <v>0.3125</v>
      </c>
      <c r="AL15" s="60">
        <f>(7+(35/60))*AH15</f>
        <v>17578.166666666664</v>
      </c>
      <c r="AM15">
        <v>1994</v>
      </c>
      <c r="AQ15" t="s">
        <v>1236</v>
      </c>
      <c r="AR15" s="8">
        <f>AL63</f>
        <v>7260.6333333333332</v>
      </c>
      <c r="AS15" s="49">
        <f>AR15/$AO$3</f>
        <v>2.9152549743245351E-3</v>
      </c>
    </row>
    <row r="16" spans="1:46" x14ac:dyDescent="0.2">
      <c r="A16" s="2">
        <v>5</v>
      </c>
      <c r="B16" s="2">
        <v>3</v>
      </c>
      <c r="C16" s="2">
        <v>3</v>
      </c>
      <c r="D16" t="s">
        <v>21</v>
      </c>
      <c r="E16" t="s">
        <v>1</v>
      </c>
      <c r="G16" s="2">
        <v>500000</v>
      </c>
      <c r="H16" s="2">
        <v>15740</v>
      </c>
      <c r="I16" s="57">
        <v>562.1</v>
      </c>
      <c r="J16" s="57">
        <v>277.60000000000002</v>
      </c>
      <c r="L16" s="1" t="s">
        <v>11</v>
      </c>
      <c r="M16" s="1" t="s">
        <v>16</v>
      </c>
      <c r="O16" s="2">
        <v>18400</v>
      </c>
      <c r="P16" s="2">
        <v>17956</v>
      </c>
      <c r="Q16" s="2">
        <v>18697</v>
      </c>
      <c r="R16" s="2">
        <v>18860</v>
      </c>
      <c r="S16" s="2">
        <v>16779</v>
      </c>
      <c r="T16" s="2">
        <v>15659</v>
      </c>
      <c r="U16" s="2">
        <v>17114</v>
      </c>
      <c r="V16" s="2">
        <v>16577</v>
      </c>
      <c r="W16" s="2">
        <v>18691</v>
      </c>
      <c r="X16" s="2">
        <v>19235</v>
      </c>
      <c r="Y16" s="2">
        <v>19734</v>
      </c>
      <c r="Z16" s="2">
        <v>18514</v>
      </c>
      <c r="AA16" s="2">
        <v>18499</v>
      </c>
      <c r="AC16" s="2">
        <v>11620</v>
      </c>
      <c r="AD16" s="2">
        <v>15170</v>
      </c>
      <c r="AE16" s="2">
        <v>15130</v>
      </c>
      <c r="AF16" s="2">
        <v>15710</v>
      </c>
      <c r="AG16" s="2">
        <v>15730</v>
      </c>
      <c r="AH16" s="2">
        <v>15760</v>
      </c>
      <c r="AI16" s="2" t="s">
        <v>773</v>
      </c>
      <c r="AJ16" s="2" t="s">
        <v>773</v>
      </c>
      <c r="AK16" s="19">
        <v>0.44305555555555554</v>
      </c>
      <c r="AL16" s="60">
        <f>(10+(38/60))*AH16</f>
        <v>167581.33333333331</v>
      </c>
      <c r="AM16">
        <v>2004</v>
      </c>
      <c r="AO16" s="8"/>
      <c r="AP16" s="49"/>
      <c r="AQ16" t="s">
        <v>2</v>
      </c>
      <c r="AR16" s="8">
        <f>AL15+AL67+AL66</f>
        <v>28236.23333333333</v>
      </c>
      <c r="AS16" s="49">
        <f t="shared" ref="AS16:AS344" si="1">AR16/$AO$3</f>
        <v>1.1337278154961905E-2</v>
      </c>
    </row>
    <row r="17" spans="1:47" x14ac:dyDescent="0.2">
      <c r="A17" s="2">
        <v>6</v>
      </c>
      <c r="B17" s="2">
        <v>10</v>
      </c>
      <c r="C17" s="2">
        <v>17</v>
      </c>
      <c r="D17" t="s">
        <v>27</v>
      </c>
      <c r="E17" t="s">
        <v>6</v>
      </c>
      <c r="G17" s="2">
        <v>15000</v>
      </c>
      <c r="H17" s="2">
        <v>1555</v>
      </c>
      <c r="I17" s="57">
        <v>55.53</v>
      </c>
      <c r="J17" s="57">
        <v>29.72</v>
      </c>
      <c r="M17" s="1" t="s">
        <v>16</v>
      </c>
      <c r="O17" s="27">
        <v>7049.4679999999998</v>
      </c>
      <c r="P17" s="27">
        <v>7231</v>
      </c>
      <c r="Q17" s="27">
        <v>7091</v>
      </c>
      <c r="R17" s="27">
        <v>7236</v>
      </c>
      <c r="S17" s="27">
        <v>6833</v>
      </c>
      <c r="T17" s="27">
        <v>6218</v>
      </c>
      <c r="U17" s="27">
        <v>6443</v>
      </c>
      <c r="V17" s="27">
        <v>5976</v>
      </c>
      <c r="W17" s="27">
        <v>6607</v>
      </c>
      <c r="X17" s="27">
        <v>7058</v>
      </c>
      <c r="Y17" s="27">
        <v>6876</v>
      </c>
      <c r="Z17" s="27">
        <v>6420</v>
      </c>
      <c r="AA17" s="27">
        <v>7010</v>
      </c>
      <c r="AC17" s="2">
        <v>3223</v>
      </c>
      <c r="AD17" s="2">
        <v>1963</v>
      </c>
      <c r="AE17" s="2">
        <v>1699</v>
      </c>
      <c r="AF17" s="2">
        <v>1686</v>
      </c>
      <c r="AG17" s="2">
        <v>1636</v>
      </c>
      <c r="AH17" s="2">
        <v>1605</v>
      </c>
      <c r="AI17" s="2" t="s">
        <v>773</v>
      </c>
      <c r="AJ17" s="2" t="s">
        <v>773</v>
      </c>
      <c r="AK17" s="19">
        <v>0.35486111111111113</v>
      </c>
      <c r="AL17" s="60">
        <f>(8+(31/60))*AH17</f>
        <v>13669.250000000002</v>
      </c>
      <c r="AM17">
        <v>2005</v>
      </c>
    </row>
    <row r="18" spans="1:47" x14ac:dyDescent="0.2">
      <c r="A18" s="2">
        <v>7</v>
      </c>
      <c r="B18" s="2">
        <v>5</v>
      </c>
      <c r="C18" s="2">
        <v>8</v>
      </c>
      <c r="D18" s="3" t="s">
        <v>23</v>
      </c>
      <c r="E18" s="3" t="s">
        <v>723</v>
      </c>
      <c r="F18" s="3"/>
      <c r="G18" s="4">
        <v>4400</v>
      </c>
      <c r="H18" s="4">
        <v>2989</v>
      </c>
      <c r="I18" s="58">
        <v>106.7</v>
      </c>
      <c r="J18" s="57">
        <v>56.75</v>
      </c>
      <c r="M18" s="1" t="s">
        <v>16</v>
      </c>
      <c r="O18" s="2">
        <v>4189.2</v>
      </c>
      <c r="P18" s="2">
        <v>4023.1</v>
      </c>
      <c r="Q18" s="2">
        <v>4150.1000000000004</v>
      </c>
      <c r="R18" s="2">
        <v>4298.3999999999996</v>
      </c>
      <c r="S18" s="2">
        <v>4262.2</v>
      </c>
      <c r="T18" s="2">
        <v>3773.5</v>
      </c>
      <c r="U18" s="2">
        <v>4191.5</v>
      </c>
      <c r="V18" s="2">
        <v>4533.3</v>
      </c>
      <c r="W18" s="2">
        <v>5092.7</v>
      </c>
      <c r="X18" s="2">
        <v>5225.8</v>
      </c>
      <c r="Y18" s="2">
        <v>5512.9</v>
      </c>
      <c r="Z18" s="2">
        <v>5102.6000000000004</v>
      </c>
      <c r="AA18" s="2">
        <v>5550.2</v>
      </c>
      <c r="AC18" s="2">
        <v>3237</v>
      </c>
      <c r="AD18" s="2">
        <v>3174</v>
      </c>
      <c r="AE18" s="2">
        <v>3413</v>
      </c>
      <c r="AF18" s="2">
        <v>3476</v>
      </c>
      <c r="AG18" s="2">
        <v>3346</v>
      </c>
      <c r="AH18" s="2">
        <v>3203</v>
      </c>
      <c r="AI18" s="2" t="s">
        <v>773</v>
      </c>
      <c r="AJ18" s="2" t="s">
        <v>773</v>
      </c>
      <c r="AK18" s="19">
        <v>0.39166666666666666</v>
      </c>
      <c r="AL18" s="8">
        <f>(8+(49/60))*AH18</f>
        <v>28239.783333333333</v>
      </c>
      <c r="AM18">
        <v>1995</v>
      </c>
      <c r="AO18" s="8"/>
      <c r="AP18" s="49"/>
      <c r="AQ18" t="s">
        <v>1238</v>
      </c>
      <c r="AR18" s="8">
        <f>AL57</f>
        <v>5602.9</v>
      </c>
      <c r="AS18" s="49">
        <f>AR18/$AO$3</f>
        <v>2.2496497682446808E-3</v>
      </c>
    </row>
    <row r="19" spans="1:47" s="5" customFormat="1" x14ac:dyDescent="0.2">
      <c r="A19" s="6">
        <v>122</v>
      </c>
      <c r="B19" s="6">
        <v>121</v>
      </c>
      <c r="C19" s="6">
        <v>191</v>
      </c>
      <c r="D19" s="5" t="s">
        <v>117</v>
      </c>
      <c r="E19" s="5" t="s">
        <v>3</v>
      </c>
      <c r="F19" s="5" t="s">
        <v>1237</v>
      </c>
      <c r="G19" s="6">
        <v>5000</v>
      </c>
      <c r="H19" s="6">
        <v>247.1</v>
      </c>
      <c r="I19" s="17">
        <v>8.8260000000000005</v>
      </c>
      <c r="J19" s="17">
        <v>6.173</v>
      </c>
      <c r="K19" s="6"/>
      <c r="L19" s="7"/>
      <c r="M19" s="7"/>
      <c r="N19" s="7"/>
      <c r="O19" s="54">
        <v>231.66085699999999</v>
      </c>
      <c r="P19" s="54">
        <v>237.376271</v>
      </c>
      <c r="Q19" s="54">
        <v>198.447181</v>
      </c>
      <c r="R19" s="54">
        <v>307.26507700000002</v>
      </c>
      <c r="S19" s="54">
        <v>271.55150400000002</v>
      </c>
      <c r="T19" s="54">
        <v>207.07722899999999</v>
      </c>
      <c r="U19" s="54">
        <v>163.83543599999999</v>
      </c>
      <c r="V19" s="54">
        <v>221.15690799999999</v>
      </c>
      <c r="W19" s="54">
        <v>231.88516899999999</v>
      </c>
      <c r="X19" s="54">
        <v>233.777952</v>
      </c>
      <c r="Y19" s="54">
        <v>241.191666</v>
      </c>
      <c r="Z19" s="54">
        <v>215.81000299999999</v>
      </c>
      <c r="AA19" s="54">
        <v>228.492806</v>
      </c>
      <c r="AB19" s="7"/>
      <c r="AC19" s="6">
        <v>187.9</v>
      </c>
      <c r="AD19" s="6">
        <v>222.3</v>
      </c>
      <c r="AE19" s="6">
        <v>229.6</v>
      </c>
      <c r="AF19" s="6">
        <v>247.1</v>
      </c>
      <c r="AG19" s="50" t="s">
        <v>773</v>
      </c>
      <c r="AH19" s="6">
        <v>235.2</v>
      </c>
      <c r="AI19" s="6" t="s">
        <v>773</v>
      </c>
      <c r="AJ19" s="6" t="s">
        <v>773</v>
      </c>
      <c r="AK19" s="53">
        <v>0.14444444444444446</v>
      </c>
      <c r="AL19" s="54">
        <f>(3+(28/60))*AH19</f>
        <v>815.36</v>
      </c>
    </row>
    <row r="20" spans="1:47" s="68" customFormat="1" x14ac:dyDescent="0.2">
      <c r="A20" s="67">
        <v>73</v>
      </c>
      <c r="B20" s="67">
        <v>94</v>
      </c>
      <c r="C20" s="67">
        <v>232</v>
      </c>
      <c r="D20" s="68" t="s">
        <v>89</v>
      </c>
      <c r="E20" s="68" t="s">
        <v>3</v>
      </c>
      <c r="F20" s="68" t="s">
        <v>1271</v>
      </c>
      <c r="G20" s="67">
        <v>5000</v>
      </c>
      <c r="H20" s="67">
        <v>199.7</v>
      </c>
      <c r="I20" s="69">
        <v>7.1340000000000003</v>
      </c>
      <c r="J20" s="69">
        <v>3.895</v>
      </c>
      <c r="K20" s="67"/>
      <c r="L20" s="70"/>
      <c r="M20" s="70" t="s">
        <v>16</v>
      </c>
      <c r="N20" s="70"/>
      <c r="O20" s="71">
        <v>239.6</v>
      </c>
      <c r="P20" s="71">
        <v>300.48</v>
      </c>
      <c r="Q20" s="71">
        <v>250.77</v>
      </c>
      <c r="R20" s="71">
        <v>231.7</v>
      </c>
      <c r="S20" s="71">
        <v>203.4</v>
      </c>
      <c r="T20" s="71">
        <v>202.7</v>
      </c>
      <c r="U20" s="71">
        <v>234.7</v>
      </c>
      <c r="V20" s="71">
        <v>241</v>
      </c>
      <c r="W20" s="71">
        <v>288.39999999999998</v>
      </c>
      <c r="X20" s="71">
        <v>277.5</v>
      </c>
      <c r="Y20" s="71">
        <v>311.95</v>
      </c>
      <c r="Z20" s="71">
        <v>261.8</v>
      </c>
      <c r="AA20" s="71">
        <v>281.44</v>
      </c>
      <c r="AB20" s="70"/>
      <c r="AC20" s="67">
        <v>208.4</v>
      </c>
      <c r="AD20" s="67">
        <v>211.6</v>
      </c>
      <c r="AE20" s="67">
        <v>199.7</v>
      </c>
      <c r="AF20" s="67">
        <v>243.4</v>
      </c>
      <c r="AG20" s="67" t="s">
        <v>773</v>
      </c>
      <c r="AH20" s="67">
        <v>205.9</v>
      </c>
      <c r="AI20" s="67" t="s">
        <v>773</v>
      </c>
      <c r="AJ20" s="67" t="s">
        <v>773</v>
      </c>
      <c r="AK20" s="72">
        <v>0.18402777777777779</v>
      </c>
      <c r="AL20" s="73">
        <f>(4+(25/60))*AH20</f>
        <v>909.39166666666677</v>
      </c>
      <c r="AT20"/>
    </row>
    <row r="21" spans="1:47" s="5" customFormat="1" x14ac:dyDescent="0.2">
      <c r="A21" s="6">
        <v>212</v>
      </c>
      <c r="B21" s="6">
        <v>180</v>
      </c>
      <c r="C21" s="6">
        <v>636</v>
      </c>
      <c r="D21" s="5" t="s">
        <v>154</v>
      </c>
      <c r="E21" s="5" t="s">
        <v>3</v>
      </c>
      <c r="G21" s="6">
        <v>5000</v>
      </c>
      <c r="H21" s="6">
        <v>85.49</v>
      </c>
      <c r="I21" s="17">
        <v>3.0529999999999999</v>
      </c>
      <c r="J21" s="17">
        <v>1.9610000000000001</v>
      </c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">
        <v>69.89</v>
      </c>
      <c r="AD21" s="6">
        <v>91.47</v>
      </c>
      <c r="AE21" s="6">
        <v>93.98</v>
      </c>
      <c r="AF21" s="6">
        <v>85.49</v>
      </c>
      <c r="AG21" s="50" t="s">
        <v>773</v>
      </c>
      <c r="AH21" s="6">
        <v>71.12</v>
      </c>
      <c r="AI21" s="50" t="s">
        <v>773</v>
      </c>
      <c r="AJ21" s="50" t="s">
        <v>773</v>
      </c>
      <c r="AK21" s="53">
        <v>9.6527777777777768E-2</v>
      </c>
      <c r="AL21" s="54">
        <f>(2+(19/60))*AH21</f>
        <v>164.76133333333334</v>
      </c>
    </row>
    <row r="22" spans="1:47" x14ac:dyDescent="0.2">
      <c r="A22" s="2">
        <v>8</v>
      </c>
      <c r="B22" s="2">
        <v>7</v>
      </c>
      <c r="C22" s="2">
        <v>4</v>
      </c>
      <c r="D22" t="s">
        <v>25</v>
      </c>
      <c r="E22" t="s">
        <v>1</v>
      </c>
      <c r="G22" s="2">
        <v>500000</v>
      </c>
      <c r="H22" s="2">
        <v>5884</v>
      </c>
      <c r="I22" s="57">
        <v>210.1</v>
      </c>
      <c r="J22" s="57">
        <v>121.4</v>
      </c>
      <c r="M22" s="1" t="s">
        <v>16</v>
      </c>
      <c r="O22" s="2">
        <v>7544.2920000000004</v>
      </c>
      <c r="P22" s="2">
        <v>7628.1379999999999</v>
      </c>
      <c r="Q22" s="2">
        <v>7765.3239999999996</v>
      </c>
      <c r="R22" s="2">
        <v>7434.6930000000002</v>
      </c>
      <c r="S22" s="2">
        <v>6891.8789999999999</v>
      </c>
      <c r="T22" s="2">
        <v>6634.1019999999999</v>
      </c>
      <c r="U22" s="2">
        <v>7193.6540000000005</v>
      </c>
      <c r="V22" s="2">
        <v>6917.21</v>
      </c>
      <c r="W22" s="2">
        <v>7786.6570000000002</v>
      </c>
      <c r="X22" s="2">
        <v>7673.55</v>
      </c>
      <c r="Y22" s="2">
        <v>7548.3580000000002</v>
      </c>
      <c r="Z22" s="2">
        <v>6782.576</v>
      </c>
      <c r="AA22" s="2">
        <v>6995.3159999999998</v>
      </c>
      <c r="AC22" s="2">
        <v>5406</v>
      </c>
      <c r="AD22" s="2">
        <v>6331</v>
      </c>
      <c r="AE22" s="2">
        <v>5980</v>
      </c>
      <c r="AF22" s="2">
        <v>6093</v>
      </c>
      <c r="AG22" s="2">
        <v>6153</v>
      </c>
      <c r="AH22" s="2">
        <v>6141</v>
      </c>
      <c r="AI22" s="2" t="s">
        <v>773</v>
      </c>
      <c r="AJ22" s="2" t="s">
        <v>773</v>
      </c>
      <c r="AK22" s="19">
        <v>0.34583333333333338</v>
      </c>
      <c r="AL22" s="60">
        <f>(8+(18/60))*AH22</f>
        <v>50970.3</v>
      </c>
      <c r="AM22">
        <v>2010</v>
      </c>
      <c r="AQ22" t="s">
        <v>564</v>
      </c>
      <c r="AR22" s="8">
        <f>AL344</f>
        <v>24384.75</v>
      </c>
      <c r="AS22" s="49">
        <f t="shared" si="1"/>
        <v>9.7908488793668428E-3</v>
      </c>
    </row>
    <row r="23" spans="1:47" x14ac:dyDescent="0.2">
      <c r="A23" s="2">
        <v>9</v>
      </c>
      <c r="B23" s="2">
        <v>12</v>
      </c>
      <c r="C23" s="2">
        <v>7</v>
      </c>
      <c r="D23" t="s">
        <v>26</v>
      </c>
      <c r="E23" s="5" t="s">
        <v>5</v>
      </c>
      <c r="F23" s="5"/>
      <c r="G23" s="6">
        <v>0</v>
      </c>
      <c r="H23" s="6">
        <v>4214</v>
      </c>
      <c r="I23" s="59">
        <v>150.5</v>
      </c>
      <c r="J23" s="59">
        <v>110.2</v>
      </c>
      <c r="K23" s="6">
        <v>320.39999999999998</v>
      </c>
      <c r="L23" s="7" t="s">
        <v>11</v>
      </c>
      <c r="M23" s="7" t="s">
        <v>11</v>
      </c>
      <c r="N23" s="7"/>
      <c r="O23" s="2">
        <v>8438.8410000000003</v>
      </c>
      <c r="P23" s="2">
        <v>9029.41</v>
      </c>
      <c r="Q23" s="2">
        <v>8424.1200000000008</v>
      </c>
      <c r="R23" s="2">
        <v>8516.0400000000009</v>
      </c>
      <c r="S23" s="2">
        <v>8427.4079999999994</v>
      </c>
      <c r="T23" s="2">
        <v>7952.1090000000004</v>
      </c>
      <c r="U23" s="2">
        <v>8774.4770000000008</v>
      </c>
      <c r="V23" s="2">
        <v>8476.2950000000001</v>
      </c>
      <c r="W23" s="2">
        <v>9625.5239999999994</v>
      </c>
      <c r="X23" s="2">
        <v>9472.3459999999995</v>
      </c>
      <c r="Y23" s="2">
        <v>9750.4869999999992</v>
      </c>
      <c r="Z23" s="2">
        <v>9250.7739999999994</v>
      </c>
      <c r="AA23" s="2">
        <v>9994.43</v>
      </c>
      <c r="AB23" s="7"/>
      <c r="AC23" s="6">
        <v>3551</v>
      </c>
      <c r="AD23" s="6">
        <v>3960</v>
      </c>
      <c r="AE23" s="6">
        <v>4056</v>
      </c>
      <c r="AF23" s="6">
        <v>4000</v>
      </c>
      <c r="AG23" s="6">
        <v>3988</v>
      </c>
      <c r="AH23" s="6">
        <v>4022</v>
      </c>
      <c r="AI23" s="2" t="s">
        <v>773</v>
      </c>
      <c r="AJ23" s="2" t="s">
        <v>773</v>
      </c>
      <c r="AK23" s="19">
        <v>0.16111111111111112</v>
      </c>
      <c r="AL23" s="8">
        <f>(3+(52/60))*AH23</f>
        <v>15551.733333333334</v>
      </c>
      <c r="AM23">
        <v>2001</v>
      </c>
      <c r="AO23" s="8"/>
      <c r="AP23" s="49"/>
    </row>
    <row r="24" spans="1:47" x14ac:dyDescent="0.2">
      <c r="A24" s="2">
        <v>10</v>
      </c>
      <c r="B24" s="2">
        <v>17</v>
      </c>
      <c r="C24" s="2">
        <v>20</v>
      </c>
      <c r="D24" t="s">
        <v>34</v>
      </c>
      <c r="E24" t="s">
        <v>7</v>
      </c>
      <c r="G24" s="2">
        <v>2000000</v>
      </c>
      <c r="H24" s="2">
        <v>1514</v>
      </c>
      <c r="I24" s="57">
        <v>54.08</v>
      </c>
      <c r="J24" s="57">
        <v>31.73</v>
      </c>
      <c r="L24" s="1" t="s">
        <v>736</v>
      </c>
      <c r="M24" s="1" t="s">
        <v>16</v>
      </c>
      <c r="O24" s="2">
        <v>1697</v>
      </c>
      <c r="P24" s="2">
        <v>1585</v>
      </c>
      <c r="Q24" s="2">
        <v>1704</v>
      </c>
      <c r="R24" s="2">
        <v>1703</v>
      </c>
      <c r="S24" s="2">
        <v>1683</v>
      </c>
      <c r="T24" s="2">
        <v>1584</v>
      </c>
      <c r="U24" s="2">
        <v>1684</v>
      </c>
      <c r="V24" s="2">
        <v>1667</v>
      </c>
      <c r="W24" s="2">
        <v>1820</v>
      </c>
      <c r="X24" s="2">
        <v>1744</v>
      </c>
      <c r="Y24" s="2">
        <v>1902</v>
      </c>
      <c r="Z24" s="2">
        <v>1708</v>
      </c>
      <c r="AA24" s="2">
        <v>1718</v>
      </c>
      <c r="AC24" s="2">
        <v>1584</v>
      </c>
      <c r="AD24" s="2">
        <v>1459</v>
      </c>
      <c r="AE24" s="2">
        <v>1645</v>
      </c>
      <c r="AF24" s="2">
        <v>1598</v>
      </c>
      <c r="AG24" s="2" t="s">
        <v>773</v>
      </c>
      <c r="AH24" s="2">
        <v>1570</v>
      </c>
      <c r="AI24" s="2" t="s">
        <v>773</v>
      </c>
      <c r="AJ24" s="2" t="s">
        <v>773</v>
      </c>
      <c r="AK24" s="19">
        <v>0.3125</v>
      </c>
      <c r="AL24" s="60">
        <f>(7.5)*AH24</f>
        <v>11775</v>
      </c>
      <c r="AM24">
        <v>2002</v>
      </c>
      <c r="AT24" t="s">
        <v>403</v>
      </c>
      <c r="AU24" t="s">
        <v>0</v>
      </c>
    </row>
    <row r="25" spans="1:47" x14ac:dyDescent="0.2">
      <c r="A25" s="2">
        <v>11</v>
      </c>
      <c r="B25" s="2">
        <v>17</v>
      </c>
      <c r="C25" s="2">
        <v>41</v>
      </c>
      <c r="D25" t="s">
        <v>32</v>
      </c>
      <c r="E25" t="s">
        <v>528</v>
      </c>
      <c r="G25" s="2">
        <v>24440</v>
      </c>
      <c r="H25" s="2">
        <v>629.79999999999995</v>
      </c>
      <c r="I25" s="15">
        <v>22.49</v>
      </c>
      <c r="J25" s="15">
        <v>15.26</v>
      </c>
      <c r="L25" s="1" t="s">
        <v>737</v>
      </c>
      <c r="M25" s="1" t="s">
        <v>16</v>
      </c>
      <c r="O25" s="8">
        <v>820.86205700000005</v>
      </c>
      <c r="P25" s="8">
        <v>852.66623900000002</v>
      </c>
      <c r="Q25" s="8">
        <v>838.62709800000005</v>
      </c>
      <c r="R25" s="8">
        <v>802.94889999999998</v>
      </c>
      <c r="S25" s="8">
        <v>769.41269499999999</v>
      </c>
      <c r="T25" s="8">
        <v>781.59234200000003</v>
      </c>
      <c r="U25" s="8">
        <v>811.13830199999995</v>
      </c>
      <c r="V25" s="8">
        <v>798.64763300000004</v>
      </c>
      <c r="W25" s="8">
        <v>884.20290999999997</v>
      </c>
      <c r="X25" s="8">
        <v>943.28645200000005</v>
      </c>
      <c r="Y25" s="8">
        <v>1016.70463</v>
      </c>
      <c r="Z25" s="8">
        <v>876.173495</v>
      </c>
      <c r="AA25" s="8">
        <v>959.87802299999998</v>
      </c>
      <c r="AC25" s="2">
        <v>572.20000000000005</v>
      </c>
      <c r="AD25" s="2">
        <v>676.6</v>
      </c>
      <c r="AE25" s="2">
        <v>611.5</v>
      </c>
      <c r="AF25" s="2">
        <v>661.6</v>
      </c>
      <c r="AG25" s="2" t="s">
        <v>773</v>
      </c>
      <c r="AH25" s="2">
        <v>657.6</v>
      </c>
      <c r="AI25" s="2" t="s">
        <v>773</v>
      </c>
      <c r="AJ25" s="2" t="s">
        <v>773</v>
      </c>
      <c r="AK25" s="19">
        <v>0.28680555555555554</v>
      </c>
      <c r="AL25" s="8">
        <f>(6+(53/60))*AH25</f>
        <v>4526.4799999999996</v>
      </c>
      <c r="AM25">
        <v>2007</v>
      </c>
      <c r="AQ25" s="5"/>
      <c r="AR25" s="5"/>
      <c r="AS25" s="5"/>
      <c r="AT25" t="s">
        <v>345</v>
      </c>
      <c r="AU25" t="s">
        <v>0</v>
      </c>
    </row>
    <row r="26" spans="1:47" x14ac:dyDescent="0.2">
      <c r="A26" s="2">
        <v>12</v>
      </c>
      <c r="B26" s="2">
        <v>17</v>
      </c>
      <c r="C26" s="2">
        <v>53</v>
      </c>
      <c r="D26" t="s">
        <v>47</v>
      </c>
      <c r="E26" t="s">
        <v>530</v>
      </c>
      <c r="G26" s="8">
        <v>10740</v>
      </c>
      <c r="H26" s="2">
        <v>291.8</v>
      </c>
      <c r="I26" s="15">
        <v>10.42</v>
      </c>
      <c r="J26" s="15">
        <v>7.625</v>
      </c>
      <c r="O26" s="8">
        <v>306.76134100000002</v>
      </c>
      <c r="P26" s="8">
        <v>293.31308300000001</v>
      </c>
      <c r="Q26" s="8">
        <v>299.15607899999998</v>
      </c>
      <c r="R26" s="8">
        <v>315.33464400000003</v>
      </c>
      <c r="S26" s="8">
        <v>309.341092</v>
      </c>
      <c r="T26" s="8">
        <v>327.20585399999999</v>
      </c>
      <c r="U26" s="8">
        <v>360.69683500000002</v>
      </c>
      <c r="V26" s="8">
        <v>356.384929</v>
      </c>
      <c r="W26" s="8">
        <v>404.886506</v>
      </c>
      <c r="X26" s="8">
        <v>368.35873900000001</v>
      </c>
      <c r="Y26" s="8">
        <v>392.94392399999998</v>
      </c>
      <c r="Z26" s="8">
        <v>321.156429</v>
      </c>
      <c r="AA26" s="8">
        <v>340.02511500000003</v>
      </c>
      <c r="AC26" s="2">
        <v>336.1</v>
      </c>
      <c r="AD26" s="2">
        <v>260.89999999999998</v>
      </c>
      <c r="AE26" s="2">
        <v>283.7</v>
      </c>
      <c r="AF26" s="2">
        <v>316.10000000000002</v>
      </c>
      <c r="AG26" s="2" t="s">
        <v>773</v>
      </c>
      <c r="AH26" s="2">
        <v>312.60000000000002</v>
      </c>
      <c r="AI26" s="2" t="s">
        <v>773</v>
      </c>
      <c r="AJ26" s="2" t="s">
        <v>773</v>
      </c>
      <c r="AK26" s="19">
        <v>0.25763888888888892</v>
      </c>
      <c r="AL26" s="8">
        <f>(6+(11/60))*AH26</f>
        <v>1932.9100000000003</v>
      </c>
    </row>
    <row r="27" spans="1:47" x14ac:dyDescent="0.2">
      <c r="A27" s="2">
        <v>13</v>
      </c>
      <c r="B27" s="2">
        <v>19</v>
      </c>
      <c r="C27" s="2">
        <v>26</v>
      </c>
      <c r="D27" t="s">
        <v>31</v>
      </c>
      <c r="E27" t="s">
        <v>7</v>
      </c>
      <c r="G27" s="2">
        <v>2000000</v>
      </c>
      <c r="H27" s="2">
        <v>1338</v>
      </c>
      <c r="I27" s="57">
        <v>47.78</v>
      </c>
      <c r="J27" s="57">
        <v>22.4</v>
      </c>
      <c r="L27" s="1" t="s">
        <v>18</v>
      </c>
      <c r="M27" s="1" t="s">
        <v>11</v>
      </c>
      <c r="O27" s="2">
        <v>1406</v>
      </c>
      <c r="P27" s="2">
        <v>1204</v>
      </c>
      <c r="Q27" s="2">
        <v>1442</v>
      </c>
      <c r="R27" s="2">
        <v>1419</v>
      </c>
      <c r="S27" s="2">
        <v>1339</v>
      </c>
      <c r="T27" s="2">
        <v>1086</v>
      </c>
      <c r="U27" s="2">
        <v>1091</v>
      </c>
      <c r="V27" s="2">
        <v>1198</v>
      </c>
      <c r="W27" s="2">
        <v>1341</v>
      </c>
      <c r="X27" s="2">
        <v>1373</v>
      </c>
      <c r="Y27" s="2">
        <v>1541</v>
      </c>
      <c r="Z27" s="2">
        <v>1501</v>
      </c>
      <c r="AA27" s="2">
        <v>1453</v>
      </c>
      <c r="AC27" s="2">
        <v>1268</v>
      </c>
      <c r="AD27" s="2">
        <v>1104</v>
      </c>
      <c r="AE27" s="2">
        <v>1484</v>
      </c>
      <c r="AF27" s="2">
        <v>1195</v>
      </c>
      <c r="AG27" s="2">
        <v>1174</v>
      </c>
      <c r="AH27" s="2">
        <v>1201</v>
      </c>
      <c r="AI27" s="2" t="s">
        <v>773</v>
      </c>
      <c r="AJ27" s="2" t="s">
        <v>773</v>
      </c>
      <c r="AK27" s="19">
        <v>0.41875000000000001</v>
      </c>
      <c r="AL27" s="60">
        <f>(10+(3/60))*AH27</f>
        <v>12070.050000000001</v>
      </c>
      <c r="AM27">
        <v>2010</v>
      </c>
      <c r="AR27" s="1">
        <v>2800</v>
      </c>
      <c r="AT27" s="10"/>
    </row>
    <row r="28" spans="1:47" s="5" customFormat="1" x14ac:dyDescent="0.2">
      <c r="A28" s="6" t="s">
        <v>773</v>
      </c>
      <c r="B28" s="2" t="s">
        <v>773</v>
      </c>
      <c r="C28" s="6" t="s">
        <v>773</v>
      </c>
      <c r="D28" s="5" t="s">
        <v>1209</v>
      </c>
      <c r="E28" s="5" t="s">
        <v>7</v>
      </c>
      <c r="G28" s="6">
        <v>2000000</v>
      </c>
      <c r="H28" s="6">
        <v>982.8</v>
      </c>
      <c r="I28" s="59">
        <v>35.1</v>
      </c>
      <c r="J28" s="59">
        <v>14.85</v>
      </c>
      <c r="K28" s="6"/>
      <c r="L28" s="7"/>
      <c r="M28" s="7"/>
      <c r="N28" s="7"/>
      <c r="O28" s="6">
        <v>808</v>
      </c>
      <c r="P28" s="6">
        <v>734</v>
      </c>
      <c r="Q28" s="6">
        <v>824</v>
      </c>
      <c r="R28" s="6">
        <v>811</v>
      </c>
      <c r="S28" s="6">
        <v>795</v>
      </c>
      <c r="T28" s="6">
        <v>673</v>
      </c>
      <c r="U28" s="6">
        <v>687</v>
      </c>
      <c r="V28" s="6">
        <v>702</v>
      </c>
      <c r="W28" s="6">
        <v>785</v>
      </c>
      <c r="X28" s="6">
        <v>832</v>
      </c>
      <c r="Y28" s="6">
        <v>904</v>
      </c>
      <c r="Z28" s="6">
        <v>930</v>
      </c>
      <c r="AA28" s="6">
        <v>915</v>
      </c>
      <c r="AB28" s="7"/>
      <c r="AC28" s="6">
        <v>1066</v>
      </c>
      <c r="AD28" s="6">
        <v>917.5</v>
      </c>
      <c r="AE28" s="6">
        <v>1214</v>
      </c>
      <c r="AF28" s="6">
        <v>982.8</v>
      </c>
      <c r="AG28" s="6">
        <v>982.8</v>
      </c>
      <c r="AH28" s="50" t="s">
        <v>773</v>
      </c>
      <c r="AI28" s="50" t="s">
        <v>773</v>
      </c>
      <c r="AJ28" s="50" t="s">
        <v>773</v>
      </c>
      <c r="AK28" s="53">
        <v>0.50138888888888888</v>
      </c>
      <c r="AL28" s="61" t="s">
        <v>773</v>
      </c>
      <c r="AM28" s="7" t="s">
        <v>773</v>
      </c>
      <c r="AQ28"/>
      <c r="AR28"/>
      <c r="AS28"/>
      <c r="AT28"/>
      <c r="AU28"/>
    </row>
    <row r="29" spans="1:47" x14ac:dyDescent="0.2">
      <c r="A29" s="2">
        <v>14</v>
      </c>
      <c r="B29" s="2">
        <v>22</v>
      </c>
      <c r="C29" s="2">
        <v>78</v>
      </c>
      <c r="D29" t="s">
        <v>43</v>
      </c>
      <c r="E29" t="s">
        <v>518</v>
      </c>
      <c r="G29" s="2">
        <v>412860</v>
      </c>
      <c r="H29" s="2">
        <v>343.9</v>
      </c>
      <c r="I29" s="15">
        <v>12.28</v>
      </c>
      <c r="J29" s="15">
        <v>9.984</v>
      </c>
      <c r="L29" s="1" t="s">
        <v>11</v>
      </c>
      <c r="M29" s="1" t="s">
        <v>11</v>
      </c>
      <c r="O29" s="8">
        <v>546.22373300000004</v>
      </c>
      <c r="P29" s="8">
        <v>600.07913699999995</v>
      </c>
      <c r="Q29" s="8">
        <v>618.52430700000002</v>
      </c>
      <c r="R29" s="8">
        <v>448.84325999999999</v>
      </c>
      <c r="S29" s="8">
        <v>415.35441800000001</v>
      </c>
      <c r="T29" s="8">
        <v>413.31044500000002</v>
      </c>
      <c r="U29" s="8">
        <v>450.57413100000002</v>
      </c>
      <c r="V29" s="8">
        <v>424.556985</v>
      </c>
      <c r="W29" s="8">
        <v>461.651321</v>
      </c>
      <c r="X29" s="8">
        <v>588.00146400000006</v>
      </c>
      <c r="Y29" s="8">
        <v>649.26202799999999</v>
      </c>
      <c r="Z29" s="8">
        <v>543.48338000000001</v>
      </c>
      <c r="AA29" s="8">
        <v>486.54037</v>
      </c>
      <c r="AC29" s="2">
        <v>434.8</v>
      </c>
      <c r="AD29" s="2">
        <v>427.1</v>
      </c>
      <c r="AE29" s="2">
        <v>358.2</v>
      </c>
      <c r="AF29" s="2">
        <v>373.7</v>
      </c>
      <c r="AG29" s="2" t="s">
        <v>773</v>
      </c>
      <c r="AH29" s="2">
        <v>387</v>
      </c>
      <c r="AI29" s="2" t="s">
        <v>773</v>
      </c>
      <c r="AJ29" s="2" t="s">
        <v>773</v>
      </c>
      <c r="AK29" s="19">
        <v>0.19166666666666665</v>
      </c>
      <c r="AL29" s="8">
        <f>(4+(36/60))*AH29</f>
        <v>1780.1999999999998</v>
      </c>
    </row>
    <row r="30" spans="1:47" x14ac:dyDescent="0.2">
      <c r="A30" s="2">
        <v>15</v>
      </c>
      <c r="B30" s="2">
        <v>10</v>
      </c>
      <c r="C30" s="2">
        <v>13</v>
      </c>
      <c r="D30" t="s">
        <v>28</v>
      </c>
      <c r="E30" t="s">
        <v>6</v>
      </c>
      <c r="G30" s="2">
        <v>1000</v>
      </c>
      <c r="H30" s="2">
        <v>2206</v>
      </c>
      <c r="I30" s="57">
        <v>78.819999999999993</v>
      </c>
      <c r="J30" s="57">
        <v>60.58</v>
      </c>
      <c r="M30" s="1" t="s">
        <v>16</v>
      </c>
      <c r="O30" s="2">
        <v>12529</v>
      </c>
      <c r="P30" s="2">
        <v>12333</v>
      </c>
      <c r="Q30" s="2">
        <v>12084</v>
      </c>
      <c r="R30" s="2">
        <v>13858</v>
      </c>
      <c r="S30" s="2">
        <v>12573</v>
      </c>
      <c r="T30" s="2">
        <v>11383</v>
      </c>
      <c r="U30" s="2">
        <v>11967</v>
      </c>
      <c r="V30" s="2">
        <v>12347</v>
      </c>
      <c r="W30" s="2">
        <v>11620</v>
      </c>
      <c r="X30" s="2">
        <v>13248</v>
      </c>
      <c r="Y30" s="2">
        <v>12062</v>
      </c>
      <c r="Z30" s="2">
        <v>10868</v>
      </c>
      <c r="AA30" s="2">
        <v>12210</v>
      </c>
      <c r="AC30" s="2">
        <v>1682</v>
      </c>
      <c r="AD30" s="2">
        <v>2142</v>
      </c>
      <c r="AE30" s="2">
        <v>2027</v>
      </c>
      <c r="AF30" s="2">
        <v>2206</v>
      </c>
      <c r="AG30" s="2" t="s">
        <v>773</v>
      </c>
      <c r="AH30" s="2">
        <v>2392</v>
      </c>
      <c r="AI30" s="2" t="s">
        <v>773</v>
      </c>
      <c r="AJ30" s="2" t="s">
        <v>773</v>
      </c>
      <c r="AK30" s="19">
        <v>0.35486111111111113</v>
      </c>
      <c r="AL30" s="60">
        <f>(8+(31/60))*AH30</f>
        <v>20371.866666666669</v>
      </c>
      <c r="AM30">
        <v>2007</v>
      </c>
    </row>
    <row r="31" spans="1:47" x14ac:dyDescent="0.2">
      <c r="A31" s="2">
        <v>16</v>
      </c>
      <c r="B31" s="2">
        <v>21</v>
      </c>
      <c r="C31" s="2">
        <v>15</v>
      </c>
      <c r="D31" t="s">
        <v>46</v>
      </c>
      <c r="E31" t="s">
        <v>6</v>
      </c>
      <c r="G31" s="2">
        <v>180000</v>
      </c>
      <c r="H31" s="2">
        <v>1898</v>
      </c>
      <c r="I31" s="15">
        <v>67.81</v>
      </c>
      <c r="J31" s="15">
        <v>52.79</v>
      </c>
      <c r="M31" s="1" t="s">
        <v>16</v>
      </c>
      <c r="O31" s="27">
        <v>3730</v>
      </c>
      <c r="P31" s="27">
        <v>3627</v>
      </c>
      <c r="Q31" s="27">
        <v>3790</v>
      </c>
      <c r="R31" s="27">
        <v>3778</v>
      </c>
      <c r="S31" s="27">
        <v>3514</v>
      </c>
      <c r="T31" s="27">
        <v>3173</v>
      </c>
      <c r="U31" s="27">
        <v>3533</v>
      </c>
      <c r="V31" s="27">
        <v>3450</v>
      </c>
      <c r="W31" s="27">
        <v>3616</v>
      </c>
      <c r="X31" s="27">
        <v>3881</v>
      </c>
      <c r="Y31" s="27">
        <v>2573</v>
      </c>
      <c r="Z31" s="27">
        <v>2998</v>
      </c>
      <c r="AA31" s="27">
        <v>2909</v>
      </c>
      <c r="AC31" s="2">
        <v>2111</v>
      </c>
      <c r="AD31" s="2">
        <v>2145</v>
      </c>
      <c r="AE31" s="2">
        <v>2021</v>
      </c>
      <c r="AF31" s="2">
        <v>2070</v>
      </c>
      <c r="AG31" s="2" t="s">
        <v>773</v>
      </c>
      <c r="AH31" s="2">
        <v>2042</v>
      </c>
      <c r="AI31" s="2" t="s">
        <v>773</v>
      </c>
      <c r="AJ31" s="2" t="s">
        <v>773</v>
      </c>
      <c r="AK31" s="19">
        <v>0.15625</v>
      </c>
      <c r="AL31" s="8">
        <f>(3+(45/60))*AH31</f>
        <v>7657.5</v>
      </c>
      <c r="AM31">
        <v>2016</v>
      </c>
    </row>
    <row r="32" spans="1:47" x14ac:dyDescent="0.2">
      <c r="A32" s="2">
        <v>17</v>
      </c>
      <c r="B32" s="2">
        <v>19</v>
      </c>
      <c r="C32" s="2">
        <v>62</v>
      </c>
      <c r="D32" t="s">
        <v>68</v>
      </c>
      <c r="E32" t="s">
        <v>6</v>
      </c>
      <c r="G32" s="2">
        <v>1000</v>
      </c>
      <c r="H32" s="2">
        <v>191.8</v>
      </c>
      <c r="I32" s="15">
        <v>6.851</v>
      </c>
      <c r="J32" s="15">
        <v>4.2670000000000003</v>
      </c>
      <c r="O32" s="8">
        <v>233.68920299999999</v>
      </c>
      <c r="P32" s="8">
        <v>245.74024700000001</v>
      </c>
      <c r="Q32" s="8">
        <v>232.18044399999999</v>
      </c>
      <c r="R32" s="8">
        <v>228.916336</v>
      </c>
      <c r="S32" s="8">
        <v>243.09141</v>
      </c>
      <c r="T32" s="8">
        <v>243.953969</v>
      </c>
      <c r="U32" s="8">
        <v>254.13208599999999</v>
      </c>
      <c r="V32" s="8">
        <v>262.829926</v>
      </c>
      <c r="W32" s="8">
        <v>296.74005699999998</v>
      </c>
      <c r="X32" s="8">
        <v>302.69884000000002</v>
      </c>
      <c r="Y32" s="8">
        <v>294.714832</v>
      </c>
      <c r="Z32" s="8">
        <v>278.78840400000001</v>
      </c>
      <c r="AA32" s="8">
        <v>310.45043900000002</v>
      </c>
      <c r="AC32" s="2">
        <v>157.30000000000001</v>
      </c>
      <c r="AD32" s="2">
        <v>159.6</v>
      </c>
      <c r="AE32" s="2">
        <v>172.6</v>
      </c>
      <c r="AF32" s="2">
        <v>191.8</v>
      </c>
      <c r="AG32" s="2" t="s">
        <v>773</v>
      </c>
      <c r="AH32" s="2">
        <v>193.8</v>
      </c>
      <c r="AI32" s="2" t="s">
        <v>773</v>
      </c>
      <c r="AJ32" s="2" t="s">
        <v>773</v>
      </c>
      <c r="AK32" s="19">
        <v>0.32777777777777778</v>
      </c>
      <c r="AL32" s="8">
        <f>(7+(52/60))*AH32</f>
        <v>1524.5600000000002</v>
      </c>
    </row>
    <row r="33" spans="1:49" x14ac:dyDescent="0.2">
      <c r="A33" s="2">
        <v>18</v>
      </c>
      <c r="B33" s="2">
        <v>23</v>
      </c>
      <c r="C33" s="2">
        <v>31</v>
      </c>
      <c r="D33" t="s">
        <v>41</v>
      </c>
      <c r="E33" t="s">
        <v>7</v>
      </c>
      <c r="G33" s="2">
        <v>2000000</v>
      </c>
      <c r="H33" s="2">
        <v>1155</v>
      </c>
      <c r="I33" s="15">
        <v>41.27</v>
      </c>
      <c r="J33" s="15">
        <v>22.19</v>
      </c>
      <c r="M33" s="1" t="s">
        <v>16</v>
      </c>
      <c r="O33" s="8">
        <v>3821.2559190000002</v>
      </c>
      <c r="P33" s="8">
        <v>3287.9840909999998</v>
      </c>
      <c r="Q33" s="8">
        <v>3759.4352279999998</v>
      </c>
      <c r="R33" s="8">
        <v>4124.85538</v>
      </c>
      <c r="S33" s="8">
        <v>4007.1293179999998</v>
      </c>
      <c r="T33" s="8">
        <v>3468.1581339999998</v>
      </c>
      <c r="U33" s="8">
        <v>2123.9030560000001</v>
      </c>
      <c r="V33" s="8">
        <v>2004.940092</v>
      </c>
      <c r="W33" s="8">
        <v>3141.7748000000001</v>
      </c>
      <c r="X33" s="8">
        <v>3222.2638929999998</v>
      </c>
      <c r="Y33" s="8">
        <v>3076.963389</v>
      </c>
      <c r="Z33" s="8">
        <v>2867.9487669999999</v>
      </c>
      <c r="AA33" s="8">
        <v>2842.979225</v>
      </c>
      <c r="AC33" s="2">
        <v>1549</v>
      </c>
      <c r="AD33" s="2">
        <v>1190</v>
      </c>
      <c r="AE33" s="2">
        <v>1143</v>
      </c>
      <c r="AF33" s="2">
        <v>1094</v>
      </c>
      <c r="AG33" s="2" t="s">
        <v>773</v>
      </c>
      <c r="AH33" s="2">
        <v>1095</v>
      </c>
      <c r="AI33" s="2" t="s">
        <v>773</v>
      </c>
      <c r="AJ33" s="2" t="s">
        <v>773</v>
      </c>
      <c r="AK33" s="19">
        <v>0.27777777777777779</v>
      </c>
      <c r="AL33" s="60">
        <f>(6+(40/60))*AH33</f>
        <v>7300</v>
      </c>
      <c r="AM33">
        <v>2009</v>
      </c>
    </row>
    <row r="34" spans="1:49" x14ac:dyDescent="0.2">
      <c r="A34" s="2">
        <v>20</v>
      </c>
      <c r="B34" s="2">
        <v>11</v>
      </c>
      <c r="C34" s="2">
        <v>11</v>
      </c>
      <c r="D34" t="s">
        <v>30</v>
      </c>
      <c r="E34" t="s">
        <v>6</v>
      </c>
      <c r="G34" s="2">
        <v>1000</v>
      </c>
      <c r="H34" s="2">
        <v>2623</v>
      </c>
      <c r="I34" s="57">
        <v>93.7</v>
      </c>
      <c r="J34" s="57">
        <v>68.84</v>
      </c>
      <c r="M34" s="1" t="s">
        <v>16</v>
      </c>
      <c r="O34" s="2">
        <v>8807</v>
      </c>
      <c r="P34" s="2">
        <v>7717</v>
      </c>
      <c r="Q34" s="2">
        <v>8596</v>
      </c>
      <c r="R34" s="2">
        <v>9236</v>
      </c>
      <c r="S34" s="2">
        <v>9053</v>
      </c>
      <c r="T34" s="2">
        <v>8528</v>
      </c>
      <c r="U34" s="2">
        <v>9067</v>
      </c>
      <c r="V34" s="2">
        <v>9473</v>
      </c>
      <c r="W34" s="2">
        <v>8971</v>
      </c>
      <c r="X34" s="2">
        <v>10391</v>
      </c>
      <c r="Y34" s="2">
        <v>9848</v>
      </c>
      <c r="Z34" s="2">
        <v>9468</v>
      </c>
      <c r="AA34" s="2">
        <v>10512</v>
      </c>
      <c r="AC34" s="2">
        <v>1208</v>
      </c>
      <c r="AD34" s="2">
        <v>2536</v>
      </c>
      <c r="AE34" s="2">
        <v>2388</v>
      </c>
      <c r="AF34" s="2">
        <v>2623</v>
      </c>
      <c r="AG34" s="2" t="s">
        <v>773</v>
      </c>
      <c r="AH34" s="2">
        <v>2697</v>
      </c>
      <c r="AI34" s="2" t="s">
        <v>773</v>
      </c>
      <c r="AJ34" s="2" t="s">
        <v>773</v>
      </c>
      <c r="AK34" s="19">
        <v>0.36180555555555555</v>
      </c>
      <c r="AL34" s="60">
        <f>(8+(41/60))*AH34</f>
        <v>23418.95</v>
      </c>
      <c r="AM34">
        <v>2007</v>
      </c>
    </row>
    <row r="35" spans="1:49" x14ac:dyDescent="0.2">
      <c r="A35" s="2">
        <v>21</v>
      </c>
      <c r="B35" s="2">
        <v>24</v>
      </c>
      <c r="C35" s="2">
        <v>41</v>
      </c>
      <c r="D35" t="s">
        <v>40</v>
      </c>
      <c r="E35" t="s">
        <v>6</v>
      </c>
      <c r="G35" s="2">
        <v>500</v>
      </c>
      <c r="H35" s="2">
        <v>744.4</v>
      </c>
      <c r="I35" s="15">
        <v>26.58</v>
      </c>
      <c r="J35" s="15">
        <v>11.74</v>
      </c>
      <c r="L35" s="1" t="s">
        <v>11</v>
      </c>
      <c r="O35" s="8">
        <v>4604.0363379999999</v>
      </c>
      <c r="P35" s="8">
        <v>4599.4899839999998</v>
      </c>
      <c r="Q35" s="8">
        <v>4668.3992340000004</v>
      </c>
      <c r="R35" s="8">
        <v>4729.5514489999996</v>
      </c>
      <c r="S35" s="8">
        <v>4249.4898110000004</v>
      </c>
      <c r="T35" s="8">
        <v>3841.338424</v>
      </c>
      <c r="U35" s="8">
        <v>4391.1291549999996</v>
      </c>
      <c r="V35" s="8">
        <v>4152.5609249999998</v>
      </c>
      <c r="W35" s="8">
        <v>4780.5267750000003</v>
      </c>
      <c r="X35" s="8">
        <v>4874.2457709999999</v>
      </c>
      <c r="Y35" s="8">
        <v>4673.1216999999997</v>
      </c>
      <c r="Z35" s="8">
        <v>4096.3345509999999</v>
      </c>
      <c r="AA35" s="8">
        <v>4525.5285919999997</v>
      </c>
      <c r="AC35" s="2">
        <v>749.4</v>
      </c>
      <c r="AD35" s="2">
        <v>723.6</v>
      </c>
      <c r="AE35" s="2">
        <v>737.1</v>
      </c>
      <c r="AF35" s="2">
        <v>758.9</v>
      </c>
      <c r="AG35" s="2" t="s">
        <v>773</v>
      </c>
      <c r="AH35" s="2">
        <v>746.8</v>
      </c>
      <c r="AI35" s="2" t="s">
        <v>773</v>
      </c>
      <c r="AJ35" s="2" t="s">
        <v>773</v>
      </c>
      <c r="AK35" s="19">
        <v>0.36180555555555555</v>
      </c>
      <c r="AL35" s="8">
        <f>(8+(41/60))*AH35</f>
        <v>6484.7133333333331</v>
      </c>
      <c r="AQ35" s="5"/>
      <c r="AR35" s="5"/>
      <c r="AS35" s="5"/>
      <c r="AT35" s="11"/>
    </row>
    <row r="36" spans="1:49" x14ac:dyDescent="0.2">
      <c r="A36" s="2">
        <v>22</v>
      </c>
      <c r="B36" s="2">
        <v>20</v>
      </c>
      <c r="C36" s="2">
        <v>17</v>
      </c>
      <c r="D36" t="s">
        <v>39</v>
      </c>
      <c r="E36" t="s">
        <v>7</v>
      </c>
      <c r="G36" s="2">
        <v>2000000</v>
      </c>
      <c r="H36" s="2">
        <v>1863</v>
      </c>
      <c r="I36" s="15">
        <v>66.55</v>
      </c>
      <c r="J36" s="15">
        <v>35.92</v>
      </c>
      <c r="O36" s="8">
        <v>1864.963176</v>
      </c>
      <c r="P36" s="8">
        <v>1717.608068</v>
      </c>
      <c r="Q36" s="8">
        <v>1889.8825119999999</v>
      </c>
      <c r="R36" s="8">
        <v>1846.681135</v>
      </c>
      <c r="S36" s="8">
        <v>1815.0162789999999</v>
      </c>
      <c r="T36" s="8">
        <v>1689.1683949999999</v>
      </c>
      <c r="U36" s="8">
        <v>1869.9168199999999</v>
      </c>
      <c r="V36" s="8">
        <v>1897.889457</v>
      </c>
      <c r="W36" s="8">
        <v>2029.1436080000001</v>
      </c>
      <c r="X36" s="8">
        <v>2031.7123099999999</v>
      </c>
      <c r="Y36" s="8">
        <v>2128.4706649999998</v>
      </c>
      <c r="Z36" s="8">
        <v>1985.7654110000001</v>
      </c>
      <c r="AA36" s="8">
        <v>2066.01784</v>
      </c>
      <c r="AC36" s="2">
        <v>1522</v>
      </c>
      <c r="AD36" s="2">
        <v>1707</v>
      </c>
      <c r="AE36" s="2">
        <v>1828</v>
      </c>
      <c r="AF36" s="2">
        <v>1852</v>
      </c>
      <c r="AG36" s="2" t="s">
        <v>773</v>
      </c>
      <c r="AH36" s="2">
        <v>1846</v>
      </c>
      <c r="AI36" s="2" t="s">
        <v>773</v>
      </c>
      <c r="AJ36" s="2" t="s">
        <v>773</v>
      </c>
      <c r="AK36" s="19">
        <v>0.33611111111111108</v>
      </c>
      <c r="AL36" s="60">
        <f>(8+(4/60))*AH36</f>
        <v>14891.066666666666</v>
      </c>
      <c r="AM36">
        <v>2005</v>
      </c>
      <c r="AT36" s="11"/>
      <c r="AW36" s="2"/>
    </row>
    <row r="37" spans="1:49" s="5" customFormat="1" x14ac:dyDescent="0.2">
      <c r="A37" s="2" t="s">
        <v>773</v>
      </c>
      <c r="B37" s="2" t="s">
        <v>773</v>
      </c>
      <c r="C37" s="2" t="s">
        <v>773</v>
      </c>
      <c r="D37" s="5" t="s">
        <v>1208</v>
      </c>
      <c r="E37" s="5" t="s">
        <v>7</v>
      </c>
      <c r="G37" s="6">
        <v>2000000</v>
      </c>
      <c r="H37" s="6">
        <v>1505</v>
      </c>
      <c r="I37" s="17">
        <v>53.77</v>
      </c>
      <c r="J37" s="17">
        <v>26</v>
      </c>
      <c r="K37" s="6"/>
      <c r="L37" s="7"/>
      <c r="M37" s="7"/>
      <c r="N37" s="7"/>
      <c r="O37" s="8">
        <v>826.30406300000004</v>
      </c>
      <c r="P37" s="8">
        <v>724.39842599999997</v>
      </c>
      <c r="Q37" s="8">
        <v>820.59456499999999</v>
      </c>
      <c r="R37" s="8">
        <v>809.85747300000003</v>
      </c>
      <c r="S37" s="8">
        <v>860.72620500000005</v>
      </c>
      <c r="T37" s="8">
        <v>848.14286400000003</v>
      </c>
      <c r="U37" s="8">
        <v>950.06540500000006</v>
      </c>
      <c r="V37" s="8">
        <v>925.198714</v>
      </c>
      <c r="W37" s="8">
        <v>981.83465000000001</v>
      </c>
      <c r="X37" s="8">
        <v>999.40998100000002</v>
      </c>
      <c r="Y37" s="8">
        <v>1061.4133429999999</v>
      </c>
      <c r="Z37" s="8">
        <v>1103.3240040000001</v>
      </c>
      <c r="AA37" s="8">
        <v>1179.8600160000001</v>
      </c>
      <c r="AB37" s="7"/>
      <c r="AC37" s="6">
        <v>1151</v>
      </c>
      <c r="AD37" s="6">
        <v>1321</v>
      </c>
      <c r="AE37" s="6">
        <v>1424</v>
      </c>
      <c r="AF37" s="6">
        <v>1505</v>
      </c>
      <c r="AG37" s="6" t="s">
        <v>773</v>
      </c>
      <c r="AH37" s="6" t="s">
        <v>773</v>
      </c>
      <c r="AI37" s="50" t="s">
        <v>773</v>
      </c>
      <c r="AJ37" s="50" t="s">
        <v>773</v>
      </c>
      <c r="AK37" s="53">
        <v>0.36388888888888887</v>
      </c>
      <c r="AL37" s="6" t="s">
        <v>773</v>
      </c>
      <c r="AM37" s="7" t="s">
        <v>773</v>
      </c>
      <c r="AQ37"/>
      <c r="AR37"/>
      <c r="AS37"/>
      <c r="AT37" s="55"/>
    </row>
    <row r="38" spans="1:49" x14ac:dyDescent="0.2">
      <c r="A38" s="2">
        <v>23</v>
      </c>
      <c r="B38" s="2">
        <v>38</v>
      </c>
      <c r="C38" s="2">
        <v>42</v>
      </c>
      <c r="D38" t="s">
        <v>54</v>
      </c>
      <c r="E38" t="s">
        <v>6</v>
      </c>
      <c r="G38" s="2">
        <v>200</v>
      </c>
      <c r="H38" s="2">
        <v>680.1</v>
      </c>
      <c r="I38" s="15">
        <v>24.29</v>
      </c>
      <c r="J38" s="15">
        <v>16</v>
      </c>
      <c r="O38" s="8">
        <v>3056.1976690000001</v>
      </c>
      <c r="P38" s="8">
        <v>3099.0492989999998</v>
      </c>
      <c r="Q38" s="8">
        <v>3056.9615050000002</v>
      </c>
      <c r="R38" s="8">
        <v>3079.4244010000002</v>
      </c>
      <c r="S38" s="8">
        <v>3065.9273710000002</v>
      </c>
      <c r="T38" s="8">
        <v>2782.7382739999998</v>
      </c>
      <c r="U38" s="8">
        <v>3246.3534049999998</v>
      </c>
      <c r="V38" s="8">
        <v>2979.9182329999999</v>
      </c>
      <c r="W38" s="8">
        <v>3285.237768</v>
      </c>
      <c r="X38" s="8">
        <v>3485.8653610000001</v>
      </c>
      <c r="Y38" s="8">
        <v>3204.7947020000001</v>
      </c>
      <c r="Z38" s="8">
        <v>3223.9567659999998</v>
      </c>
      <c r="AA38" s="8">
        <v>3446.3758240000002</v>
      </c>
      <c r="AC38" s="2">
        <v>836.6</v>
      </c>
      <c r="AD38" s="2">
        <v>706.2</v>
      </c>
      <c r="AE38" s="2">
        <v>634.20000000000005</v>
      </c>
      <c r="AF38" s="2">
        <v>725</v>
      </c>
      <c r="AG38" s="2" t="s">
        <v>773</v>
      </c>
      <c r="AH38" s="2">
        <v>706.2</v>
      </c>
      <c r="AI38" s="2" t="s">
        <v>773</v>
      </c>
      <c r="AJ38" s="2" t="s">
        <v>773</v>
      </c>
      <c r="AK38" s="19">
        <v>0.21666666666666667</v>
      </c>
      <c r="AL38" s="8">
        <f>(5+(12/60))*AH38</f>
        <v>3672.2400000000002</v>
      </c>
    </row>
    <row r="39" spans="1:49" x14ac:dyDescent="0.2">
      <c r="A39" s="2">
        <v>24</v>
      </c>
      <c r="B39" s="2">
        <v>33</v>
      </c>
      <c r="C39" s="2">
        <v>36</v>
      </c>
      <c r="D39" t="s">
        <v>36</v>
      </c>
      <c r="E39" t="s">
        <v>7</v>
      </c>
      <c r="G39" s="2">
        <v>2000000</v>
      </c>
      <c r="H39" s="2">
        <v>1071</v>
      </c>
      <c r="I39" s="57">
        <v>38.270000000000003</v>
      </c>
      <c r="J39" s="57">
        <v>26.3</v>
      </c>
      <c r="O39" s="8">
        <v>1689.9765159999999</v>
      </c>
      <c r="P39" s="8">
        <v>1477.3823689999999</v>
      </c>
      <c r="Q39" s="8">
        <v>1708.7419359999999</v>
      </c>
      <c r="R39" s="8">
        <v>1721.521362</v>
      </c>
      <c r="S39" s="8">
        <v>1656.1159560000001</v>
      </c>
      <c r="T39" s="8">
        <v>1425.6828700000001</v>
      </c>
      <c r="U39" s="8">
        <v>1416.573388</v>
      </c>
      <c r="V39" s="8">
        <v>1502.377782</v>
      </c>
      <c r="W39" s="8">
        <v>1666.19604</v>
      </c>
      <c r="X39" s="8">
        <v>1660.424446</v>
      </c>
      <c r="Y39" s="8">
        <v>1798.4774279999999</v>
      </c>
      <c r="Z39" s="8">
        <v>1613.011968</v>
      </c>
      <c r="AA39" s="8">
        <v>1594.410809</v>
      </c>
      <c r="AC39" s="2">
        <v>1118</v>
      </c>
      <c r="AD39" s="2">
        <v>922.4</v>
      </c>
      <c r="AE39" s="2">
        <v>1207</v>
      </c>
      <c r="AF39" s="2">
        <v>918</v>
      </c>
      <c r="AG39" s="2" t="s">
        <v>773</v>
      </c>
      <c r="AH39" s="2">
        <v>912.3</v>
      </c>
      <c r="AI39" s="2" t="s">
        <v>773</v>
      </c>
      <c r="AJ39" s="2" t="s">
        <v>773</v>
      </c>
      <c r="AK39" s="19">
        <v>9.2361111111111116E-2</v>
      </c>
      <c r="AL39" s="60">
        <f>(2+(13/60))*AH39</f>
        <v>2022.2650000000001</v>
      </c>
    </row>
    <row r="40" spans="1:49" x14ac:dyDescent="0.2">
      <c r="A40" s="2">
        <v>25</v>
      </c>
      <c r="B40" s="2">
        <v>34</v>
      </c>
      <c r="C40" s="2">
        <v>21</v>
      </c>
      <c r="D40" t="s">
        <v>44</v>
      </c>
      <c r="E40" t="s">
        <v>519</v>
      </c>
      <c r="G40" s="2">
        <v>152910</v>
      </c>
      <c r="H40" s="2">
        <v>1291</v>
      </c>
      <c r="I40" s="15">
        <v>46.11</v>
      </c>
      <c r="J40" s="15">
        <v>24.61</v>
      </c>
      <c r="O40" s="8">
        <v>1435.6338330000001</v>
      </c>
      <c r="P40" s="8">
        <v>1545.101314</v>
      </c>
      <c r="Q40" s="8">
        <v>1460.321179</v>
      </c>
      <c r="R40" s="8">
        <v>1413.0307330000001</v>
      </c>
      <c r="S40" s="8">
        <v>1375.825542</v>
      </c>
      <c r="T40" s="8">
        <v>1281.951184</v>
      </c>
      <c r="U40" s="8">
        <v>1522.9679389999999</v>
      </c>
      <c r="V40" s="8">
        <v>1528.8113189999999</v>
      </c>
      <c r="W40" s="8">
        <v>1508.7252080000001</v>
      </c>
      <c r="X40" s="8">
        <v>1499.9739079999999</v>
      </c>
      <c r="Y40" s="8">
        <v>1599.604767</v>
      </c>
      <c r="Z40" s="8">
        <v>1515.5638019999999</v>
      </c>
      <c r="AA40" s="8">
        <v>1697.100586</v>
      </c>
      <c r="AC40" s="2">
        <v>1619</v>
      </c>
      <c r="AD40" s="2">
        <v>1652</v>
      </c>
      <c r="AE40" s="2">
        <v>1316</v>
      </c>
      <c r="AF40" s="2">
        <v>1375</v>
      </c>
      <c r="AG40" s="2" t="s">
        <v>773</v>
      </c>
      <c r="AH40" s="2">
        <v>1390</v>
      </c>
      <c r="AI40" s="2" t="s">
        <v>773</v>
      </c>
      <c r="AJ40" s="2" t="s">
        <v>773</v>
      </c>
      <c r="AK40" s="19">
        <v>0.2298611111111111</v>
      </c>
      <c r="AL40" s="8">
        <f>(5+(31/60))*AH40</f>
        <v>7668.166666666667</v>
      </c>
      <c r="AM40">
        <v>1997</v>
      </c>
    </row>
    <row r="41" spans="1:49" x14ac:dyDescent="0.2">
      <c r="A41" s="2">
        <v>26</v>
      </c>
      <c r="B41" s="2">
        <v>26</v>
      </c>
      <c r="C41" s="2">
        <v>35</v>
      </c>
      <c r="D41" t="s">
        <v>50</v>
      </c>
      <c r="E41" t="s">
        <v>531</v>
      </c>
      <c r="G41" s="2">
        <v>14720</v>
      </c>
      <c r="H41" s="2">
        <v>916.8</v>
      </c>
      <c r="I41" s="15">
        <v>32.74</v>
      </c>
      <c r="J41" s="15">
        <v>24.51</v>
      </c>
      <c r="O41" s="8">
        <v>907.66303500000004</v>
      </c>
      <c r="P41" s="8">
        <v>935.21033399999999</v>
      </c>
      <c r="Q41" s="8">
        <v>938.94520699999998</v>
      </c>
      <c r="R41" s="8">
        <v>908.69497000000001</v>
      </c>
      <c r="S41" s="8">
        <v>807.720327</v>
      </c>
      <c r="T41" s="8">
        <v>742.11727299999995</v>
      </c>
      <c r="U41" s="8">
        <v>821.76327700000002</v>
      </c>
      <c r="V41" s="8">
        <v>726.57657200000006</v>
      </c>
      <c r="W41" s="8">
        <v>744.189255</v>
      </c>
      <c r="X41" s="8">
        <v>764.07541600000002</v>
      </c>
      <c r="Y41" s="8">
        <v>793.42004099999997</v>
      </c>
      <c r="Z41" s="8">
        <v>730.26431000000002</v>
      </c>
      <c r="AA41" s="8">
        <v>759.75205900000003</v>
      </c>
      <c r="AC41" s="2">
        <v>827.4</v>
      </c>
      <c r="AD41" s="2">
        <v>1057</v>
      </c>
      <c r="AE41" s="2">
        <v>1003</v>
      </c>
      <c r="AF41" s="2">
        <v>958.1</v>
      </c>
      <c r="AG41" s="2" t="s">
        <v>773</v>
      </c>
      <c r="AH41" s="2">
        <v>945.3</v>
      </c>
      <c r="AI41" s="2" t="s">
        <v>773</v>
      </c>
      <c r="AJ41" s="2" t="s">
        <v>773</v>
      </c>
      <c r="AK41" s="19">
        <v>0.25</v>
      </c>
      <c r="AL41" s="8">
        <f>6*AH41</f>
        <v>5671.7999999999993</v>
      </c>
    </row>
    <row r="42" spans="1:49" x14ac:dyDescent="0.2">
      <c r="A42" s="2">
        <v>27</v>
      </c>
      <c r="B42" s="2">
        <v>31</v>
      </c>
      <c r="C42" s="2">
        <v>112</v>
      </c>
      <c r="D42" t="s">
        <v>70</v>
      </c>
      <c r="E42" t="s">
        <v>527</v>
      </c>
      <c r="G42" s="2">
        <v>392730</v>
      </c>
      <c r="H42" s="2">
        <v>180.7</v>
      </c>
      <c r="I42" s="15">
        <v>6.4560000000000004</v>
      </c>
      <c r="J42" s="15">
        <v>5.0140000000000002</v>
      </c>
      <c r="O42" s="8">
        <v>171.62819200000001</v>
      </c>
      <c r="P42" s="8">
        <v>171.68662399999999</v>
      </c>
      <c r="Q42" s="8">
        <v>172.519699</v>
      </c>
      <c r="R42" s="8">
        <v>169.64112499999999</v>
      </c>
      <c r="S42" s="8">
        <v>173.54876300000001</v>
      </c>
      <c r="T42" s="8">
        <v>161.13384600000001</v>
      </c>
      <c r="U42" s="8">
        <v>175.19556</v>
      </c>
      <c r="V42" s="8">
        <v>173.894057</v>
      </c>
      <c r="W42" s="8">
        <v>194.23142999999999</v>
      </c>
      <c r="X42" s="8">
        <v>189.42804699999999</v>
      </c>
      <c r="Y42" s="8">
        <v>209.11055300000001</v>
      </c>
      <c r="Z42" s="8">
        <v>186.626665</v>
      </c>
      <c r="AA42" s="8">
        <v>194.02378899999999</v>
      </c>
      <c r="AC42" s="2">
        <v>176.4</v>
      </c>
      <c r="AD42" s="2">
        <v>181.6</v>
      </c>
      <c r="AE42" s="2">
        <v>174.8</v>
      </c>
      <c r="AF42" s="2">
        <v>180.7</v>
      </c>
      <c r="AG42" s="2" t="s">
        <v>773</v>
      </c>
      <c r="AH42" s="2">
        <v>181.3</v>
      </c>
      <c r="AI42" s="2" t="s">
        <v>773</v>
      </c>
      <c r="AJ42" s="2" t="s">
        <v>773</v>
      </c>
      <c r="AK42" s="19">
        <v>0.28125</v>
      </c>
      <c r="AL42" s="8">
        <f>(6+(45/60))*AH42</f>
        <v>1223.7750000000001</v>
      </c>
    </row>
    <row r="43" spans="1:49" x14ac:dyDescent="0.2">
      <c r="A43" s="2">
        <v>28</v>
      </c>
      <c r="B43" s="2">
        <v>41</v>
      </c>
      <c r="C43" s="2">
        <v>64</v>
      </c>
      <c r="D43" t="s">
        <v>71</v>
      </c>
      <c r="E43" t="s">
        <v>526</v>
      </c>
      <c r="G43" s="2">
        <v>70570</v>
      </c>
      <c r="H43" s="2">
        <v>425.9</v>
      </c>
      <c r="I43" s="15">
        <v>15.21</v>
      </c>
      <c r="J43" s="15">
        <v>12.93</v>
      </c>
      <c r="O43" s="8">
        <v>797.19667300000003</v>
      </c>
      <c r="P43" s="8">
        <v>765.03963699999997</v>
      </c>
      <c r="Q43" s="8">
        <v>820.00609899999995</v>
      </c>
      <c r="R43" s="8">
        <v>760.62854900000002</v>
      </c>
      <c r="S43" s="8">
        <v>764.65344200000004</v>
      </c>
      <c r="T43" s="8">
        <v>749.89831900000001</v>
      </c>
      <c r="U43" s="8">
        <v>813.94333600000004</v>
      </c>
      <c r="V43" s="8">
        <v>746.94205199999999</v>
      </c>
      <c r="W43" s="8">
        <v>799.83765800000003</v>
      </c>
      <c r="X43" s="8">
        <v>841.82767100000001</v>
      </c>
      <c r="Y43" s="8">
        <v>874.69532200000003</v>
      </c>
      <c r="Z43" s="8">
        <v>767.29872</v>
      </c>
      <c r="AA43" s="8">
        <v>851.97962399999994</v>
      </c>
      <c r="AC43" s="2">
        <v>470</v>
      </c>
      <c r="AD43" s="2">
        <v>442</v>
      </c>
      <c r="AE43" s="2">
        <v>408.3</v>
      </c>
      <c r="AF43" s="2">
        <v>425.9</v>
      </c>
      <c r="AG43" s="2" t="s">
        <v>773</v>
      </c>
      <c r="AH43" s="2">
        <v>415</v>
      </c>
      <c r="AI43" s="2" t="s">
        <v>773</v>
      </c>
      <c r="AJ43" s="2" t="s">
        <v>773</v>
      </c>
      <c r="AK43" s="19">
        <v>0.15138888888888888</v>
      </c>
      <c r="AL43" s="8">
        <f>(3+(38/60))*AH43</f>
        <v>1507.8333333333333</v>
      </c>
    </row>
    <row r="44" spans="1:49" x14ac:dyDescent="0.2">
      <c r="A44" s="2">
        <v>29</v>
      </c>
      <c r="B44" s="2">
        <v>42</v>
      </c>
      <c r="C44" s="2">
        <v>25</v>
      </c>
      <c r="D44" t="s">
        <v>45</v>
      </c>
      <c r="E44" t="s">
        <v>678</v>
      </c>
      <c r="G44" s="2">
        <v>1000</v>
      </c>
      <c r="H44" s="2">
        <v>1037</v>
      </c>
      <c r="I44" s="15">
        <v>37.07</v>
      </c>
      <c r="J44" s="15">
        <v>29.69</v>
      </c>
      <c r="O44" s="8">
        <v>3269.4591959999998</v>
      </c>
      <c r="P44" s="8">
        <v>3120.604092</v>
      </c>
      <c r="Q44" s="8">
        <v>3243.758808</v>
      </c>
      <c r="R44" s="8">
        <v>3307.0426160000002</v>
      </c>
      <c r="S44" s="8">
        <v>3185.2146670000002</v>
      </c>
      <c r="T44" s="8">
        <v>3386.1552390000002</v>
      </c>
      <c r="U44" s="8">
        <v>3755.55978</v>
      </c>
      <c r="V44" s="8">
        <v>3517.5108319999999</v>
      </c>
      <c r="W44" s="8">
        <v>3393.4118199999998</v>
      </c>
      <c r="X44" s="8">
        <v>3669.0537429999999</v>
      </c>
      <c r="Y44" s="8">
        <v>3952.4160109999998</v>
      </c>
      <c r="Z44" s="8">
        <v>3396.6693749999999</v>
      </c>
      <c r="AA44" s="8">
        <v>3641.8194480000002</v>
      </c>
      <c r="AC44" s="2">
        <v>913.7</v>
      </c>
      <c r="AD44" s="2">
        <v>878.2</v>
      </c>
      <c r="AE44" s="2">
        <v>954.4</v>
      </c>
      <c r="AF44" s="2">
        <v>1123</v>
      </c>
      <c r="AG44" s="2" t="s">
        <v>773</v>
      </c>
      <c r="AH44" s="2">
        <v>1197</v>
      </c>
      <c r="AI44" s="2" t="s">
        <v>773</v>
      </c>
      <c r="AJ44" s="2" t="s">
        <v>773</v>
      </c>
      <c r="AK44" s="19">
        <v>4.027777777777778E-2</v>
      </c>
      <c r="AL44" s="8">
        <f>(58/60)*AH44</f>
        <v>1157.0999999999999</v>
      </c>
      <c r="AM44">
        <v>1982</v>
      </c>
    </row>
    <row r="45" spans="1:49" x14ac:dyDescent="0.2">
      <c r="A45" s="2">
        <v>30</v>
      </c>
      <c r="B45" s="2">
        <v>29</v>
      </c>
      <c r="C45" s="2">
        <v>61</v>
      </c>
      <c r="D45" t="s">
        <v>53</v>
      </c>
      <c r="E45" t="s">
        <v>522</v>
      </c>
      <c r="G45" s="2">
        <v>11850</v>
      </c>
      <c r="H45" s="2">
        <v>430.7</v>
      </c>
      <c r="I45" s="15">
        <v>15.38</v>
      </c>
      <c r="J45" s="15">
        <v>11.52</v>
      </c>
      <c r="O45" s="8">
        <v>576.02069700000004</v>
      </c>
      <c r="P45" s="8">
        <v>651.41664100000003</v>
      </c>
      <c r="Q45" s="8">
        <v>614.21939999999995</v>
      </c>
      <c r="R45" s="8">
        <v>530.58000000000004</v>
      </c>
      <c r="S45" s="8">
        <v>500.773166</v>
      </c>
      <c r="T45" s="8">
        <v>485.36229600000001</v>
      </c>
      <c r="U45" s="8">
        <v>508.725728</v>
      </c>
      <c r="V45" s="8">
        <v>517.14075200000002</v>
      </c>
      <c r="W45" s="8">
        <v>590.24976500000002</v>
      </c>
      <c r="X45" s="8">
        <v>596.66801199999998</v>
      </c>
      <c r="Y45" s="8">
        <v>633.64868200000001</v>
      </c>
      <c r="Z45" s="8">
        <v>581.45076900000004</v>
      </c>
      <c r="AA45" s="8">
        <v>647.21537000000001</v>
      </c>
      <c r="AC45" s="2">
        <v>370.1</v>
      </c>
      <c r="AD45" s="2">
        <v>451</v>
      </c>
      <c r="AE45" s="2">
        <v>431.1</v>
      </c>
      <c r="AF45" s="2">
        <v>422</v>
      </c>
      <c r="AG45" s="2" t="s">
        <v>773</v>
      </c>
      <c r="AH45" s="2">
        <v>417.9</v>
      </c>
      <c r="AI45" s="2" t="s">
        <v>773</v>
      </c>
      <c r="AJ45" s="2" t="s">
        <v>773</v>
      </c>
      <c r="AK45" s="19">
        <v>0.24027777777777778</v>
      </c>
      <c r="AL45" s="8">
        <f>(5+(46/60))*AH45</f>
        <v>2409.89</v>
      </c>
    </row>
    <row r="46" spans="1:49" x14ac:dyDescent="0.2">
      <c r="A46" s="2">
        <v>31</v>
      </c>
      <c r="B46" s="2">
        <v>25</v>
      </c>
      <c r="C46" s="2">
        <v>55</v>
      </c>
      <c r="D46" t="s">
        <v>56</v>
      </c>
      <c r="E46" t="s">
        <v>532</v>
      </c>
      <c r="G46" s="2">
        <v>65000</v>
      </c>
      <c r="H46" s="2">
        <v>545.5</v>
      </c>
      <c r="I46" s="15">
        <v>19.48</v>
      </c>
      <c r="J46" s="15">
        <v>14.08</v>
      </c>
      <c r="O46" s="8">
        <v>743.942138</v>
      </c>
      <c r="P46" s="8">
        <v>670.41076199999998</v>
      </c>
      <c r="Q46" s="8">
        <v>720.47181799999998</v>
      </c>
      <c r="R46" s="8">
        <v>776.75492099999997</v>
      </c>
      <c r="S46" s="8">
        <v>774.34571400000004</v>
      </c>
      <c r="T46" s="8">
        <v>752.17668000000003</v>
      </c>
      <c r="U46" s="8">
        <v>836.13044200000002</v>
      </c>
      <c r="V46" s="8">
        <v>868.07506899999998</v>
      </c>
      <c r="W46" s="8">
        <v>963.322676</v>
      </c>
      <c r="X46" s="8">
        <v>906.84393599999999</v>
      </c>
      <c r="Y46" s="8">
        <v>939.100595</v>
      </c>
      <c r="Z46" s="8">
        <v>827.53197899999998</v>
      </c>
      <c r="AA46" s="8">
        <v>864.37088600000004</v>
      </c>
      <c r="AC46" s="2">
        <v>401.3</v>
      </c>
      <c r="AD46" s="2">
        <v>474.9</v>
      </c>
      <c r="AE46" s="2">
        <v>553.5</v>
      </c>
      <c r="AF46" s="2">
        <v>570.5</v>
      </c>
      <c r="AG46" s="2" t="s">
        <v>773</v>
      </c>
      <c r="AH46" s="2">
        <v>570.1</v>
      </c>
      <c r="AI46" s="2" t="s">
        <v>773</v>
      </c>
      <c r="AJ46" s="2" t="s">
        <v>773</v>
      </c>
      <c r="AK46" s="19">
        <v>0.2722222222222222</v>
      </c>
      <c r="AL46" s="8">
        <f>(6+(32/60))*AH46</f>
        <v>3724.6533333333332</v>
      </c>
    </row>
    <row r="47" spans="1:49" x14ac:dyDescent="0.2">
      <c r="A47" s="2">
        <v>32</v>
      </c>
      <c r="B47" s="2">
        <v>35</v>
      </c>
      <c r="C47" s="2">
        <v>89</v>
      </c>
      <c r="D47" t="s">
        <v>37</v>
      </c>
      <c r="E47" t="s">
        <v>533</v>
      </c>
      <c r="G47" s="2">
        <v>31000</v>
      </c>
      <c r="H47" s="2">
        <v>522.70000000000005</v>
      </c>
      <c r="I47" s="57">
        <v>18.66</v>
      </c>
      <c r="J47" s="57">
        <v>12.08</v>
      </c>
      <c r="O47" s="27">
        <v>1206</v>
      </c>
      <c r="P47" s="27">
        <v>1091</v>
      </c>
      <c r="Q47" s="27">
        <v>1167</v>
      </c>
      <c r="R47" s="27">
        <v>1366</v>
      </c>
      <c r="S47" s="27">
        <v>1099</v>
      </c>
      <c r="T47" s="27">
        <v>1108</v>
      </c>
      <c r="U47" s="27">
        <v>1131</v>
      </c>
      <c r="V47" s="27">
        <v>1227</v>
      </c>
      <c r="W47" s="27">
        <v>1323</v>
      </c>
      <c r="X47" s="27">
        <v>1350</v>
      </c>
      <c r="Y47" s="27">
        <v>1368</v>
      </c>
      <c r="Z47" s="27">
        <v>1275</v>
      </c>
      <c r="AA47" s="27">
        <v>1426</v>
      </c>
      <c r="AC47" s="2">
        <v>636.1</v>
      </c>
      <c r="AD47" s="2">
        <v>465.2</v>
      </c>
      <c r="AE47" s="2">
        <v>577.20000000000005</v>
      </c>
      <c r="AF47" s="2">
        <v>530.4</v>
      </c>
      <c r="AG47" s="2" t="s">
        <v>773</v>
      </c>
      <c r="AH47" s="2">
        <v>569.79999999999995</v>
      </c>
      <c r="AI47" s="2" t="s">
        <v>773</v>
      </c>
      <c r="AJ47" s="2" t="s">
        <v>773</v>
      </c>
      <c r="AK47" s="19">
        <v>0.1277777777777778</v>
      </c>
      <c r="AL47" s="60">
        <f>(3+(4/60))*AH47</f>
        <v>1747.3866666666665</v>
      </c>
      <c r="AT47" s="10"/>
    </row>
    <row r="48" spans="1:49" x14ac:dyDescent="0.2">
      <c r="A48" s="2">
        <v>33</v>
      </c>
      <c r="B48" s="2">
        <v>27</v>
      </c>
      <c r="C48" s="2">
        <v>58</v>
      </c>
      <c r="D48" t="s">
        <v>35</v>
      </c>
      <c r="E48" t="s">
        <v>8</v>
      </c>
      <c r="G48" s="2">
        <v>5900</v>
      </c>
      <c r="H48" s="2">
        <v>529.6</v>
      </c>
      <c r="I48" s="57">
        <v>18.91</v>
      </c>
      <c r="J48" s="57">
        <v>12.75</v>
      </c>
      <c r="M48" s="1" t="s">
        <v>16</v>
      </c>
      <c r="O48" s="27">
        <v>1020.403</v>
      </c>
      <c r="P48" s="27">
        <v>1010.0940000000001</v>
      </c>
      <c r="Q48" s="27">
        <v>1045.2529999999999</v>
      </c>
      <c r="R48" s="27">
        <v>1014.602</v>
      </c>
      <c r="S48" s="27">
        <v>928.21600000000001</v>
      </c>
      <c r="T48" s="27">
        <v>911.64200000000005</v>
      </c>
      <c r="U48" s="27">
        <v>961.68299999999999</v>
      </c>
      <c r="V48" s="27">
        <v>1011.274</v>
      </c>
      <c r="W48" s="27">
        <v>1118.7380000000001</v>
      </c>
      <c r="X48" s="27">
        <v>1154.326</v>
      </c>
      <c r="Y48" s="27">
        <v>1194.9169999999999</v>
      </c>
      <c r="Z48" s="27">
        <v>1066.9749999999999</v>
      </c>
      <c r="AA48" s="27">
        <v>1159.4290000000001</v>
      </c>
      <c r="AC48" s="2">
        <v>514.1</v>
      </c>
      <c r="AD48" s="2">
        <v>558.9</v>
      </c>
      <c r="AE48" s="2">
        <v>556</v>
      </c>
      <c r="AF48" s="2">
        <v>546.5</v>
      </c>
      <c r="AG48" s="2" t="s">
        <v>773</v>
      </c>
      <c r="AH48" s="2">
        <v>548.9</v>
      </c>
      <c r="AI48" s="2" t="s">
        <v>773</v>
      </c>
      <c r="AJ48" s="2" t="s">
        <v>773</v>
      </c>
      <c r="AK48" s="19">
        <v>0.13819444444444443</v>
      </c>
      <c r="AL48" s="60">
        <f>(3+(19/60))*AH48</f>
        <v>1820.5183333333332</v>
      </c>
    </row>
    <row r="49" spans="1:49" x14ac:dyDescent="0.2">
      <c r="A49" s="2">
        <v>34</v>
      </c>
      <c r="B49" s="2">
        <v>32</v>
      </c>
      <c r="C49" s="2">
        <v>52</v>
      </c>
      <c r="D49" t="s">
        <v>51</v>
      </c>
      <c r="E49" t="s">
        <v>7</v>
      </c>
      <c r="G49" s="2">
        <v>2000000</v>
      </c>
      <c r="H49" s="2">
        <v>620.4</v>
      </c>
      <c r="I49" s="57">
        <v>22.15</v>
      </c>
      <c r="J49" s="57">
        <v>14.1</v>
      </c>
      <c r="O49" s="8">
        <v>727.08121100000005</v>
      </c>
      <c r="P49" s="8">
        <v>720.02343299999995</v>
      </c>
      <c r="Q49" s="8">
        <v>735.02549899999997</v>
      </c>
      <c r="R49" s="8">
        <v>730.36559999999997</v>
      </c>
      <c r="S49" s="8">
        <v>695.42197499999997</v>
      </c>
      <c r="T49" s="8">
        <v>664.27989600000001</v>
      </c>
      <c r="U49" s="8">
        <v>687.80133699999999</v>
      </c>
      <c r="V49" s="8">
        <v>746.80705799999998</v>
      </c>
      <c r="W49" s="8">
        <v>816.30280800000003</v>
      </c>
      <c r="X49" s="8">
        <v>823.24812499999996</v>
      </c>
      <c r="Y49" s="8">
        <v>842.52199599999994</v>
      </c>
      <c r="Z49" s="8">
        <v>768.35725500000001</v>
      </c>
      <c r="AA49" s="8">
        <v>862.92574400000001</v>
      </c>
      <c r="AC49" s="2">
        <v>590.5</v>
      </c>
      <c r="AD49" s="2">
        <v>612.20000000000005</v>
      </c>
      <c r="AE49" s="2">
        <v>597.29999999999995</v>
      </c>
      <c r="AF49" s="2">
        <v>620.4</v>
      </c>
      <c r="AG49" s="2" t="s">
        <v>773</v>
      </c>
      <c r="AH49" s="2" t="s">
        <v>773</v>
      </c>
      <c r="AI49" s="2" t="s">
        <v>773</v>
      </c>
      <c r="AJ49" s="2" t="s">
        <v>773</v>
      </c>
      <c r="AK49" s="19">
        <v>0.22777777777777777</v>
      </c>
      <c r="AL49" s="60">
        <f>(5+(28/60))*AF49</f>
        <v>3391.52</v>
      </c>
      <c r="AT49" s="10"/>
    </row>
    <row r="50" spans="1:49" x14ac:dyDescent="0.2">
      <c r="A50" s="2">
        <v>35</v>
      </c>
      <c r="B50" s="2">
        <v>40</v>
      </c>
      <c r="C50" s="2">
        <v>126</v>
      </c>
      <c r="D50" t="s">
        <v>64</v>
      </c>
      <c r="E50" t="s">
        <v>3</v>
      </c>
      <c r="G50" s="2">
        <v>5500</v>
      </c>
      <c r="H50" s="2">
        <v>232.6</v>
      </c>
      <c r="I50" s="15">
        <v>7.92</v>
      </c>
      <c r="J50" s="15">
        <v>3.5169999999999999</v>
      </c>
      <c r="O50" s="8">
        <v>195.18588700000001</v>
      </c>
      <c r="P50" s="8">
        <v>182.41283999999999</v>
      </c>
      <c r="Q50" s="8">
        <v>206.10219599999999</v>
      </c>
      <c r="R50" s="8">
        <v>180.58576299999999</v>
      </c>
      <c r="S50" s="8">
        <v>170.52558999999999</v>
      </c>
      <c r="T50" s="8">
        <v>179.75833600000001</v>
      </c>
      <c r="U50" s="8">
        <v>184.71806599999999</v>
      </c>
      <c r="V50" s="8">
        <v>190.11642399999999</v>
      </c>
      <c r="W50" s="8">
        <v>221.27622</v>
      </c>
      <c r="X50" s="8">
        <v>221.221689</v>
      </c>
      <c r="Y50" s="8">
        <v>228.852994</v>
      </c>
      <c r="Z50" s="8">
        <v>213.153471</v>
      </c>
      <c r="AA50" s="8">
        <v>202.249405</v>
      </c>
      <c r="AC50" s="2">
        <v>261.2</v>
      </c>
      <c r="AD50" s="2">
        <v>258.8</v>
      </c>
      <c r="AE50" s="2">
        <v>292.5</v>
      </c>
      <c r="AF50" s="2">
        <v>270.8</v>
      </c>
      <c r="AG50" s="2" t="s">
        <v>773</v>
      </c>
      <c r="AH50" s="2">
        <v>243.5</v>
      </c>
      <c r="AI50" s="2" t="s">
        <v>773</v>
      </c>
      <c r="AJ50" s="2" t="s">
        <v>773</v>
      </c>
      <c r="AK50" s="19">
        <v>0.4770833333333333</v>
      </c>
      <c r="AL50" s="8">
        <f>(11+(27/60))*AH50</f>
        <v>2788.0749999999998</v>
      </c>
      <c r="AV50" s="2"/>
    </row>
    <row r="51" spans="1:49" x14ac:dyDescent="0.2">
      <c r="A51" s="2">
        <v>36</v>
      </c>
      <c r="B51" s="2">
        <v>36</v>
      </c>
      <c r="C51" s="2">
        <v>50</v>
      </c>
      <c r="D51" t="s">
        <v>62</v>
      </c>
      <c r="E51" t="s">
        <v>1234</v>
      </c>
      <c r="J51" s="15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">
        <v>444.2</v>
      </c>
      <c r="AD51" s="2" t="s">
        <v>773</v>
      </c>
      <c r="AE51" s="2" t="s">
        <v>773</v>
      </c>
      <c r="AF51" s="2" t="s">
        <v>773</v>
      </c>
      <c r="AG51" s="2" t="s">
        <v>773</v>
      </c>
      <c r="AH51" s="2" t="s">
        <v>773</v>
      </c>
      <c r="AI51" s="2" t="s">
        <v>773</v>
      </c>
      <c r="AJ51" s="2" t="s">
        <v>773</v>
      </c>
      <c r="AK51" s="19">
        <v>0.3923611111111111</v>
      </c>
      <c r="AL51" s="8">
        <f>(9+(25/60))*AC51</f>
        <v>4182.8833333333332</v>
      </c>
      <c r="AV51" s="2"/>
    </row>
    <row r="52" spans="1:49" x14ac:dyDescent="0.2">
      <c r="A52" s="2">
        <v>37</v>
      </c>
      <c r="B52" s="2">
        <v>25</v>
      </c>
      <c r="C52" s="2">
        <v>85</v>
      </c>
      <c r="D52" t="s">
        <v>38</v>
      </c>
      <c r="E52" t="s">
        <v>9</v>
      </c>
      <c r="F52" t="s">
        <v>1269</v>
      </c>
      <c r="G52" s="2">
        <v>168000</v>
      </c>
      <c r="H52" s="2">
        <v>519.5</v>
      </c>
      <c r="I52" s="15">
        <v>18.55</v>
      </c>
      <c r="J52" s="15">
        <v>9.7469999999999999</v>
      </c>
      <c r="O52" s="8">
        <v>916.00769600000001</v>
      </c>
      <c r="P52" s="8">
        <v>957.09039099999995</v>
      </c>
      <c r="Q52" s="8">
        <v>963.52757099999997</v>
      </c>
      <c r="R52" s="8">
        <v>920.06248900000003</v>
      </c>
      <c r="S52" s="8">
        <v>827.78295300000002</v>
      </c>
      <c r="T52" s="8">
        <v>568.551106</v>
      </c>
      <c r="U52" s="8">
        <v>556.76201100000003</v>
      </c>
      <c r="V52" s="8">
        <v>586.06389200000001</v>
      </c>
      <c r="W52" s="8">
        <v>865.19020799999998</v>
      </c>
      <c r="X52" s="8">
        <v>936.00502900000004</v>
      </c>
      <c r="Y52" s="8">
        <v>930.851586</v>
      </c>
      <c r="Z52" s="8">
        <v>715.80827099999999</v>
      </c>
      <c r="AA52" s="8">
        <v>943.979782</v>
      </c>
      <c r="AC52" s="2">
        <v>331.9</v>
      </c>
      <c r="AD52" s="2">
        <v>525.9</v>
      </c>
      <c r="AE52" s="2">
        <v>519.5</v>
      </c>
      <c r="AF52" s="2">
        <v>335.1</v>
      </c>
      <c r="AG52" s="2" t="s">
        <v>773</v>
      </c>
      <c r="AH52" s="2">
        <v>325.5</v>
      </c>
      <c r="AI52" s="2" t="s">
        <v>773</v>
      </c>
      <c r="AJ52" s="2" t="s">
        <v>773</v>
      </c>
      <c r="AK52" s="19">
        <v>0.37361111111111112</v>
      </c>
      <c r="AL52" s="8">
        <f>(8+(58/60))*AH52</f>
        <v>2918.65</v>
      </c>
      <c r="AT52" s="11"/>
      <c r="AU52" s="11"/>
      <c r="AV52" s="11"/>
      <c r="AW52" s="12"/>
    </row>
    <row r="53" spans="1:49" x14ac:dyDescent="0.2">
      <c r="A53" s="2">
        <v>38</v>
      </c>
      <c r="B53" s="2">
        <v>45</v>
      </c>
      <c r="C53" s="2">
        <v>51</v>
      </c>
      <c r="D53" t="s">
        <v>49</v>
      </c>
      <c r="E53" t="s">
        <v>6</v>
      </c>
      <c r="G53" s="2">
        <v>2000</v>
      </c>
      <c r="H53" s="2">
        <v>675.9</v>
      </c>
      <c r="I53" s="15">
        <v>24.14</v>
      </c>
      <c r="J53" s="15">
        <v>19.010000000000002</v>
      </c>
      <c r="O53" s="8">
        <v>1592.45577</v>
      </c>
      <c r="P53" s="8">
        <v>1699.725723</v>
      </c>
      <c r="Q53" s="8">
        <v>1609.33959</v>
      </c>
      <c r="R53" s="8">
        <v>1659.7602449999999</v>
      </c>
      <c r="S53" s="8">
        <v>1465.289884</v>
      </c>
      <c r="T53" s="8">
        <v>1296.696506</v>
      </c>
      <c r="U53" s="8">
        <v>1468.504308</v>
      </c>
      <c r="V53" s="8">
        <v>1392.2677880000001</v>
      </c>
      <c r="W53" s="8">
        <v>1689.6079110000001</v>
      </c>
      <c r="X53" s="8">
        <v>1712.2720810000001</v>
      </c>
      <c r="Y53" s="8">
        <v>1738.4798719999999</v>
      </c>
      <c r="Z53" s="8">
        <v>1589.808759</v>
      </c>
      <c r="AA53" s="8">
        <v>1682.7836850000001</v>
      </c>
      <c r="AC53" s="2">
        <v>813.5</v>
      </c>
      <c r="AD53" s="2">
        <v>729.9</v>
      </c>
      <c r="AE53" s="2">
        <v>669.1</v>
      </c>
      <c r="AF53" s="2">
        <v>652.6</v>
      </c>
      <c r="AG53" s="2" t="s">
        <v>773</v>
      </c>
      <c r="AH53" s="2">
        <v>643</v>
      </c>
      <c r="AI53" s="2" t="s">
        <v>773</v>
      </c>
      <c r="AJ53" s="2" t="s">
        <v>773</v>
      </c>
      <c r="AK53" s="19">
        <v>0.12916666666666668</v>
      </c>
      <c r="AL53" s="8">
        <f>(3+(6/60))*AH53</f>
        <v>1993.3</v>
      </c>
    </row>
    <row r="54" spans="1:49" x14ac:dyDescent="0.2">
      <c r="A54" s="2">
        <v>39</v>
      </c>
      <c r="B54" s="2">
        <v>47</v>
      </c>
      <c r="C54" s="2">
        <v>174</v>
      </c>
      <c r="D54" t="s">
        <v>59</v>
      </c>
      <c r="E54" t="s">
        <v>540</v>
      </c>
      <c r="F54" t="s">
        <v>1323</v>
      </c>
      <c r="G54" s="2">
        <v>0</v>
      </c>
      <c r="H54" s="2">
        <v>719.1</v>
      </c>
      <c r="I54" s="15">
        <v>7.86</v>
      </c>
      <c r="J54" s="15">
        <v>5.1890000000000001</v>
      </c>
      <c r="O54" s="8">
        <v>360.40290199999998</v>
      </c>
      <c r="P54" s="8">
        <v>486.08710100000002</v>
      </c>
      <c r="Q54" s="8">
        <v>378.92294299999998</v>
      </c>
      <c r="R54" s="8">
        <v>338.971271</v>
      </c>
      <c r="S54" s="8">
        <v>323.66874200000001</v>
      </c>
      <c r="T54" s="8">
        <v>318.24909700000001</v>
      </c>
      <c r="U54" s="8">
        <v>328.24787300000003</v>
      </c>
      <c r="V54" s="8">
        <v>309.88622600000002</v>
      </c>
      <c r="W54" s="8">
        <v>348.91004099999998</v>
      </c>
      <c r="X54" s="8">
        <v>358.52709700000003</v>
      </c>
      <c r="Y54" s="8">
        <v>386.66364700000003</v>
      </c>
      <c r="Z54" s="8">
        <v>334.848995</v>
      </c>
      <c r="AA54" s="8">
        <v>399.43630000000002</v>
      </c>
      <c r="AC54" s="2">
        <v>295.89999999999998</v>
      </c>
      <c r="AD54" s="2">
        <v>286.7</v>
      </c>
      <c r="AE54" s="2">
        <v>240.7</v>
      </c>
      <c r="AF54" s="2">
        <v>245.3</v>
      </c>
      <c r="AG54" s="2" t="s">
        <v>773</v>
      </c>
      <c r="AH54" s="2">
        <v>238.7</v>
      </c>
      <c r="AI54" s="2" t="s">
        <v>773</v>
      </c>
      <c r="AJ54" s="2" t="s">
        <v>773</v>
      </c>
      <c r="AK54" s="19">
        <v>0.1125</v>
      </c>
      <c r="AL54" s="8">
        <f>(2+(42/60))*AH54</f>
        <v>644.49</v>
      </c>
    </row>
    <row r="55" spans="1:49" x14ac:dyDescent="0.2">
      <c r="A55" s="2">
        <v>40</v>
      </c>
      <c r="B55" s="2">
        <v>13</v>
      </c>
      <c r="C55" s="2">
        <v>14</v>
      </c>
      <c r="D55" t="s">
        <v>33</v>
      </c>
      <c r="E55" t="s">
        <v>6</v>
      </c>
      <c r="G55" s="2">
        <v>1000</v>
      </c>
      <c r="H55" s="2">
        <v>2083</v>
      </c>
      <c r="I55" s="57">
        <v>74.41</v>
      </c>
      <c r="J55" s="57">
        <v>54.03</v>
      </c>
      <c r="M55" s="1" t="s">
        <v>16</v>
      </c>
      <c r="O55" s="2">
        <v>4121</v>
      </c>
      <c r="P55" s="2">
        <v>3606</v>
      </c>
      <c r="Q55" s="2">
        <v>4044</v>
      </c>
      <c r="R55" s="2">
        <v>4330</v>
      </c>
      <c r="S55" s="2">
        <v>4276</v>
      </c>
      <c r="T55" s="2">
        <v>3622</v>
      </c>
      <c r="U55" s="2">
        <v>4186</v>
      </c>
      <c r="V55" s="2">
        <v>3870</v>
      </c>
      <c r="W55" s="2">
        <v>4341</v>
      </c>
      <c r="X55" s="2">
        <v>4627</v>
      </c>
      <c r="Y55" s="2">
        <v>4211</v>
      </c>
      <c r="Z55" s="2">
        <v>4212</v>
      </c>
      <c r="AA55" s="2">
        <v>4566</v>
      </c>
      <c r="AC55" s="2">
        <v>657.4</v>
      </c>
      <c r="AD55" s="2">
        <v>2120</v>
      </c>
      <c r="AE55" s="2">
        <v>1980</v>
      </c>
      <c r="AF55" s="2">
        <v>2083</v>
      </c>
      <c r="AG55" s="2" t="s">
        <v>773</v>
      </c>
      <c r="AH55" s="2">
        <v>2157</v>
      </c>
      <c r="AI55" s="2" t="s">
        <v>773</v>
      </c>
      <c r="AJ55" s="2" t="s">
        <v>773</v>
      </c>
      <c r="AK55" s="19">
        <v>0.3</v>
      </c>
      <c r="AL55" s="60">
        <f>(7+(12/60))*AH55</f>
        <v>15530.4</v>
      </c>
      <c r="AM55">
        <v>1997</v>
      </c>
    </row>
    <row r="56" spans="1:49" s="3" customFormat="1" x14ac:dyDescent="0.2">
      <c r="A56" s="4">
        <v>41</v>
      </c>
      <c r="B56" s="4">
        <v>41</v>
      </c>
      <c r="C56" s="4">
        <v>19</v>
      </c>
      <c r="D56" s="3" t="s">
        <v>1345</v>
      </c>
      <c r="E56" s="3" t="s">
        <v>1478</v>
      </c>
      <c r="G56" s="4">
        <v>100000</v>
      </c>
      <c r="H56" s="4"/>
      <c r="I56" s="58"/>
      <c r="J56" s="58"/>
      <c r="K56" s="4"/>
      <c r="L56" s="9"/>
      <c r="M56" s="9"/>
      <c r="N56" s="9"/>
      <c r="O56" s="4" t="s">
        <v>773</v>
      </c>
      <c r="P56" s="4" t="s">
        <v>773</v>
      </c>
      <c r="Q56" s="4" t="s">
        <v>773</v>
      </c>
      <c r="R56" s="4" t="s">
        <v>773</v>
      </c>
      <c r="S56" s="4" t="s">
        <v>773</v>
      </c>
      <c r="T56" s="4" t="s">
        <v>773</v>
      </c>
      <c r="U56" s="4" t="s">
        <v>773</v>
      </c>
      <c r="V56" s="4" t="s">
        <v>773</v>
      </c>
      <c r="W56" s="4" t="s">
        <v>773</v>
      </c>
      <c r="X56" s="4" t="s">
        <v>773</v>
      </c>
      <c r="Y56" s="4" t="s">
        <v>773</v>
      </c>
      <c r="Z56" s="4" t="s">
        <v>773</v>
      </c>
      <c r="AA56" s="4" t="s">
        <v>773</v>
      </c>
      <c r="AB56" s="9"/>
      <c r="AC56" s="4">
        <v>2179</v>
      </c>
      <c r="AD56" s="4" t="s">
        <v>773</v>
      </c>
      <c r="AE56" s="4" t="s">
        <v>773</v>
      </c>
      <c r="AF56" s="4" t="s">
        <v>773</v>
      </c>
      <c r="AG56" s="4" t="s">
        <v>773</v>
      </c>
      <c r="AH56" s="4" t="s">
        <v>773</v>
      </c>
      <c r="AI56" s="4" t="s">
        <v>773</v>
      </c>
      <c r="AJ56" s="4" t="s">
        <v>773</v>
      </c>
      <c r="AK56" s="23">
        <v>0.25277777777777777</v>
      </c>
      <c r="AL56" s="66">
        <f>(6+(4/60))*AC56</f>
        <v>13219.266666666666</v>
      </c>
    </row>
    <row r="57" spans="1:49" s="3" customFormat="1" x14ac:dyDescent="0.2">
      <c r="A57" s="4">
        <v>168</v>
      </c>
      <c r="B57" s="4">
        <v>85</v>
      </c>
      <c r="C57" s="4">
        <v>22</v>
      </c>
      <c r="D57" s="3" t="s">
        <v>65</v>
      </c>
      <c r="E57" s="3" t="s">
        <v>6</v>
      </c>
      <c r="G57" s="4">
        <v>29000</v>
      </c>
      <c r="H57" s="4">
        <v>1504</v>
      </c>
      <c r="I57" s="16">
        <v>59.85</v>
      </c>
      <c r="J57" s="16">
        <v>35.47</v>
      </c>
      <c r="K57" s="4"/>
      <c r="L57" s="9"/>
      <c r="M57" s="9"/>
      <c r="N57" s="9"/>
      <c r="O57" s="47">
        <v>2349</v>
      </c>
      <c r="P57" s="4">
        <v>2149</v>
      </c>
      <c r="Q57" s="4">
        <v>2361</v>
      </c>
      <c r="R57" s="4">
        <v>2514</v>
      </c>
      <c r="S57" s="4">
        <v>1998</v>
      </c>
      <c r="T57" s="4">
        <v>1954</v>
      </c>
      <c r="U57" s="4">
        <v>2172</v>
      </c>
      <c r="V57" s="4">
        <v>2666</v>
      </c>
      <c r="W57" s="4">
        <v>3198</v>
      </c>
      <c r="X57" s="4">
        <v>3005</v>
      </c>
      <c r="Y57" s="4">
        <v>2610</v>
      </c>
      <c r="Z57" s="4">
        <v>1786</v>
      </c>
      <c r="AA57" s="4">
        <v>1080</v>
      </c>
      <c r="AB57" s="9"/>
      <c r="AC57" s="4">
        <v>384.6</v>
      </c>
      <c r="AD57" s="4">
        <v>1338</v>
      </c>
      <c r="AE57" s="4">
        <v>1516</v>
      </c>
      <c r="AF57" s="4">
        <v>1303</v>
      </c>
      <c r="AG57" s="4">
        <v>1406</v>
      </c>
      <c r="AH57" s="4">
        <v>1448</v>
      </c>
      <c r="AI57" s="4" t="s">
        <v>773</v>
      </c>
      <c r="AJ57" s="4" t="s">
        <v>773</v>
      </c>
      <c r="AK57" s="23">
        <v>0.17916666666666667</v>
      </c>
      <c r="AL57" s="47">
        <f>(4+(18/60))*AF57</f>
        <v>5602.9</v>
      </c>
      <c r="AM57" s="3">
        <v>2015</v>
      </c>
      <c r="AQ57"/>
      <c r="AR57"/>
      <c r="AS57"/>
    </row>
    <row r="58" spans="1:49" x14ac:dyDescent="0.2">
      <c r="A58" s="2">
        <v>42</v>
      </c>
      <c r="B58" s="2">
        <v>43</v>
      </c>
      <c r="C58" s="2">
        <v>147</v>
      </c>
      <c r="D58" t="s">
        <v>48</v>
      </c>
      <c r="E58" t="s">
        <v>520</v>
      </c>
      <c r="G58" s="2">
        <v>15820</v>
      </c>
      <c r="H58" s="2">
        <v>287.7</v>
      </c>
      <c r="I58" s="15">
        <v>10.27</v>
      </c>
      <c r="J58" s="15">
        <v>5.9850000000000003</v>
      </c>
      <c r="O58" s="27">
        <v>772.803</v>
      </c>
      <c r="P58" s="27">
        <v>774.49</v>
      </c>
      <c r="Q58" s="27">
        <v>765.82799999999997</v>
      </c>
      <c r="R58" s="27">
        <v>835.25</v>
      </c>
      <c r="S58" s="27">
        <v>690.36</v>
      </c>
      <c r="T58" s="27">
        <v>690.90099999999995</v>
      </c>
      <c r="U58" s="27">
        <v>753.80200000000002</v>
      </c>
      <c r="V58" s="27">
        <v>753.24800000000005</v>
      </c>
      <c r="W58" s="27">
        <v>887.91899999999998</v>
      </c>
      <c r="X58" s="27">
        <v>1008.769</v>
      </c>
      <c r="Y58" s="27">
        <v>1026.9590000000001</v>
      </c>
      <c r="Z58" s="27">
        <v>936.45600000000002</v>
      </c>
      <c r="AA58" s="27">
        <v>1075.652</v>
      </c>
      <c r="AC58" s="2">
        <v>332.6</v>
      </c>
      <c r="AD58" s="2">
        <v>246.6</v>
      </c>
      <c r="AE58" s="2">
        <v>274.8</v>
      </c>
      <c r="AF58" s="2">
        <v>257.8</v>
      </c>
      <c r="AG58" s="2" t="s">
        <v>773</v>
      </c>
      <c r="AH58" s="2">
        <v>268.8</v>
      </c>
      <c r="AI58" s="2" t="s">
        <v>773</v>
      </c>
      <c r="AJ58" s="2" t="s">
        <v>773</v>
      </c>
      <c r="AK58" s="19">
        <v>0.2673611111111111</v>
      </c>
      <c r="AL58" s="60">
        <f>(6+(25/60))*AH58</f>
        <v>1724.8000000000002</v>
      </c>
    </row>
    <row r="59" spans="1:49" x14ac:dyDescent="0.2">
      <c r="A59" s="2">
        <v>43</v>
      </c>
      <c r="B59" s="2">
        <v>37</v>
      </c>
      <c r="C59" s="2">
        <v>44</v>
      </c>
      <c r="D59" t="s">
        <v>52</v>
      </c>
      <c r="E59" t="s">
        <v>521</v>
      </c>
      <c r="G59" s="2">
        <v>24420</v>
      </c>
      <c r="H59" s="2">
        <v>716.2</v>
      </c>
      <c r="I59" s="15">
        <v>25.57</v>
      </c>
      <c r="J59" s="15">
        <v>9.7479999999999993</v>
      </c>
      <c r="O59" s="8">
        <v>432.30477400000001</v>
      </c>
      <c r="P59" s="8">
        <v>453.17909400000002</v>
      </c>
      <c r="Q59" s="8">
        <v>399.76040799999998</v>
      </c>
      <c r="R59" s="8">
        <v>469.298565</v>
      </c>
      <c r="S59" s="8">
        <v>480.974806</v>
      </c>
      <c r="T59" s="8">
        <v>522.93825500000003</v>
      </c>
      <c r="U59" s="8">
        <v>552.21293400000002</v>
      </c>
      <c r="V59" s="8">
        <v>498.928045</v>
      </c>
      <c r="W59" s="8">
        <v>466.76536800000002</v>
      </c>
      <c r="X59" s="8">
        <v>565.30447900000001</v>
      </c>
      <c r="Y59" s="8">
        <v>480.35779000000002</v>
      </c>
      <c r="Z59" s="8">
        <v>474.88726400000002</v>
      </c>
      <c r="AA59" s="8">
        <v>492.14461599999998</v>
      </c>
      <c r="AC59" s="2">
        <v>706.4</v>
      </c>
      <c r="AD59" s="2">
        <v>742.7</v>
      </c>
      <c r="AE59" s="2">
        <v>639.70000000000005</v>
      </c>
      <c r="AF59" s="2">
        <v>809.5</v>
      </c>
      <c r="AG59" s="2" t="s">
        <v>773</v>
      </c>
      <c r="AH59" s="2">
        <v>801.5</v>
      </c>
      <c r="AI59" s="2" t="s">
        <v>773</v>
      </c>
      <c r="AJ59" s="2" t="s">
        <v>773</v>
      </c>
      <c r="AK59" s="19">
        <v>0.56944444444444442</v>
      </c>
      <c r="AL59" s="8">
        <f>(13+(40/60))*AH59</f>
        <v>10953.833333333332</v>
      </c>
    </row>
    <row r="60" spans="1:49" x14ac:dyDescent="0.2">
      <c r="A60" s="2">
        <v>44</v>
      </c>
      <c r="B60" s="2">
        <v>44</v>
      </c>
      <c r="C60" s="2">
        <v>156</v>
      </c>
      <c r="D60" t="s">
        <v>63</v>
      </c>
      <c r="E60" t="s">
        <v>524</v>
      </c>
      <c r="G60" s="2">
        <v>290540</v>
      </c>
      <c r="H60" s="2">
        <v>181.2</v>
      </c>
      <c r="I60" s="15">
        <v>7.25</v>
      </c>
      <c r="J60" s="15">
        <v>5.6109999999999998</v>
      </c>
      <c r="O60" s="8">
        <v>275.34672499999999</v>
      </c>
      <c r="P60" s="8">
        <v>262.27178800000002</v>
      </c>
      <c r="Q60" s="8">
        <v>291.258397</v>
      </c>
      <c r="R60" s="8">
        <v>246.64854399999999</v>
      </c>
      <c r="S60" s="8">
        <v>247.093321</v>
      </c>
      <c r="T60" s="8">
        <v>264.89945499999999</v>
      </c>
      <c r="U60" s="8">
        <v>286.78350499999999</v>
      </c>
      <c r="V60" s="8">
        <v>293.65545100000003</v>
      </c>
      <c r="W60" s="8">
        <v>333.76142099999998</v>
      </c>
      <c r="X60" s="8">
        <v>299.882002</v>
      </c>
      <c r="Y60" s="8">
        <v>296.39478300000002</v>
      </c>
      <c r="Z60" s="8">
        <v>223.92214200000001</v>
      </c>
      <c r="AA60" s="8">
        <v>248.097385</v>
      </c>
      <c r="AC60" s="2">
        <v>194</v>
      </c>
      <c r="AD60" s="2">
        <v>161.19999999999999</v>
      </c>
      <c r="AE60" s="2">
        <v>171.8</v>
      </c>
      <c r="AF60" s="2">
        <v>194.5</v>
      </c>
      <c r="AG60" s="2" t="s">
        <v>773</v>
      </c>
      <c r="AH60" s="2">
        <v>208.2</v>
      </c>
      <c r="AI60" s="2" t="s">
        <v>773</v>
      </c>
      <c r="AJ60" s="2" t="s">
        <v>773</v>
      </c>
      <c r="AK60" s="19">
        <v>0.20347222222222219</v>
      </c>
      <c r="AL60" s="8">
        <f>(4+(53/60))*AH60</f>
        <v>1016.7099999999998</v>
      </c>
      <c r="AV60" s="2"/>
    </row>
    <row r="61" spans="1:49" x14ac:dyDescent="0.2">
      <c r="A61" s="2">
        <v>45</v>
      </c>
      <c r="B61" s="2">
        <v>30</v>
      </c>
      <c r="C61" s="2">
        <v>24</v>
      </c>
      <c r="D61" t="s">
        <v>58</v>
      </c>
      <c r="E61" t="s">
        <v>6</v>
      </c>
      <c r="G61" s="2" t="s">
        <v>6</v>
      </c>
      <c r="H61" s="2">
        <v>1405</v>
      </c>
      <c r="I61" s="15">
        <v>50.21</v>
      </c>
      <c r="J61" s="15">
        <v>39.44</v>
      </c>
      <c r="O61" s="8">
        <v>2679.828368</v>
      </c>
      <c r="P61" s="8">
        <v>2381.0986480000001</v>
      </c>
      <c r="Q61" s="8">
        <v>2621.7744560000001</v>
      </c>
      <c r="R61" s="8">
        <v>2767.5447610000001</v>
      </c>
      <c r="S61" s="8">
        <v>2812.636927</v>
      </c>
      <c r="T61" s="8">
        <v>2705.6786229999998</v>
      </c>
      <c r="U61" s="8">
        <v>2653.7896949999999</v>
      </c>
      <c r="V61" s="8">
        <v>2693.2647609999999</v>
      </c>
      <c r="W61" s="8">
        <v>2687.0294749999998</v>
      </c>
      <c r="X61" s="8">
        <v>2964.8757740000001</v>
      </c>
      <c r="Y61" s="8">
        <v>2882.2098719999999</v>
      </c>
      <c r="Z61" s="8">
        <v>2599.618892</v>
      </c>
      <c r="AA61" s="8">
        <v>2854.4972550000002</v>
      </c>
      <c r="AC61" s="2">
        <v>897.8</v>
      </c>
      <c r="AD61" s="2">
        <v>1280</v>
      </c>
      <c r="AE61" s="2">
        <v>1341</v>
      </c>
      <c r="AF61" s="2">
        <v>1405</v>
      </c>
      <c r="AG61" s="2" t="s">
        <v>773</v>
      </c>
      <c r="AH61" s="2" t="s">
        <v>773</v>
      </c>
      <c r="AI61" s="2" t="s">
        <v>773</v>
      </c>
      <c r="AJ61" s="2" t="s">
        <v>773</v>
      </c>
      <c r="AK61" s="19">
        <v>0.31597222222222221</v>
      </c>
      <c r="AL61" s="60">
        <f>(7+(35/60))*AF61</f>
        <v>10654.583333333332</v>
      </c>
    </row>
    <row r="62" spans="1:49" x14ac:dyDescent="0.2">
      <c r="A62" s="2">
        <v>46</v>
      </c>
      <c r="B62" s="2">
        <v>75</v>
      </c>
      <c r="C62" s="2">
        <v>89</v>
      </c>
      <c r="D62" t="s">
        <v>123</v>
      </c>
      <c r="E62" t="s">
        <v>689</v>
      </c>
      <c r="G62" s="2">
        <v>84130</v>
      </c>
      <c r="H62" s="2">
        <v>244.9</v>
      </c>
      <c r="I62" s="15">
        <v>8.7490000000000006</v>
      </c>
      <c r="J62" s="15">
        <v>7.01</v>
      </c>
      <c r="O62" s="8">
        <v>380.517675</v>
      </c>
      <c r="P62" s="8">
        <v>420.99044900000001</v>
      </c>
      <c r="Q62" s="8">
        <v>404.519723</v>
      </c>
      <c r="R62" s="8">
        <v>362.95341300000001</v>
      </c>
      <c r="S62" s="8">
        <v>341.467534</v>
      </c>
      <c r="T62" s="8">
        <v>296.19216499999999</v>
      </c>
      <c r="U62" s="8">
        <v>265.29326800000001</v>
      </c>
      <c r="V62" s="8">
        <v>256.31611700000002</v>
      </c>
      <c r="W62" s="8">
        <v>269.64378499999998</v>
      </c>
      <c r="X62" s="8">
        <v>161.789739</v>
      </c>
      <c r="Y62" s="8">
        <v>116.822216</v>
      </c>
      <c r="Z62" s="8">
        <v>104.52454</v>
      </c>
      <c r="AA62" s="8">
        <v>99.960665000000006</v>
      </c>
      <c r="AC62" s="2">
        <v>589.79999999999995</v>
      </c>
      <c r="AD62" s="2">
        <v>442.8</v>
      </c>
      <c r="AE62" s="2">
        <v>302.60000000000002</v>
      </c>
      <c r="AF62" s="2">
        <v>244.9</v>
      </c>
      <c r="AG62" s="14" t="s">
        <v>773</v>
      </c>
      <c r="AH62" s="2">
        <v>212.1</v>
      </c>
      <c r="AI62" s="2" t="s">
        <v>773</v>
      </c>
      <c r="AJ62" s="2" t="s">
        <v>773</v>
      </c>
      <c r="AK62" s="19">
        <v>0.20555555555555557</v>
      </c>
      <c r="AL62" s="8">
        <f>(4+(56/60))*AH62</f>
        <v>1046.3600000000001</v>
      </c>
    </row>
    <row r="63" spans="1:49" x14ac:dyDescent="0.2">
      <c r="A63" s="2">
        <v>47</v>
      </c>
      <c r="B63" s="2">
        <v>14</v>
      </c>
      <c r="C63" s="2">
        <v>32</v>
      </c>
      <c r="D63" t="s">
        <v>29</v>
      </c>
      <c r="E63" t="s">
        <v>6</v>
      </c>
      <c r="G63" s="2">
        <v>8000</v>
      </c>
      <c r="H63" s="2">
        <v>1025</v>
      </c>
      <c r="I63" s="57">
        <v>36.630000000000003</v>
      </c>
      <c r="J63" s="57">
        <v>21.86</v>
      </c>
      <c r="L63" s="1" t="s">
        <v>17</v>
      </c>
      <c r="M63" s="1" t="s">
        <v>11</v>
      </c>
      <c r="O63" s="27">
        <v>698.68499999999995</v>
      </c>
      <c r="P63" s="27">
        <v>770.99800000000005</v>
      </c>
      <c r="Q63" s="27">
        <v>699.09799999999996</v>
      </c>
      <c r="R63" s="27">
        <v>706.00800000000004</v>
      </c>
      <c r="S63" s="27">
        <v>676.98</v>
      </c>
      <c r="T63" s="27">
        <v>658.24400000000003</v>
      </c>
      <c r="U63" s="27">
        <v>763.58199999999999</v>
      </c>
      <c r="V63" s="27">
        <v>752.375</v>
      </c>
      <c r="W63" s="27">
        <v>763.38400000000001</v>
      </c>
      <c r="X63" s="27">
        <v>824.27</v>
      </c>
      <c r="Y63" s="27">
        <v>760.05799999999999</v>
      </c>
      <c r="Z63" s="27">
        <v>706.56500000000005</v>
      </c>
      <c r="AA63" s="27">
        <v>718.58100000000002</v>
      </c>
      <c r="AC63" s="2">
        <v>548.6</v>
      </c>
      <c r="AD63" s="2">
        <v>1032</v>
      </c>
      <c r="AE63" s="2">
        <v>948.2</v>
      </c>
      <c r="AF63" s="2">
        <v>1052</v>
      </c>
      <c r="AG63" s="2">
        <v>1072</v>
      </c>
      <c r="AH63" s="2">
        <v>1073</v>
      </c>
      <c r="AI63" s="2" t="s">
        <v>773</v>
      </c>
      <c r="AJ63" s="2" t="s">
        <v>773</v>
      </c>
      <c r="AK63" s="19">
        <v>0.28194444444444444</v>
      </c>
      <c r="AL63" s="60">
        <f>(6+(46/60))*AH63</f>
        <v>7260.6333333333332</v>
      </c>
      <c r="AM63">
        <v>2015</v>
      </c>
      <c r="AR63" s="1">
        <v>1600</v>
      </c>
    </row>
    <row r="64" spans="1:49" x14ac:dyDescent="0.2">
      <c r="A64" s="2">
        <v>48</v>
      </c>
      <c r="B64" s="2">
        <v>60</v>
      </c>
      <c r="C64" s="2">
        <v>43</v>
      </c>
      <c r="D64" t="s">
        <v>73</v>
      </c>
      <c r="E64" t="s">
        <v>7</v>
      </c>
      <c r="G64" s="2">
        <v>2000000</v>
      </c>
      <c r="H64" s="2">
        <v>739.4</v>
      </c>
      <c r="I64" s="15">
        <v>26.41</v>
      </c>
      <c r="J64" s="15">
        <v>19.96</v>
      </c>
      <c r="O64" s="8">
        <v>1714.7534479999999</v>
      </c>
      <c r="P64" s="8">
        <v>1666.4195850000001</v>
      </c>
      <c r="Q64" s="8">
        <v>1768.5094529999999</v>
      </c>
      <c r="R64" s="8">
        <v>1725.5144439999999</v>
      </c>
      <c r="S64" s="8">
        <v>1599.4893219999999</v>
      </c>
      <c r="T64" s="8">
        <v>1311.8647840000001</v>
      </c>
      <c r="U64" s="8">
        <v>1356.482205</v>
      </c>
      <c r="V64" s="8">
        <v>1390.2091499999999</v>
      </c>
      <c r="W64" s="8">
        <v>1540.4905670000001</v>
      </c>
      <c r="X64" s="8">
        <v>1489.6557560000001</v>
      </c>
      <c r="Y64" s="8">
        <v>1599.4215799999999</v>
      </c>
      <c r="Z64" s="8">
        <v>1352.3435569999999</v>
      </c>
      <c r="AA64" s="8">
        <v>1272.9684970000001</v>
      </c>
      <c r="AC64" s="2">
        <v>1027</v>
      </c>
      <c r="AD64" s="2">
        <v>880.2</v>
      </c>
      <c r="AE64" s="2">
        <v>965.4</v>
      </c>
      <c r="AF64" s="2">
        <v>739.4</v>
      </c>
      <c r="AG64" s="2">
        <v>721.3</v>
      </c>
      <c r="AH64" s="2">
        <v>729.4</v>
      </c>
      <c r="AI64" s="2" t="s">
        <v>773</v>
      </c>
      <c r="AJ64" s="2" t="s">
        <v>773</v>
      </c>
      <c r="AK64" s="19">
        <v>0.18402777777777779</v>
      </c>
      <c r="AL64" s="60">
        <f>(4+(25/60))*AH64</f>
        <v>3221.5166666666669</v>
      </c>
      <c r="AT64" t="s">
        <v>283</v>
      </c>
    </row>
    <row r="65" spans="1:48" s="5" customFormat="1" x14ac:dyDescent="0.2">
      <c r="A65" s="6">
        <v>469</v>
      </c>
      <c r="B65" s="6">
        <v>486</v>
      </c>
      <c r="C65" s="6">
        <v>537</v>
      </c>
      <c r="D65" s="5" t="s">
        <v>1400</v>
      </c>
      <c r="E65" s="5" t="s">
        <v>7</v>
      </c>
      <c r="G65" s="6">
        <v>2000000</v>
      </c>
      <c r="H65" s="6"/>
      <c r="I65" s="17"/>
      <c r="J65" s="17"/>
      <c r="K65" s="6"/>
      <c r="L65" s="7"/>
      <c r="M65" s="7"/>
      <c r="N65" s="7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7"/>
      <c r="AC65" s="6">
        <v>105.7</v>
      </c>
      <c r="AD65" s="6" t="s">
        <v>773</v>
      </c>
      <c r="AE65" s="6" t="s">
        <v>773</v>
      </c>
      <c r="AF65" s="6" t="s">
        <v>773</v>
      </c>
      <c r="AG65" s="6" t="s">
        <v>773</v>
      </c>
      <c r="AH65" s="6" t="s">
        <v>773</v>
      </c>
      <c r="AI65" s="6" t="s">
        <v>773</v>
      </c>
      <c r="AJ65" s="6" t="s">
        <v>773</v>
      </c>
      <c r="AK65" s="53">
        <v>8.4027777777777785E-2</v>
      </c>
      <c r="AL65" s="60">
        <f>(2+(1/60))*AC65</f>
        <v>213.16166666666666</v>
      </c>
    </row>
    <row r="66" spans="1:48" x14ac:dyDescent="0.2">
      <c r="A66" s="2">
        <v>49</v>
      </c>
      <c r="B66" s="2">
        <v>65</v>
      </c>
      <c r="C66" s="2">
        <v>34</v>
      </c>
      <c r="D66" t="s">
        <v>60</v>
      </c>
      <c r="E66" t="s">
        <v>2</v>
      </c>
      <c r="G66" s="2">
        <v>1000000</v>
      </c>
      <c r="H66" s="2">
        <v>1071</v>
      </c>
      <c r="I66" s="15">
        <v>35</v>
      </c>
      <c r="J66" s="15">
        <v>12.88</v>
      </c>
      <c r="O66" s="47">
        <v>1519.856</v>
      </c>
      <c r="P66" s="4">
        <v>1733.0429999999999</v>
      </c>
      <c r="Q66" s="4">
        <v>1514.9010000000001</v>
      </c>
      <c r="R66" s="4">
        <v>1510.088</v>
      </c>
      <c r="S66" s="4">
        <v>1529.415</v>
      </c>
      <c r="T66" s="4">
        <v>1512.759</v>
      </c>
      <c r="U66" s="4">
        <v>1694.201</v>
      </c>
      <c r="V66" s="4">
        <v>1693.4939999999999</v>
      </c>
      <c r="W66" s="4">
        <v>1728.6949999999999</v>
      </c>
      <c r="X66" s="4">
        <v>1777.5239999999999</v>
      </c>
      <c r="Y66" s="4">
        <v>1801.384</v>
      </c>
      <c r="Z66" s="4">
        <v>1745.702</v>
      </c>
      <c r="AA66" s="4">
        <v>1746.2339999999999</v>
      </c>
      <c r="AC66" s="2">
        <v>1121</v>
      </c>
      <c r="AD66" s="2">
        <v>1017</v>
      </c>
      <c r="AE66" s="2">
        <v>918.4</v>
      </c>
      <c r="AF66" s="2">
        <v>1025</v>
      </c>
      <c r="AG66" s="2" t="s">
        <v>773</v>
      </c>
      <c r="AH66" s="2">
        <v>1002</v>
      </c>
      <c r="AI66" s="2" t="s">
        <v>773</v>
      </c>
      <c r="AJ66" s="2" t="s">
        <v>773</v>
      </c>
      <c r="AK66" s="19">
        <v>0.37847222222222227</v>
      </c>
      <c r="AL66" s="60">
        <f>(9+(5/60))*AH66</f>
        <v>9101.5</v>
      </c>
      <c r="AV66" s="2"/>
    </row>
    <row r="67" spans="1:48" x14ac:dyDescent="0.2">
      <c r="A67" s="2">
        <v>50</v>
      </c>
      <c r="B67" s="2">
        <v>48</v>
      </c>
      <c r="C67" s="2">
        <v>63</v>
      </c>
      <c r="D67" t="s">
        <v>66</v>
      </c>
      <c r="E67" t="s">
        <v>2</v>
      </c>
      <c r="G67" s="2">
        <v>1000000</v>
      </c>
      <c r="H67" s="2">
        <v>499.9</v>
      </c>
      <c r="I67" s="15">
        <v>16.05</v>
      </c>
      <c r="J67" s="15">
        <v>12.63</v>
      </c>
      <c r="O67" s="8">
        <v>1154.861926</v>
      </c>
      <c r="P67" s="8">
        <v>1309.480053</v>
      </c>
      <c r="Q67" s="8">
        <v>1159.9563700000001</v>
      </c>
      <c r="R67" s="8">
        <v>1177.392527</v>
      </c>
      <c r="S67" s="8">
        <v>1092.27826</v>
      </c>
      <c r="T67" s="8">
        <v>1045.396405</v>
      </c>
      <c r="U67" s="8">
        <v>1232.499188</v>
      </c>
      <c r="V67" s="8">
        <v>1149.291328</v>
      </c>
      <c r="W67" s="8">
        <v>1286.5264560000001</v>
      </c>
      <c r="X67" s="8">
        <v>1314.746594</v>
      </c>
      <c r="Y67" s="8">
        <v>1352.0982879999999</v>
      </c>
      <c r="Z67" s="8">
        <v>1231.070815</v>
      </c>
      <c r="AA67" s="8">
        <v>1401.6297</v>
      </c>
      <c r="AC67" s="2">
        <v>440.8</v>
      </c>
      <c r="AD67" s="2">
        <v>503.6</v>
      </c>
      <c r="AE67" s="2">
        <v>439.2</v>
      </c>
      <c r="AF67" s="2">
        <v>473.1</v>
      </c>
      <c r="AG67" s="2" t="s">
        <v>773</v>
      </c>
      <c r="AH67" s="2">
        <v>476.5</v>
      </c>
      <c r="AI67" s="2" t="s">
        <v>773</v>
      </c>
      <c r="AJ67" s="2" t="s">
        <v>773</v>
      </c>
      <c r="AK67" s="19">
        <v>0.1361111111111111</v>
      </c>
      <c r="AL67" s="60">
        <f>(3+(16/60))*AH67</f>
        <v>1556.5666666666666</v>
      </c>
      <c r="AQ67" s="3"/>
      <c r="AR67" s="3"/>
      <c r="AS67" s="3"/>
    </row>
    <row r="68" spans="1:48" x14ac:dyDescent="0.2">
      <c r="A68" s="2">
        <v>51</v>
      </c>
      <c r="B68" s="2">
        <v>50</v>
      </c>
      <c r="C68" s="2">
        <v>41</v>
      </c>
      <c r="D68" t="s">
        <v>61</v>
      </c>
      <c r="E68" t="s">
        <v>7</v>
      </c>
      <c r="G68" s="2">
        <v>2000000</v>
      </c>
      <c r="J68" s="15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">
        <v>707.3</v>
      </c>
      <c r="AD68" s="2" t="s">
        <v>773</v>
      </c>
      <c r="AE68" s="2" t="s">
        <v>773</v>
      </c>
      <c r="AF68" s="2" t="s">
        <v>773</v>
      </c>
      <c r="AG68" s="2" t="s">
        <v>773</v>
      </c>
      <c r="AH68" s="2" t="s">
        <v>773</v>
      </c>
      <c r="AI68" s="2" t="s">
        <v>773</v>
      </c>
      <c r="AJ68" s="2" t="s">
        <v>773</v>
      </c>
      <c r="AK68" s="19">
        <v>0.36805555555555558</v>
      </c>
      <c r="AL68" s="8">
        <f>(8+(50/60))*AC68</f>
        <v>6247.8166666666666</v>
      </c>
      <c r="AQ68" s="3"/>
      <c r="AR68" s="3"/>
      <c r="AS68" s="3"/>
    </row>
    <row r="69" spans="1:48" x14ac:dyDescent="0.2">
      <c r="A69" s="2">
        <v>52</v>
      </c>
      <c r="B69" s="2">
        <v>52</v>
      </c>
      <c r="C69" s="2">
        <v>184</v>
      </c>
      <c r="D69" t="s">
        <v>82</v>
      </c>
      <c r="E69" t="s">
        <v>551</v>
      </c>
      <c r="F69" t="s">
        <v>1280</v>
      </c>
      <c r="G69" s="2">
        <v>73170</v>
      </c>
      <c r="H69" s="2">
        <v>146.69999999999999</v>
      </c>
      <c r="I69" s="15">
        <v>5.2389999999999999</v>
      </c>
      <c r="J69" s="15">
        <v>4.327</v>
      </c>
      <c r="O69" s="8">
        <v>201.247094</v>
      </c>
      <c r="P69" s="8">
        <v>234.092454</v>
      </c>
      <c r="Q69" s="8">
        <v>234.58243100000001</v>
      </c>
      <c r="R69" s="8">
        <v>156.60469399999999</v>
      </c>
      <c r="S69" s="8">
        <v>138.94261800000001</v>
      </c>
      <c r="T69" s="8">
        <v>146.75013999999999</v>
      </c>
      <c r="U69" s="8">
        <v>149.351078</v>
      </c>
      <c r="V69" s="8">
        <v>150.495442</v>
      </c>
      <c r="W69" s="8">
        <v>179.60797700000001</v>
      </c>
      <c r="X69" s="8">
        <v>161.25776500000001</v>
      </c>
      <c r="Y69" s="8">
        <v>192.524573</v>
      </c>
      <c r="Z69" s="8">
        <v>153.51055199999999</v>
      </c>
      <c r="AA69" s="8">
        <v>169.016085</v>
      </c>
      <c r="AC69" s="2">
        <v>156.30000000000001</v>
      </c>
      <c r="AD69" s="2">
        <v>194.8</v>
      </c>
      <c r="AE69" s="2">
        <v>149.5</v>
      </c>
      <c r="AF69" s="2">
        <v>146.69999999999999</v>
      </c>
      <c r="AG69" s="2" t="s">
        <v>773</v>
      </c>
      <c r="AH69" s="2">
        <v>147.69999999999999</v>
      </c>
      <c r="AI69" s="2" t="s">
        <v>773</v>
      </c>
      <c r="AJ69" s="2" t="s">
        <v>773</v>
      </c>
      <c r="AK69" s="19">
        <v>0.16111111111111112</v>
      </c>
      <c r="AL69" s="8">
        <f>(3+(52/60))*AH69</f>
        <v>571.10666666666668</v>
      </c>
      <c r="AT69" t="s">
        <v>485</v>
      </c>
    </row>
    <row r="70" spans="1:48" x14ac:dyDescent="0.2">
      <c r="A70" s="2">
        <v>53</v>
      </c>
      <c r="B70" s="2">
        <v>54</v>
      </c>
      <c r="C70" s="2">
        <v>208</v>
      </c>
      <c r="D70" t="s">
        <v>100</v>
      </c>
      <c r="E70" t="s">
        <v>537</v>
      </c>
      <c r="F70" t="s">
        <v>1263</v>
      </c>
      <c r="G70" s="2">
        <v>32970</v>
      </c>
      <c r="H70" s="2">
        <v>111.5</v>
      </c>
      <c r="I70" s="15">
        <v>3.9820000000000002</v>
      </c>
      <c r="J70" s="15">
        <v>3.262</v>
      </c>
      <c r="O70" s="8">
        <v>151.99377999999999</v>
      </c>
      <c r="P70" s="8">
        <v>163.54823300000001</v>
      </c>
      <c r="Q70" s="8">
        <v>155.857541</v>
      </c>
      <c r="R70" s="8">
        <v>150.80878899999999</v>
      </c>
      <c r="S70" s="8">
        <v>142.017528</v>
      </c>
      <c r="T70" s="8">
        <v>136.123752</v>
      </c>
      <c r="U70" s="8">
        <v>132.27839900000001</v>
      </c>
      <c r="V70" s="8">
        <v>129.99387100000001</v>
      </c>
      <c r="W70" s="8">
        <v>141.467488</v>
      </c>
      <c r="X70" s="8">
        <v>150.62464199999999</v>
      </c>
      <c r="Y70" s="8">
        <v>156.79405600000001</v>
      </c>
      <c r="Z70" s="8">
        <v>138.225954</v>
      </c>
      <c r="AA70" s="8">
        <v>145.46554599999999</v>
      </c>
      <c r="AC70" s="2">
        <v>124</v>
      </c>
      <c r="AD70" s="2">
        <v>119.5</v>
      </c>
      <c r="AE70" s="2">
        <v>111.4</v>
      </c>
      <c r="AF70" s="2">
        <v>111.5</v>
      </c>
      <c r="AG70" s="2" t="s">
        <v>773</v>
      </c>
      <c r="AH70" s="2">
        <v>110.1</v>
      </c>
      <c r="AI70" s="2" t="s">
        <v>773</v>
      </c>
      <c r="AJ70" s="2" t="s">
        <v>773</v>
      </c>
      <c r="AK70" s="19">
        <v>0.22777777777777777</v>
      </c>
      <c r="AL70" s="8">
        <f>(5+(28/60))*AH70</f>
        <v>601.88</v>
      </c>
    </row>
    <row r="71" spans="1:48" x14ac:dyDescent="0.2">
      <c r="A71" s="2">
        <v>54</v>
      </c>
      <c r="B71" s="2">
        <v>74</v>
      </c>
      <c r="C71" s="2">
        <v>204</v>
      </c>
      <c r="D71" t="s">
        <v>132</v>
      </c>
      <c r="E71" t="s">
        <v>544</v>
      </c>
      <c r="F71" t="s">
        <v>1327</v>
      </c>
      <c r="G71" s="2">
        <v>66340</v>
      </c>
      <c r="H71" s="2">
        <v>81.09</v>
      </c>
      <c r="I71" s="15">
        <v>2.8959999999999999</v>
      </c>
      <c r="J71" s="15">
        <v>2.0859999999999999</v>
      </c>
      <c r="O71" s="8">
        <v>99.125834999999995</v>
      </c>
      <c r="P71" s="8">
        <v>97.153350000000003</v>
      </c>
      <c r="Q71" s="8">
        <v>98.756732999999997</v>
      </c>
      <c r="R71" s="8">
        <v>96.608424999999997</v>
      </c>
      <c r="S71" s="8">
        <v>102.56881199999999</v>
      </c>
      <c r="T71" s="8">
        <v>103.09679</v>
      </c>
      <c r="U71" s="8">
        <v>116.79480700000001</v>
      </c>
      <c r="V71" s="8">
        <v>107.50936</v>
      </c>
      <c r="W71" s="8">
        <v>101.88049700000001</v>
      </c>
      <c r="X71" s="8">
        <v>106.765067</v>
      </c>
      <c r="Y71" s="8">
        <v>115.57920300000001</v>
      </c>
      <c r="Z71" s="8">
        <v>95.808505999999994</v>
      </c>
      <c r="AA71" s="8">
        <v>101.214114</v>
      </c>
      <c r="AC71" s="2">
        <v>103.7</v>
      </c>
      <c r="AD71" s="2">
        <v>82.45</v>
      </c>
      <c r="AE71" s="2">
        <v>81.09</v>
      </c>
      <c r="AF71" s="2">
        <v>101.8</v>
      </c>
      <c r="AG71" s="14" t="s">
        <v>773</v>
      </c>
      <c r="AH71" s="2">
        <v>103</v>
      </c>
      <c r="AI71" s="14" t="s">
        <v>773</v>
      </c>
      <c r="AJ71" s="14" t="s">
        <v>773</v>
      </c>
      <c r="AK71" s="19">
        <v>0.33888888888888885</v>
      </c>
      <c r="AL71" s="8">
        <f>(8+(8/60))*AH71</f>
        <v>837.73333333333323</v>
      </c>
    </row>
    <row r="72" spans="1:48" x14ac:dyDescent="0.2">
      <c r="A72" s="2">
        <v>55</v>
      </c>
      <c r="B72" s="2">
        <v>51</v>
      </c>
      <c r="C72" s="2">
        <v>44</v>
      </c>
      <c r="D72" t="s">
        <v>55</v>
      </c>
      <c r="E72" t="s">
        <v>523</v>
      </c>
      <c r="G72" s="2">
        <v>19090</v>
      </c>
      <c r="H72" s="2">
        <v>782.5</v>
      </c>
      <c r="I72" s="15">
        <v>27.94</v>
      </c>
      <c r="J72" s="15">
        <v>19.75</v>
      </c>
      <c r="O72" s="8">
        <v>1148.361169</v>
      </c>
      <c r="P72" s="8">
        <v>882.97047599999996</v>
      </c>
      <c r="Q72" s="8">
        <v>1161.7999809999999</v>
      </c>
      <c r="R72" s="8">
        <v>1196.447087</v>
      </c>
      <c r="S72" s="8">
        <v>1068.4229170000001</v>
      </c>
      <c r="T72" s="8">
        <v>925.12346100000002</v>
      </c>
      <c r="U72" s="8">
        <v>998.59000400000002</v>
      </c>
      <c r="V72" s="8">
        <v>984.57531400000005</v>
      </c>
      <c r="W72" s="8">
        <v>1146.1947680000001</v>
      </c>
      <c r="X72" s="8">
        <v>1115.3363750000001</v>
      </c>
      <c r="Y72" s="8">
        <v>1206.0823660000001</v>
      </c>
      <c r="Z72" s="8">
        <v>1067.49631</v>
      </c>
      <c r="AA72" s="8">
        <v>985.88088400000004</v>
      </c>
      <c r="AC72" s="2">
        <v>538.5</v>
      </c>
      <c r="AD72" s="2">
        <v>514.20000000000005</v>
      </c>
      <c r="AE72" s="2">
        <v>794.7</v>
      </c>
      <c r="AF72" s="2">
        <v>695.7</v>
      </c>
      <c r="AG72" s="2" t="s">
        <v>773</v>
      </c>
      <c r="AH72" s="2">
        <v>711.5</v>
      </c>
      <c r="AI72" s="2" t="s">
        <v>773</v>
      </c>
      <c r="AJ72" s="2" t="s">
        <v>773</v>
      </c>
      <c r="AK72" s="19">
        <v>0.14583333333333334</v>
      </c>
      <c r="AL72" s="8">
        <f>(3.5)*AH72</f>
        <v>2490.25</v>
      </c>
    </row>
    <row r="73" spans="1:48" x14ac:dyDescent="0.2">
      <c r="A73" s="2">
        <v>56</v>
      </c>
      <c r="B73" s="2">
        <v>82</v>
      </c>
      <c r="C73" s="2">
        <v>350</v>
      </c>
      <c r="D73" t="s">
        <v>91</v>
      </c>
      <c r="E73" t="s">
        <v>607</v>
      </c>
      <c r="F73" t="s">
        <v>1280</v>
      </c>
      <c r="G73" s="2">
        <v>121240</v>
      </c>
      <c r="H73" s="2">
        <v>110.6</v>
      </c>
      <c r="I73" s="15">
        <v>3.9529999999999998</v>
      </c>
      <c r="J73" s="15">
        <v>3.2120000000000002</v>
      </c>
      <c r="AC73" s="2">
        <v>139</v>
      </c>
      <c r="AD73" s="2">
        <v>101.5</v>
      </c>
      <c r="AE73" s="2">
        <v>94.27</v>
      </c>
      <c r="AF73" s="2">
        <v>110.6</v>
      </c>
      <c r="AG73" s="2" t="s">
        <v>773</v>
      </c>
      <c r="AH73" s="2">
        <v>129.80000000000001</v>
      </c>
      <c r="AI73" s="2" t="s">
        <v>773</v>
      </c>
      <c r="AJ73" s="2" t="s">
        <v>773</v>
      </c>
      <c r="AK73" s="19">
        <v>0.18472222222222223</v>
      </c>
      <c r="AL73" s="8">
        <f>(4+(26/60))*AH73</f>
        <v>575.44666666666672</v>
      </c>
    </row>
    <row r="74" spans="1:48" x14ac:dyDescent="0.2">
      <c r="A74" s="2">
        <v>57</v>
      </c>
      <c r="B74" s="2">
        <v>60</v>
      </c>
      <c r="C74" s="2">
        <v>227</v>
      </c>
      <c r="D74" t="s">
        <v>90</v>
      </c>
      <c r="E74" t="s">
        <v>608</v>
      </c>
      <c r="F74" t="s">
        <v>1311</v>
      </c>
      <c r="G74" s="2">
        <v>2050</v>
      </c>
      <c r="H74" s="2">
        <v>150.30000000000001</v>
      </c>
      <c r="I74" s="15">
        <v>5.3689999999999998</v>
      </c>
      <c r="J74" s="15">
        <v>4.7720000000000002</v>
      </c>
      <c r="O74" s="8">
        <v>158.68978899999999</v>
      </c>
      <c r="P74" s="8">
        <v>166.519384</v>
      </c>
      <c r="Q74" s="8">
        <v>157.60469499999999</v>
      </c>
      <c r="R74" s="8">
        <v>157.44032000000001</v>
      </c>
      <c r="S74" s="8">
        <v>155.457089</v>
      </c>
      <c r="T74" s="8">
        <v>176.269463</v>
      </c>
      <c r="U74" s="8">
        <v>182.093256</v>
      </c>
      <c r="V74" s="8">
        <v>174.50502900000001</v>
      </c>
      <c r="W74" s="8">
        <v>193.97065499999999</v>
      </c>
      <c r="X74" s="8">
        <v>182.07780500000001</v>
      </c>
      <c r="Y74" s="8">
        <v>194.52558300000001</v>
      </c>
      <c r="Z74" s="8">
        <v>181.52839599999999</v>
      </c>
      <c r="AA74" s="8">
        <v>184.877724</v>
      </c>
      <c r="AC74" s="2">
        <v>137.1</v>
      </c>
      <c r="AD74" s="2">
        <v>125.3</v>
      </c>
      <c r="AE74" s="2">
        <v>128.4</v>
      </c>
      <c r="AF74" s="2">
        <v>150.30000000000001</v>
      </c>
      <c r="AG74" s="2" t="s">
        <v>773</v>
      </c>
      <c r="AH74" s="2">
        <v>142.30000000000001</v>
      </c>
      <c r="AI74" s="2" t="s">
        <v>773</v>
      </c>
      <c r="AJ74" s="2" t="s">
        <v>773</v>
      </c>
      <c r="AK74" s="19">
        <v>0.11388888888888889</v>
      </c>
      <c r="AL74" s="8">
        <f>(2+(44/60))*AH74</f>
        <v>388.95333333333338</v>
      </c>
    </row>
    <row r="75" spans="1:48" x14ac:dyDescent="0.2">
      <c r="A75" s="2">
        <v>58</v>
      </c>
      <c r="B75" s="2">
        <v>66</v>
      </c>
      <c r="C75" s="2">
        <v>178</v>
      </c>
      <c r="D75" t="s">
        <v>42</v>
      </c>
      <c r="E75" t="s">
        <v>529</v>
      </c>
      <c r="G75" s="2">
        <v>3420</v>
      </c>
      <c r="H75" s="2">
        <v>404.8</v>
      </c>
      <c r="I75" s="15">
        <v>14.45</v>
      </c>
      <c r="J75" s="15">
        <v>6.4640000000000004</v>
      </c>
      <c r="O75" s="8">
        <v>400.82286599999998</v>
      </c>
      <c r="P75" s="8">
        <v>262.70227</v>
      </c>
      <c r="Q75" s="8">
        <v>381.14508599999999</v>
      </c>
      <c r="R75" s="8">
        <v>464.286744</v>
      </c>
      <c r="S75" s="8">
        <v>478.08349099999998</v>
      </c>
      <c r="T75" s="8">
        <v>242.38267999999999</v>
      </c>
      <c r="U75" s="8">
        <v>170.827752</v>
      </c>
      <c r="V75" s="8">
        <v>209.52567099999999</v>
      </c>
      <c r="W75" s="8">
        <v>341.07201600000002</v>
      </c>
      <c r="X75" s="8">
        <v>457.41225500000002</v>
      </c>
      <c r="Y75" s="8">
        <v>476.96872400000001</v>
      </c>
      <c r="Z75" s="8">
        <v>497.28071699999998</v>
      </c>
      <c r="AA75" s="8">
        <v>376.90969000000001</v>
      </c>
      <c r="AC75" s="2">
        <v>155.19999999999999</v>
      </c>
      <c r="AD75" s="2">
        <v>173.9</v>
      </c>
      <c r="AE75" s="2">
        <v>525.79999999999995</v>
      </c>
      <c r="AF75" s="2">
        <v>164.8</v>
      </c>
      <c r="AG75" s="2" t="s">
        <v>773</v>
      </c>
      <c r="AH75" s="2">
        <v>178.8</v>
      </c>
      <c r="AI75" s="2" t="s">
        <v>773</v>
      </c>
      <c r="AJ75" s="2" t="s">
        <v>773</v>
      </c>
      <c r="AK75" s="19">
        <v>0.45624999999999999</v>
      </c>
      <c r="AL75" s="8">
        <f>(10+(57/60))*AH75</f>
        <v>1957.86</v>
      </c>
    </row>
    <row r="76" spans="1:48" x14ac:dyDescent="0.2">
      <c r="A76" s="2">
        <v>59</v>
      </c>
      <c r="B76" s="2">
        <v>67</v>
      </c>
      <c r="C76" s="2">
        <v>260</v>
      </c>
      <c r="D76" t="s">
        <v>88</v>
      </c>
      <c r="E76" t="s">
        <v>675</v>
      </c>
      <c r="G76" s="2">
        <v>10280</v>
      </c>
      <c r="H76" s="2">
        <v>133.30000000000001</v>
      </c>
      <c r="I76" s="15">
        <v>4.7629999999999999</v>
      </c>
      <c r="J76" s="15">
        <v>3.621</v>
      </c>
      <c r="O76" s="8">
        <v>112.556155</v>
      </c>
      <c r="P76" s="8">
        <v>115.047977</v>
      </c>
      <c r="Q76" s="8">
        <v>106.948634</v>
      </c>
      <c r="R76" s="8">
        <v>116.777173</v>
      </c>
      <c r="S76" s="8">
        <v>121.941237</v>
      </c>
      <c r="T76" s="8">
        <v>128.213382</v>
      </c>
      <c r="U76" s="8">
        <v>141.187431</v>
      </c>
      <c r="V76" s="8">
        <v>145.042676</v>
      </c>
      <c r="W76" s="8">
        <v>160.857596</v>
      </c>
      <c r="X76" s="8">
        <v>172.01261600000001</v>
      </c>
      <c r="Y76" s="8">
        <v>174.444039</v>
      </c>
      <c r="Z76" s="8">
        <v>145.410932</v>
      </c>
      <c r="AA76" s="8">
        <v>148.406958</v>
      </c>
      <c r="AC76" s="1">
        <v>134</v>
      </c>
      <c r="AD76" s="2">
        <v>101.9</v>
      </c>
      <c r="AE76" s="2">
        <v>115.5</v>
      </c>
      <c r="AF76" s="2">
        <v>133.30000000000001</v>
      </c>
      <c r="AG76" s="2" t="s">
        <v>773</v>
      </c>
      <c r="AH76" s="2">
        <v>132.80000000000001</v>
      </c>
      <c r="AI76" s="2" t="s">
        <v>773</v>
      </c>
      <c r="AJ76" s="2" t="s">
        <v>773</v>
      </c>
      <c r="AK76" s="19">
        <v>0.23750000000000002</v>
      </c>
      <c r="AL76" s="8">
        <f>(5+(42/60))*AH76</f>
        <v>756.96</v>
      </c>
      <c r="AT76" t="s">
        <v>465</v>
      </c>
    </row>
    <row r="77" spans="1:48" x14ac:dyDescent="0.2">
      <c r="A77" s="2">
        <v>60</v>
      </c>
      <c r="B77" s="2">
        <v>51</v>
      </c>
      <c r="C77" s="2">
        <v>185</v>
      </c>
      <c r="D77" t="s">
        <v>97</v>
      </c>
      <c r="E77" t="s">
        <v>536</v>
      </c>
      <c r="F77" t="s">
        <v>1263</v>
      </c>
      <c r="G77" s="2">
        <v>140670</v>
      </c>
      <c r="H77" s="2">
        <v>114</v>
      </c>
      <c r="I77" s="15">
        <v>4.0709999999999997</v>
      </c>
      <c r="J77" s="15">
        <v>3.0990000000000002</v>
      </c>
      <c r="O77" s="8">
        <v>110.85867399999999</v>
      </c>
      <c r="P77" s="8">
        <v>110.41679000000001</v>
      </c>
      <c r="Q77" s="8">
        <v>112.019164</v>
      </c>
      <c r="R77" s="8">
        <v>109.976354</v>
      </c>
      <c r="S77" s="8">
        <v>106.67282</v>
      </c>
      <c r="T77" s="8">
        <v>106.29632700000001</v>
      </c>
      <c r="U77" s="8">
        <v>111.87369</v>
      </c>
      <c r="V77" s="8">
        <v>111.856497</v>
      </c>
      <c r="W77" s="8">
        <v>126.08363199999999</v>
      </c>
      <c r="X77" s="8">
        <v>131.57792000000001</v>
      </c>
      <c r="Y77" s="8">
        <v>137.07221999999999</v>
      </c>
      <c r="Z77" s="8">
        <v>118.104066</v>
      </c>
      <c r="AA77" s="8">
        <v>129.42174900000001</v>
      </c>
      <c r="AC77" s="2">
        <v>96.15</v>
      </c>
      <c r="AD77" s="2">
        <v>114.6</v>
      </c>
      <c r="AE77" s="2">
        <v>106.8</v>
      </c>
      <c r="AF77" s="2">
        <v>114</v>
      </c>
      <c r="AG77" s="2" t="s">
        <v>773</v>
      </c>
      <c r="AH77" s="2">
        <v>114.3</v>
      </c>
      <c r="AI77" s="2" t="s">
        <v>773</v>
      </c>
      <c r="AJ77" s="2" t="s">
        <v>773</v>
      </c>
      <c r="AK77" s="19">
        <v>0.23819444444444446</v>
      </c>
      <c r="AL77" s="8">
        <f>(5+(43/60))*AH77</f>
        <v>653.41499999999996</v>
      </c>
      <c r="AQ77" t="s">
        <v>685</v>
      </c>
    </row>
    <row r="78" spans="1:48" x14ac:dyDescent="0.2">
      <c r="A78" s="2">
        <v>61</v>
      </c>
      <c r="B78" s="2">
        <v>64</v>
      </c>
      <c r="C78" s="2">
        <v>244</v>
      </c>
      <c r="D78" t="s">
        <v>72</v>
      </c>
      <c r="E78" t="s">
        <v>9</v>
      </c>
      <c r="G78" s="2">
        <v>167830</v>
      </c>
      <c r="H78" s="2">
        <v>169.5</v>
      </c>
      <c r="I78" s="15">
        <v>6.0540000000000003</v>
      </c>
      <c r="J78" s="15">
        <v>3.121</v>
      </c>
      <c r="O78" s="8">
        <v>179.86115000000001</v>
      </c>
      <c r="P78" s="8">
        <v>167.87699799999999</v>
      </c>
      <c r="Q78" s="8">
        <v>186.162474</v>
      </c>
      <c r="R78" s="8">
        <v>171.27169000000001</v>
      </c>
      <c r="S78" s="8">
        <v>168.616872</v>
      </c>
      <c r="T78" s="8">
        <v>160.537994</v>
      </c>
      <c r="U78" s="8">
        <v>183.40650600000001</v>
      </c>
      <c r="V78" s="8">
        <v>175.57702399999999</v>
      </c>
      <c r="W78" s="8">
        <v>192.92382900000001</v>
      </c>
      <c r="X78" s="8">
        <v>199.941351</v>
      </c>
      <c r="Y78" s="8">
        <v>221.76248699999999</v>
      </c>
      <c r="Z78" s="8">
        <v>194.05548400000001</v>
      </c>
      <c r="AA78" s="8">
        <v>217.68362500000001</v>
      </c>
      <c r="AC78" s="2">
        <v>165.9</v>
      </c>
      <c r="AD78" s="2">
        <v>165.1</v>
      </c>
      <c r="AE78" s="2">
        <v>162.80000000000001</v>
      </c>
      <c r="AF78" s="2">
        <v>169.5</v>
      </c>
      <c r="AG78" s="2" t="s">
        <v>773</v>
      </c>
      <c r="AH78" s="2">
        <v>169.3</v>
      </c>
      <c r="AI78" s="2" t="s">
        <v>773</v>
      </c>
      <c r="AJ78" s="2" t="s">
        <v>773</v>
      </c>
      <c r="AK78" s="19">
        <v>0.47847222222222219</v>
      </c>
      <c r="AL78" s="8">
        <f>(11+(29/60))*AH78</f>
        <v>1944.1283333333333</v>
      </c>
    </row>
    <row r="79" spans="1:48" x14ac:dyDescent="0.2">
      <c r="A79" s="2">
        <v>62</v>
      </c>
      <c r="B79" s="2">
        <v>61</v>
      </c>
      <c r="C79" s="2">
        <v>246</v>
      </c>
      <c r="D79" t="s">
        <v>86</v>
      </c>
      <c r="E79" t="s">
        <v>538</v>
      </c>
      <c r="F79" t="s">
        <v>1275</v>
      </c>
      <c r="G79" s="2">
        <v>167900</v>
      </c>
      <c r="H79" s="2">
        <v>121.9</v>
      </c>
      <c r="I79" s="15">
        <v>4.3550000000000004</v>
      </c>
      <c r="J79" s="15">
        <v>2.5110000000000001</v>
      </c>
      <c r="O79" s="8">
        <v>138.937985</v>
      </c>
      <c r="P79" s="8">
        <v>151.171009</v>
      </c>
      <c r="Q79" s="8">
        <v>139.085037</v>
      </c>
      <c r="R79" s="8">
        <v>138.71865399999999</v>
      </c>
      <c r="S79" s="8">
        <v>132.808727</v>
      </c>
      <c r="T79" s="8">
        <v>145.48617400000001</v>
      </c>
      <c r="U79" s="8">
        <v>146.44754599999999</v>
      </c>
      <c r="V79" s="8">
        <v>148.53864899999999</v>
      </c>
      <c r="W79" s="8">
        <v>167.553425</v>
      </c>
      <c r="X79" s="8">
        <v>166.915603</v>
      </c>
      <c r="Y79" s="8">
        <v>189.69699199999999</v>
      </c>
      <c r="Z79" s="8">
        <v>171.10156599999999</v>
      </c>
      <c r="AA79" s="8">
        <v>179.491287</v>
      </c>
      <c r="AC79" s="2">
        <v>124.8</v>
      </c>
      <c r="AD79" s="2">
        <v>130</v>
      </c>
      <c r="AE79" s="2">
        <v>126.3</v>
      </c>
      <c r="AF79" s="2">
        <v>121.9</v>
      </c>
      <c r="AG79" s="2" t="s">
        <v>773</v>
      </c>
      <c r="AH79" s="2">
        <v>123.9</v>
      </c>
      <c r="AI79" s="2" t="s">
        <v>773</v>
      </c>
      <c r="AJ79" s="2" t="s">
        <v>773</v>
      </c>
      <c r="AK79" s="19">
        <v>0.28402777777777777</v>
      </c>
      <c r="AL79" s="8">
        <f>(6+(49/60))*AH79</f>
        <v>844.58500000000004</v>
      </c>
    </row>
    <row r="80" spans="1:48" x14ac:dyDescent="0.2">
      <c r="A80" s="2">
        <v>63</v>
      </c>
      <c r="B80" s="2">
        <v>64</v>
      </c>
      <c r="C80" s="2">
        <v>252</v>
      </c>
      <c r="D80" t="s">
        <v>105</v>
      </c>
      <c r="E80" t="s">
        <v>539</v>
      </c>
      <c r="F80" t="s">
        <v>1263</v>
      </c>
      <c r="G80" s="2">
        <v>215690</v>
      </c>
      <c r="H80" s="2">
        <v>108.1</v>
      </c>
      <c r="I80" s="15">
        <v>3.8610000000000002</v>
      </c>
      <c r="J80" s="15">
        <v>3.0209999999999999</v>
      </c>
      <c r="O80" s="8">
        <v>119.382222</v>
      </c>
      <c r="P80" s="8">
        <v>119.996616</v>
      </c>
      <c r="Q80" s="8">
        <v>122.890113</v>
      </c>
      <c r="R80" s="8">
        <v>114.44946400000001</v>
      </c>
      <c r="S80" s="8">
        <v>112.242696</v>
      </c>
      <c r="T80" s="8">
        <v>112.984989</v>
      </c>
      <c r="U80" s="8">
        <v>117.180475</v>
      </c>
      <c r="V80" s="8">
        <v>121.649986</v>
      </c>
      <c r="W80" s="8">
        <v>123.60369799999999</v>
      </c>
      <c r="X80" s="8">
        <v>130.90648400000001</v>
      </c>
      <c r="Y80" s="8">
        <v>139.64740399999999</v>
      </c>
      <c r="Z80" s="8">
        <v>121.549999</v>
      </c>
      <c r="AA80" s="8">
        <v>122.658205</v>
      </c>
      <c r="AC80" s="2">
        <v>106.4</v>
      </c>
      <c r="AD80" s="2">
        <v>111.4</v>
      </c>
      <c r="AE80" s="2">
        <v>103.5</v>
      </c>
      <c r="AF80" s="2">
        <v>108.1</v>
      </c>
      <c r="AG80" s="14" t="s">
        <v>773</v>
      </c>
      <c r="AH80" s="2">
        <v>107.4</v>
      </c>
      <c r="AI80" s="2" t="s">
        <v>773</v>
      </c>
      <c r="AJ80" s="2" t="s">
        <v>773</v>
      </c>
      <c r="AK80" s="19">
        <v>0.26805555555555555</v>
      </c>
      <c r="AL80" s="8">
        <f>(6+(26/60))*AH80</f>
        <v>690.94</v>
      </c>
    </row>
    <row r="81" spans="1:46" x14ac:dyDescent="0.2">
      <c r="A81" s="2">
        <v>64</v>
      </c>
      <c r="B81" s="2">
        <v>36</v>
      </c>
      <c r="C81" s="2">
        <v>56</v>
      </c>
      <c r="D81" t="s">
        <v>76</v>
      </c>
      <c r="E81" t="s">
        <v>6</v>
      </c>
      <c r="G81" s="2">
        <v>1000</v>
      </c>
      <c r="H81" s="2">
        <v>544.70000000000005</v>
      </c>
      <c r="I81" s="15">
        <v>19.45</v>
      </c>
      <c r="J81" s="15">
        <v>13.98</v>
      </c>
      <c r="O81" s="8">
        <v>4275.7350740000002</v>
      </c>
      <c r="P81" s="8">
        <v>3838.5233819999999</v>
      </c>
      <c r="Q81" s="8">
        <v>3999.7769290000001</v>
      </c>
      <c r="R81" s="8">
        <v>4988.758769</v>
      </c>
      <c r="S81" s="8">
        <v>4343.4475130000001</v>
      </c>
      <c r="T81" s="8">
        <v>4091.9425769999998</v>
      </c>
      <c r="U81" s="8">
        <v>4044.1266599999999</v>
      </c>
      <c r="V81" s="8">
        <v>4309.3333819999998</v>
      </c>
      <c r="W81" s="8">
        <v>3642.9196729999999</v>
      </c>
      <c r="X81" s="8">
        <v>4560.8419640000002</v>
      </c>
      <c r="Y81" s="8">
        <v>3885.7047090000001</v>
      </c>
      <c r="Z81" s="8">
        <v>3504.7328889999999</v>
      </c>
      <c r="AA81" s="8">
        <v>3807.48911</v>
      </c>
      <c r="AC81" s="2">
        <v>386</v>
      </c>
      <c r="AD81" s="2">
        <v>500.2</v>
      </c>
      <c r="AE81" s="2">
        <v>519.1</v>
      </c>
      <c r="AF81" s="2">
        <v>544.70000000000005</v>
      </c>
      <c r="AG81" s="2" t="s">
        <v>773</v>
      </c>
      <c r="AH81" s="2" t="s">
        <v>773</v>
      </c>
      <c r="AI81" s="2" t="s">
        <v>773</v>
      </c>
      <c r="AJ81" s="2" t="s">
        <v>773</v>
      </c>
      <c r="AK81" s="19">
        <v>0.44166666666666665</v>
      </c>
      <c r="AL81" s="60">
        <f>(10+(36/60))*AF81</f>
        <v>5773.8200000000006</v>
      </c>
    </row>
    <row r="82" spans="1:46" x14ac:dyDescent="0.2">
      <c r="A82" s="2">
        <v>65</v>
      </c>
      <c r="B82" s="2">
        <v>57</v>
      </c>
      <c r="C82" s="2">
        <v>100</v>
      </c>
      <c r="D82" t="s">
        <v>78</v>
      </c>
      <c r="E82" t="s">
        <v>6</v>
      </c>
      <c r="G82" s="2">
        <v>5000</v>
      </c>
      <c r="H82" s="2">
        <v>290.39999999999998</v>
      </c>
      <c r="I82" s="15">
        <v>10.37</v>
      </c>
      <c r="J82" s="15">
        <v>6.4749999999999996</v>
      </c>
      <c r="O82" s="47">
        <v>1024</v>
      </c>
      <c r="P82" s="4">
        <v>943</v>
      </c>
      <c r="Q82" s="4">
        <v>1019</v>
      </c>
      <c r="R82" s="4">
        <v>1033</v>
      </c>
      <c r="S82" s="4">
        <v>1037</v>
      </c>
      <c r="T82" s="4">
        <v>1008</v>
      </c>
      <c r="U82" s="4">
        <v>1068</v>
      </c>
      <c r="V82" s="4">
        <v>1048</v>
      </c>
      <c r="W82" s="4">
        <v>983</v>
      </c>
      <c r="X82" s="4">
        <v>1069</v>
      </c>
      <c r="Y82" s="4">
        <v>1068</v>
      </c>
      <c r="Z82" s="4">
        <v>979</v>
      </c>
      <c r="AA82" s="4">
        <v>1129</v>
      </c>
      <c r="AC82" s="2">
        <v>254.7</v>
      </c>
      <c r="AD82" s="2">
        <v>296.5</v>
      </c>
      <c r="AE82" s="2">
        <v>279.7</v>
      </c>
      <c r="AF82" s="2">
        <v>290.39999999999998</v>
      </c>
      <c r="AG82" s="2" t="s">
        <v>773</v>
      </c>
      <c r="AH82" s="2">
        <v>296.60000000000002</v>
      </c>
      <c r="AI82" s="2" t="s">
        <v>773</v>
      </c>
      <c r="AJ82" s="2" t="s">
        <v>773</v>
      </c>
      <c r="AK82" s="19">
        <v>0.21944444444444444</v>
      </c>
      <c r="AL82" s="60">
        <f>(5+(16/60))*AH82</f>
        <v>1562.0933333333335</v>
      </c>
    </row>
    <row r="83" spans="1:46" x14ac:dyDescent="0.2">
      <c r="A83" s="2">
        <v>66</v>
      </c>
      <c r="B83" s="2">
        <v>73</v>
      </c>
      <c r="C83" s="2">
        <v>278</v>
      </c>
      <c r="D83" t="s">
        <v>79</v>
      </c>
      <c r="E83" t="s">
        <v>676</v>
      </c>
      <c r="G83" s="2">
        <v>863</v>
      </c>
      <c r="H83" s="2">
        <v>164.6</v>
      </c>
      <c r="I83" s="15">
        <v>5.8810000000000002</v>
      </c>
      <c r="J83" s="15">
        <v>4.1779999999999999</v>
      </c>
      <c r="O83" s="8">
        <v>146.86779999999999</v>
      </c>
      <c r="P83" s="8">
        <v>174.40543299999999</v>
      </c>
      <c r="Q83" s="8">
        <v>152.78054399999999</v>
      </c>
      <c r="R83" s="8">
        <v>140.599951</v>
      </c>
      <c r="S83" s="8">
        <v>129.180904</v>
      </c>
      <c r="T83" s="8">
        <v>131.57056499999999</v>
      </c>
      <c r="U83" s="8">
        <v>154.11898099999999</v>
      </c>
      <c r="V83" s="8">
        <v>151.374698</v>
      </c>
      <c r="W83" s="8">
        <v>168.27498399999999</v>
      </c>
      <c r="X83" s="8">
        <v>180.862741</v>
      </c>
      <c r="Y83" s="8">
        <v>179.02940100000001</v>
      </c>
      <c r="Z83" s="8">
        <v>157.960295</v>
      </c>
      <c r="AA83" s="8">
        <v>176.230006</v>
      </c>
      <c r="AC83" s="2">
        <v>172.9</v>
      </c>
      <c r="AD83" s="2">
        <v>164.2</v>
      </c>
      <c r="AE83" s="2">
        <v>151.69999999999999</v>
      </c>
      <c r="AF83" s="2">
        <v>164.6</v>
      </c>
      <c r="AG83" s="2" t="s">
        <v>773</v>
      </c>
      <c r="AH83" s="2">
        <v>165.3</v>
      </c>
      <c r="AI83" s="2" t="s">
        <v>773</v>
      </c>
      <c r="AJ83" s="2" t="s">
        <v>773</v>
      </c>
      <c r="AK83" s="19">
        <v>0.12083333333333333</v>
      </c>
      <c r="AL83" s="8">
        <f>(2+(54/60))*AH83</f>
        <v>479.37</v>
      </c>
    </row>
    <row r="84" spans="1:46" x14ac:dyDescent="0.2">
      <c r="A84" s="2">
        <v>67</v>
      </c>
      <c r="B84" s="2">
        <v>71</v>
      </c>
      <c r="C84" s="2">
        <v>83</v>
      </c>
      <c r="D84" t="s">
        <v>87</v>
      </c>
      <c r="E84" t="s">
        <v>535</v>
      </c>
      <c r="F84" t="s">
        <v>1329</v>
      </c>
      <c r="G84" s="2">
        <v>2500000</v>
      </c>
      <c r="H84" s="2">
        <v>414.6</v>
      </c>
      <c r="I84" s="15">
        <v>14.81</v>
      </c>
      <c r="J84" s="15">
        <v>12.37</v>
      </c>
      <c r="O84" s="8">
        <v>811.09258399999999</v>
      </c>
      <c r="P84" s="8">
        <v>830.66685299999995</v>
      </c>
      <c r="Q84" s="8">
        <v>811.96907199999998</v>
      </c>
      <c r="R84" s="8">
        <v>810.35871099999997</v>
      </c>
      <c r="S84" s="8">
        <v>860.965371</v>
      </c>
      <c r="T84" s="8">
        <v>694.31608100000005</v>
      </c>
      <c r="U84" s="8">
        <v>777.36762299999998</v>
      </c>
      <c r="V84" s="8">
        <v>798.58134600000005</v>
      </c>
      <c r="W84" s="8">
        <v>789.93538799999999</v>
      </c>
      <c r="X84" s="8">
        <v>795.43452600000001</v>
      </c>
      <c r="Y84" s="8">
        <v>853.22432200000003</v>
      </c>
      <c r="Z84" s="8">
        <v>775.90451299999995</v>
      </c>
      <c r="AA84" s="8">
        <v>799.54240500000003</v>
      </c>
      <c r="AC84" s="2">
        <v>413.7</v>
      </c>
      <c r="AD84" s="2">
        <v>434.8</v>
      </c>
      <c r="AE84" s="2">
        <v>473</v>
      </c>
      <c r="AF84" s="2">
        <v>414.6</v>
      </c>
      <c r="AG84" s="2" t="s">
        <v>773</v>
      </c>
      <c r="AH84" s="2">
        <v>416.9</v>
      </c>
      <c r="AI84" s="2" t="s">
        <v>773</v>
      </c>
      <c r="AJ84" s="2" t="s">
        <v>773</v>
      </c>
      <c r="AK84" s="19">
        <v>0.11388888888888889</v>
      </c>
      <c r="AL84" s="8">
        <f>(2+(44/60))*AH84</f>
        <v>1139.5266666666666</v>
      </c>
    </row>
    <row r="85" spans="1:46" x14ac:dyDescent="0.2">
      <c r="A85" s="2">
        <v>68</v>
      </c>
      <c r="B85" s="2">
        <v>63</v>
      </c>
      <c r="C85" s="2">
        <v>65</v>
      </c>
      <c r="D85" t="s">
        <v>85</v>
      </c>
      <c r="E85" t="s">
        <v>553</v>
      </c>
      <c r="F85" t="s">
        <v>1312</v>
      </c>
      <c r="G85" s="2">
        <v>27530</v>
      </c>
      <c r="H85" s="2">
        <v>444.2</v>
      </c>
      <c r="I85" s="15">
        <v>15.86</v>
      </c>
      <c r="J85" s="15">
        <v>10.77</v>
      </c>
      <c r="O85" s="8">
        <v>787.53838900000005</v>
      </c>
      <c r="P85" s="8">
        <v>858.319976</v>
      </c>
      <c r="Q85" s="8">
        <v>824.08228799999995</v>
      </c>
      <c r="R85" s="8">
        <v>745.788905</v>
      </c>
      <c r="S85" s="8">
        <v>706.14276299999995</v>
      </c>
      <c r="T85" s="8">
        <v>691.25224500000002</v>
      </c>
      <c r="U85" s="8">
        <v>773.57872699999996</v>
      </c>
      <c r="V85" s="8">
        <v>729.36027000000001</v>
      </c>
      <c r="W85" s="8">
        <v>824.79786100000001</v>
      </c>
      <c r="X85" s="8">
        <v>855.64015600000005</v>
      </c>
      <c r="Y85" s="8">
        <v>851.39281800000003</v>
      </c>
      <c r="Z85" s="8">
        <v>776.06953399999998</v>
      </c>
      <c r="AA85" s="8">
        <v>735.55738399999996</v>
      </c>
      <c r="AC85" s="2">
        <v>430.9</v>
      </c>
      <c r="AD85" s="2">
        <v>450.1</v>
      </c>
      <c r="AE85" s="2">
        <v>432.6</v>
      </c>
      <c r="AF85" s="2">
        <v>444.2</v>
      </c>
      <c r="AG85" s="2" t="s">
        <v>773</v>
      </c>
      <c r="AH85" s="2">
        <v>447.6</v>
      </c>
      <c r="AI85" s="2" t="s">
        <v>773</v>
      </c>
      <c r="AJ85" s="2" t="s">
        <v>773</v>
      </c>
      <c r="AK85" s="19">
        <v>0.35902777777777778</v>
      </c>
      <c r="AL85" s="8">
        <f>(8+(37/60))*AH85</f>
        <v>3856.8200000000006</v>
      </c>
      <c r="AT85" t="s">
        <v>457</v>
      </c>
    </row>
    <row r="86" spans="1:46" x14ac:dyDescent="0.2">
      <c r="A86" s="2">
        <v>69</v>
      </c>
      <c r="B86" s="2">
        <v>73</v>
      </c>
      <c r="C86" s="2">
        <v>223</v>
      </c>
      <c r="D86" t="s">
        <v>83</v>
      </c>
      <c r="E86" t="s">
        <v>552</v>
      </c>
      <c r="F86" t="s">
        <v>1310</v>
      </c>
      <c r="G86" s="2">
        <v>145640</v>
      </c>
      <c r="H86" s="2">
        <v>177.3</v>
      </c>
      <c r="I86" s="15">
        <v>6.3339999999999996</v>
      </c>
      <c r="J86" s="15">
        <v>4.0990000000000002</v>
      </c>
      <c r="O86" s="8">
        <v>262.83671800000002</v>
      </c>
      <c r="P86" s="8">
        <v>324.54936300000003</v>
      </c>
      <c r="Q86" s="8">
        <v>292.15715599999999</v>
      </c>
      <c r="R86" s="8">
        <v>225.57047700000001</v>
      </c>
      <c r="S86" s="8">
        <v>204.78367600000001</v>
      </c>
      <c r="T86" s="8">
        <v>203.60387299999999</v>
      </c>
      <c r="U86" s="8">
        <v>224.46857600000001</v>
      </c>
      <c r="V86" s="8">
        <v>229.681319</v>
      </c>
      <c r="W86" s="8">
        <v>255.66807700000001</v>
      </c>
      <c r="X86" s="8">
        <v>253.94436400000001</v>
      </c>
      <c r="Y86" s="8">
        <v>300.23787800000002</v>
      </c>
      <c r="Z86" s="8">
        <v>257.79612300000002</v>
      </c>
      <c r="AA86" s="8">
        <v>295.05753800000002</v>
      </c>
      <c r="AC86" s="2">
        <v>193.5</v>
      </c>
      <c r="AD86" s="2">
        <v>223.8</v>
      </c>
      <c r="AE86" s="2">
        <v>178.2</v>
      </c>
      <c r="AF86" s="2">
        <v>177.3</v>
      </c>
      <c r="AG86" s="2" t="s">
        <v>773</v>
      </c>
      <c r="AH86" s="2">
        <v>177.7</v>
      </c>
      <c r="AI86" s="2" t="s">
        <v>773</v>
      </c>
      <c r="AJ86" s="2" t="s">
        <v>773</v>
      </c>
      <c r="AK86" s="19">
        <v>0.12430555555555556</v>
      </c>
      <c r="AL86" s="8">
        <f>(2+(59/60))*AH86</f>
        <v>530.13833333333332</v>
      </c>
      <c r="AT86" t="s">
        <v>471</v>
      </c>
    </row>
    <row r="87" spans="1:46" x14ac:dyDescent="0.2">
      <c r="A87" s="2">
        <v>70</v>
      </c>
      <c r="B87" s="2">
        <v>56</v>
      </c>
      <c r="C87" s="2">
        <v>217</v>
      </c>
      <c r="D87" t="s">
        <v>80</v>
      </c>
      <c r="E87" t="s">
        <v>541</v>
      </c>
      <c r="F87" t="s">
        <v>1291</v>
      </c>
      <c r="G87" s="2">
        <v>200000</v>
      </c>
      <c r="H87" s="2">
        <v>172.3</v>
      </c>
      <c r="I87" s="15">
        <v>6.157</v>
      </c>
      <c r="J87" s="15">
        <v>4.2229999999999999</v>
      </c>
      <c r="O87" s="8">
        <v>91.663527999999999</v>
      </c>
      <c r="P87" s="8">
        <v>89.095899000000003</v>
      </c>
      <c r="Q87" s="8">
        <v>93.728061999999994</v>
      </c>
      <c r="R87" s="8">
        <v>86.627934999999994</v>
      </c>
      <c r="S87" s="8">
        <v>93.346442999999994</v>
      </c>
      <c r="T87" s="8">
        <v>85.733232000000001</v>
      </c>
      <c r="U87" s="8">
        <v>92.077292</v>
      </c>
      <c r="V87" s="8">
        <v>89.925949000000003</v>
      </c>
      <c r="W87" s="8">
        <v>102.3723</v>
      </c>
      <c r="X87" s="8">
        <v>99.222930000000005</v>
      </c>
      <c r="Y87" s="8">
        <v>105.58072</v>
      </c>
      <c r="Z87" s="8">
        <v>97.025212999999994</v>
      </c>
      <c r="AA87" s="8">
        <v>96.469246999999996</v>
      </c>
      <c r="AC87" s="2">
        <v>124.3</v>
      </c>
      <c r="AD87" s="2">
        <v>172.4</v>
      </c>
      <c r="AE87" s="2">
        <v>177.7</v>
      </c>
      <c r="AF87" s="2">
        <v>172.3</v>
      </c>
      <c r="AG87" s="2" t="s">
        <v>773</v>
      </c>
      <c r="AH87" s="2">
        <v>162.30000000000001</v>
      </c>
      <c r="AI87" s="2" t="s">
        <v>773</v>
      </c>
      <c r="AJ87" s="2" t="s">
        <v>773</v>
      </c>
      <c r="AK87" s="19">
        <v>0.12638888888888888</v>
      </c>
      <c r="AL87" s="8">
        <f>(3+(2/60))*AH87</f>
        <v>492.31</v>
      </c>
      <c r="AT87" t="s">
        <v>387</v>
      </c>
    </row>
    <row r="88" spans="1:46" x14ac:dyDescent="0.2">
      <c r="A88" s="2">
        <v>71</v>
      </c>
      <c r="B88" s="2">
        <v>71</v>
      </c>
      <c r="C88" s="2">
        <v>53</v>
      </c>
      <c r="D88" t="s">
        <v>178</v>
      </c>
      <c r="E88" t="s">
        <v>1234</v>
      </c>
      <c r="G88" s="2">
        <v>0</v>
      </c>
      <c r="J88" s="15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">
        <v>418</v>
      </c>
      <c r="AD88" s="2" t="s">
        <v>773</v>
      </c>
      <c r="AE88" s="2" t="s">
        <v>773</v>
      </c>
      <c r="AF88" s="2" t="s">
        <v>773</v>
      </c>
      <c r="AG88" s="2" t="s">
        <v>773</v>
      </c>
      <c r="AH88" s="2" t="s">
        <v>773</v>
      </c>
      <c r="AI88" s="2" t="s">
        <v>773</v>
      </c>
      <c r="AJ88" s="2" t="s">
        <v>773</v>
      </c>
      <c r="AK88" s="19">
        <v>0.27291666666666664</v>
      </c>
      <c r="AL88" s="8">
        <f>(6+(33/60))*AC88</f>
        <v>2737.9</v>
      </c>
    </row>
    <row r="89" spans="1:46" x14ac:dyDescent="0.2">
      <c r="A89" s="2">
        <v>72</v>
      </c>
      <c r="B89" s="2">
        <v>89</v>
      </c>
      <c r="C89" s="2">
        <v>379</v>
      </c>
      <c r="D89" t="s">
        <v>107</v>
      </c>
      <c r="E89" t="s">
        <v>681</v>
      </c>
      <c r="F89" t="s">
        <v>1307</v>
      </c>
      <c r="G89" s="2">
        <v>1170</v>
      </c>
      <c r="H89" s="2">
        <v>102.3</v>
      </c>
      <c r="I89" s="15">
        <v>3.6549999999999998</v>
      </c>
      <c r="J89" s="15">
        <v>2.6989999999999998</v>
      </c>
      <c r="AC89" s="2">
        <v>100.3</v>
      </c>
      <c r="AD89" s="2">
        <v>80.55</v>
      </c>
      <c r="AE89" s="2">
        <v>91.3</v>
      </c>
      <c r="AF89" s="2">
        <v>102.3</v>
      </c>
      <c r="AG89" s="14" t="s">
        <v>773</v>
      </c>
      <c r="AH89" s="2">
        <v>103.8</v>
      </c>
      <c r="AI89" s="2" t="s">
        <v>773</v>
      </c>
      <c r="AJ89" s="2" t="s">
        <v>773</v>
      </c>
      <c r="AK89" s="19">
        <v>0.18194444444444444</v>
      </c>
      <c r="AL89" s="8">
        <f>(4+(22/60))*AH89</f>
        <v>453.25999999999993</v>
      </c>
    </row>
    <row r="90" spans="1:46" s="3" customFormat="1" x14ac:dyDescent="0.2">
      <c r="A90" s="4">
        <v>74</v>
      </c>
      <c r="B90" s="4">
        <v>92</v>
      </c>
      <c r="C90" s="4">
        <v>396</v>
      </c>
      <c r="D90" s="3" t="s">
        <v>126</v>
      </c>
      <c r="E90" s="3" t="s">
        <v>6</v>
      </c>
      <c r="F90" s="3" t="s">
        <v>1306</v>
      </c>
      <c r="G90" s="4">
        <v>85900</v>
      </c>
      <c r="H90" s="4">
        <v>83.15</v>
      </c>
      <c r="I90" s="16">
        <v>2.9689999999999999</v>
      </c>
      <c r="J90" s="16">
        <v>1.8879999999999999</v>
      </c>
      <c r="K90" s="4"/>
      <c r="L90" s="9"/>
      <c r="M90" s="9"/>
      <c r="N90" s="9"/>
      <c r="O90" s="58">
        <v>65.23</v>
      </c>
      <c r="P90" s="58">
        <v>84.632000000000005</v>
      </c>
      <c r="Q90" s="58">
        <v>66.501999999999995</v>
      </c>
      <c r="R90" s="58">
        <v>63.628999999999998</v>
      </c>
      <c r="S90" s="58">
        <v>58.64</v>
      </c>
      <c r="T90" s="58">
        <v>65.061999999999998</v>
      </c>
      <c r="U90" s="58">
        <v>76.882000000000005</v>
      </c>
      <c r="V90" s="58">
        <v>72.637</v>
      </c>
      <c r="W90" s="58">
        <v>71.230999999999995</v>
      </c>
      <c r="X90" s="58">
        <v>77.054000000000002</v>
      </c>
      <c r="Y90" s="58">
        <v>81.292000000000002</v>
      </c>
      <c r="Z90" s="58">
        <v>77.007000000000005</v>
      </c>
      <c r="AA90" s="58">
        <v>77.881</v>
      </c>
      <c r="AB90" s="9"/>
      <c r="AC90" s="4">
        <v>90.32</v>
      </c>
      <c r="AD90" s="4">
        <v>100</v>
      </c>
      <c r="AE90" s="4">
        <v>71.52</v>
      </c>
      <c r="AF90" s="4">
        <v>83.15</v>
      </c>
      <c r="AG90" s="46" t="s">
        <v>773</v>
      </c>
      <c r="AH90" s="4">
        <v>76.8</v>
      </c>
      <c r="AI90" s="4" t="s">
        <v>773</v>
      </c>
      <c r="AJ90" s="4" t="s">
        <v>773</v>
      </c>
      <c r="AK90" s="23">
        <v>0.30138888888888887</v>
      </c>
      <c r="AL90" s="47">
        <f>(7+(14/60))*AH90</f>
        <v>555.52</v>
      </c>
    </row>
    <row r="91" spans="1:46" x14ac:dyDescent="0.2">
      <c r="A91" s="2">
        <v>75</v>
      </c>
      <c r="B91" s="2">
        <v>84</v>
      </c>
      <c r="C91" s="2">
        <v>288</v>
      </c>
      <c r="D91" t="s">
        <v>96</v>
      </c>
      <c r="E91" t="s">
        <v>542</v>
      </c>
      <c r="F91" t="s">
        <v>1310</v>
      </c>
      <c r="G91" s="2">
        <v>56030</v>
      </c>
      <c r="H91" s="2">
        <v>157.4</v>
      </c>
      <c r="I91" s="15">
        <v>5.6210000000000004</v>
      </c>
      <c r="J91" s="15">
        <v>3.47</v>
      </c>
      <c r="O91" s="8">
        <v>221.57844600000001</v>
      </c>
      <c r="P91" s="8">
        <v>260.91471100000001</v>
      </c>
      <c r="Q91" s="8">
        <v>237.54325399999999</v>
      </c>
      <c r="R91" s="8">
        <v>198.41718299999999</v>
      </c>
      <c r="S91" s="8">
        <v>192.94568799999999</v>
      </c>
      <c r="T91" s="8">
        <v>196.64950099999999</v>
      </c>
      <c r="U91" s="8">
        <v>204.56594699999999</v>
      </c>
      <c r="V91" s="8">
        <v>210.35311899999999</v>
      </c>
      <c r="W91" s="8">
        <v>222.425006</v>
      </c>
      <c r="X91" s="8">
        <v>224.63211999999999</v>
      </c>
      <c r="Y91" s="8">
        <v>248.68123900000001</v>
      </c>
      <c r="Z91" s="8">
        <v>215.21005099999999</v>
      </c>
      <c r="AA91" s="8">
        <v>217.41474099999999</v>
      </c>
      <c r="AC91" s="2">
        <v>161</v>
      </c>
      <c r="AD91" s="2">
        <v>155.9</v>
      </c>
      <c r="AE91" s="2">
        <v>143.1</v>
      </c>
      <c r="AF91" s="2">
        <v>157.4</v>
      </c>
      <c r="AG91" s="2" t="s">
        <v>773</v>
      </c>
      <c r="AH91" s="2">
        <v>151.5</v>
      </c>
      <c r="AI91" s="2" t="s">
        <v>773</v>
      </c>
      <c r="AJ91" s="2" t="s">
        <v>773</v>
      </c>
      <c r="AK91" s="19">
        <v>0.13402777777777777</v>
      </c>
      <c r="AL91" s="8">
        <f>(3+(13/60))*AH91</f>
        <v>487.32500000000005</v>
      </c>
    </row>
    <row r="92" spans="1:46" x14ac:dyDescent="0.2">
      <c r="A92" s="2">
        <v>76</v>
      </c>
      <c r="B92" s="2">
        <v>98</v>
      </c>
      <c r="C92" s="2">
        <v>248</v>
      </c>
      <c r="D92" t="s">
        <v>106</v>
      </c>
      <c r="E92" t="s">
        <v>680</v>
      </c>
      <c r="F92" t="s">
        <v>1308</v>
      </c>
      <c r="G92" s="2">
        <v>2220</v>
      </c>
      <c r="H92" s="2">
        <v>180.9</v>
      </c>
      <c r="I92" s="15">
        <v>6.4610000000000003</v>
      </c>
      <c r="J92" s="15">
        <v>5.5350000000000001</v>
      </c>
      <c r="O92" s="8">
        <v>153.16297299999999</v>
      </c>
      <c r="P92" s="8">
        <v>152.118695</v>
      </c>
      <c r="Q92" s="8">
        <v>149.579339</v>
      </c>
      <c r="R92" s="8">
        <v>155.927358</v>
      </c>
      <c r="S92" s="8">
        <v>155.64313899999999</v>
      </c>
      <c r="T92" s="8">
        <v>166.878646</v>
      </c>
      <c r="U92" s="8">
        <v>183.94783100000001</v>
      </c>
      <c r="V92" s="8">
        <v>174.68577400000001</v>
      </c>
      <c r="W92" s="8">
        <v>187.02173300000001</v>
      </c>
      <c r="X92" s="8">
        <v>172.49722399999999</v>
      </c>
      <c r="Y92" s="8">
        <v>182.85318000000001</v>
      </c>
      <c r="Z92" s="8">
        <v>165.518821</v>
      </c>
      <c r="AA92" s="8">
        <v>168.77802299999999</v>
      </c>
      <c r="AC92" s="2">
        <v>162.30000000000001</v>
      </c>
      <c r="AD92" s="2">
        <v>144.80000000000001</v>
      </c>
      <c r="AE92" s="2">
        <v>140.6</v>
      </c>
      <c r="AF92" s="2">
        <v>180.9</v>
      </c>
      <c r="AG92" s="14" t="s">
        <v>773</v>
      </c>
      <c r="AH92" s="2">
        <v>184.5</v>
      </c>
      <c r="AI92" s="2" t="s">
        <v>773</v>
      </c>
      <c r="AJ92" s="2" t="s">
        <v>773</v>
      </c>
      <c r="AK92" s="19">
        <v>0.125</v>
      </c>
      <c r="AL92" s="8">
        <f>3*AH92</f>
        <v>553.5</v>
      </c>
    </row>
    <row r="93" spans="1:46" x14ac:dyDescent="0.2">
      <c r="A93" s="2">
        <v>77</v>
      </c>
      <c r="B93" s="2">
        <v>70</v>
      </c>
      <c r="C93" s="2">
        <v>223</v>
      </c>
      <c r="D93" t="s">
        <v>74</v>
      </c>
      <c r="E93" t="s">
        <v>534</v>
      </c>
      <c r="G93" s="2">
        <v>119540</v>
      </c>
      <c r="H93" s="2">
        <v>119.4</v>
      </c>
      <c r="I93" s="15">
        <v>4.266</v>
      </c>
      <c r="J93" s="15">
        <v>2.4569999999999999</v>
      </c>
      <c r="O93" s="8">
        <v>113.673306</v>
      </c>
      <c r="P93" s="8">
        <v>113.272987</v>
      </c>
      <c r="Q93" s="8">
        <v>114.715581</v>
      </c>
      <c r="R93" s="8">
        <v>114.658068</v>
      </c>
      <c r="S93" s="8">
        <v>107.475613</v>
      </c>
      <c r="T93" s="8">
        <v>102.655462</v>
      </c>
      <c r="U93" s="8">
        <v>110.55453900000001</v>
      </c>
      <c r="V93" s="8">
        <v>116.265669</v>
      </c>
      <c r="W93" s="8">
        <v>123.714185</v>
      </c>
      <c r="X93" s="8">
        <v>223.117379</v>
      </c>
      <c r="Y93" s="8">
        <v>208.03979200000001</v>
      </c>
      <c r="Z93" s="8">
        <v>209.94866400000001</v>
      </c>
      <c r="AA93" s="8">
        <v>179.73884200000001</v>
      </c>
      <c r="AC93" s="2">
        <v>104.6</v>
      </c>
      <c r="AD93" s="2">
        <v>122.9</v>
      </c>
      <c r="AE93" s="2">
        <v>125.4</v>
      </c>
      <c r="AF93" s="2">
        <v>119.4</v>
      </c>
      <c r="AG93" s="2" t="s">
        <v>773</v>
      </c>
      <c r="AH93" s="2">
        <v>111.9</v>
      </c>
      <c r="AI93" s="2" t="s">
        <v>773</v>
      </c>
      <c r="AJ93" s="2" t="s">
        <v>773</v>
      </c>
      <c r="AK93" s="19">
        <v>0.49236111111111108</v>
      </c>
      <c r="AL93" s="8">
        <f>(11+(49/60))*AH93</f>
        <v>1322.2850000000001</v>
      </c>
      <c r="AT93" t="s">
        <v>266</v>
      </c>
    </row>
    <row r="94" spans="1:46" x14ac:dyDescent="0.2">
      <c r="A94" s="2">
        <v>78</v>
      </c>
      <c r="B94" s="2">
        <v>91</v>
      </c>
      <c r="C94" s="2">
        <v>363</v>
      </c>
      <c r="D94" t="s">
        <v>120</v>
      </c>
      <c r="E94" t="s">
        <v>555</v>
      </c>
      <c r="F94" t="s">
        <v>1318</v>
      </c>
      <c r="G94" s="2">
        <v>13250</v>
      </c>
      <c r="H94" s="2">
        <v>88.27</v>
      </c>
      <c r="I94" s="15">
        <v>3.1520000000000001</v>
      </c>
      <c r="J94" s="15">
        <v>2.5760000000000001</v>
      </c>
      <c r="AC94" s="2">
        <v>81.56</v>
      </c>
      <c r="AD94" s="2">
        <v>77.86</v>
      </c>
      <c r="AE94" s="2">
        <v>73.78</v>
      </c>
      <c r="AF94" s="2">
        <v>88.27</v>
      </c>
      <c r="AG94" s="14" t="s">
        <v>773</v>
      </c>
      <c r="AH94" s="2">
        <v>95.61</v>
      </c>
      <c r="AI94" s="2" t="s">
        <v>773</v>
      </c>
      <c r="AJ94" s="2" t="s">
        <v>773</v>
      </c>
      <c r="AK94" s="19">
        <v>0.24305555555555555</v>
      </c>
      <c r="AL94" s="8">
        <f>(5+(50/60))*AH94</f>
        <v>557.72500000000002</v>
      </c>
    </row>
    <row r="95" spans="1:46" x14ac:dyDescent="0.2">
      <c r="A95" s="2">
        <v>79</v>
      </c>
      <c r="B95" s="2">
        <v>70</v>
      </c>
      <c r="C95" s="2">
        <v>43</v>
      </c>
      <c r="D95" t="s">
        <v>77</v>
      </c>
      <c r="E95" t="s">
        <v>1234</v>
      </c>
      <c r="G95" s="2">
        <v>0</v>
      </c>
      <c r="H95" s="2">
        <v>672.2</v>
      </c>
      <c r="I95" s="15">
        <v>24</v>
      </c>
      <c r="J95" s="15">
        <v>19.64</v>
      </c>
      <c r="O95" s="8">
        <v>457.08951999999999</v>
      </c>
      <c r="P95" s="8">
        <v>405.06271700000002</v>
      </c>
      <c r="Q95" s="8">
        <v>468.99963500000001</v>
      </c>
      <c r="R95" s="8">
        <v>453.91099200000002</v>
      </c>
      <c r="S95" s="8">
        <v>430.89439700000003</v>
      </c>
      <c r="T95" s="8">
        <v>389.00809700000002</v>
      </c>
      <c r="U95" s="8">
        <v>396.55180799999999</v>
      </c>
      <c r="V95" s="8">
        <v>434.59229099999999</v>
      </c>
      <c r="W95" s="8">
        <v>392.88372700000002</v>
      </c>
      <c r="X95" s="8">
        <v>448.96148299999999</v>
      </c>
      <c r="Y95" s="8">
        <v>437.32213200000001</v>
      </c>
      <c r="Z95" s="8">
        <v>393.53108400000002</v>
      </c>
      <c r="AA95" s="8">
        <v>478.784695</v>
      </c>
      <c r="AC95" s="2">
        <v>561.9</v>
      </c>
      <c r="AD95" s="2">
        <v>698.4</v>
      </c>
      <c r="AE95" s="2">
        <v>655.7</v>
      </c>
      <c r="AF95" s="2">
        <v>672.2</v>
      </c>
      <c r="AG95" s="14" t="s">
        <v>773</v>
      </c>
      <c r="AH95" s="14" t="s">
        <v>773</v>
      </c>
      <c r="AI95" s="14" t="s">
        <v>773</v>
      </c>
      <c r="AJ95" s="14" t="s">
        <v>773</v>
      </c>
      <c r="AK95" s="19">
        <v>0.19444444444444445</v>
      </c>
      <c r="AL95" s="8">
        <f>(4+(40/60))*AF95</f>
        <v>3136.9333333333338</v>
      </c>
    </row>
    <row r="96" spans="1:46" x14ac:dyDescent="0.2">
      <c r="A96" s="2">
        <v>80</v>
      </c>
      <c r="B96" s="2">
        <v>80</v>
      </c>
      <c r="C96" s="2">
        <v>140</v>
      </c>
      <c r="D96" t="s">
        <v>192</v>
      </c>
      <c r="E96" t="s">
        <v>1234</v>
      </c>
      <c r="J96" s="15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">
        <v>92.13</v>
      </c>
      <c r="AD96" s="2" t="s">
        <v>773</v>
      </c>
      <c r="AE96" s="2" t="s">
        <v>773</v>
      </c>
      <c r="AF96" s="2" t="s">
        <v>773</v>
      </c>
      <c r="AG96" s="14" t="s">
        <v>773</v>
      </c>
      <c r="AH96" s="14" t="s">
        <v>773</v>
      </c>
      <c r="AI96" s="14" t="s">
        <v>773</v>
      </c>
      <c r="AJ96" s="14" t="s">
        <v>773</v>
      </c>
      <c r="AK96" s="19">
        <v>0.39513888888888887</v>
      </c>
      <c r="AL96" s="8">
        <f>(9+(29/60))*AC96</f>
        <v>873.69949999999983</v>
      </c>
    </row>
    <row r="97" spans="1:46" x14ac:dyDescent="0.2">
      <c r="A97" s="2">
        <v>81</v>
      </c>
      <c r="B97" s="2">
        <v>79</v>
      </c>
      <c r="C97" s="2">
        <v>318</v>
      </c>
      <c r="D97" t="s">
        <v>102</v>
      </c>
      <c r="E97" t="s">
        <v>679</v>
      </c>
      <c r="G97" s="2">
        <v>3910</v>
      </c>
      <c r="H97" s="2">
        <v>107.3</v>
      </c>
      <c r="I97" s="15">
        <v>3.8319999999999999</v>
      </c>
      <c r="J97" s="15">
        <v>3.0259999999999998</v>
      </c>
      <c r="O97" s="8">
        <v>103.732428</v>
      </c>
      <c r="P97" s="8">
        <v>106.029051</v>
      </c>
      <c r="Q97" s="8">
        <v>113.632982</v>
      </c>
      <c r="R97" s="8">
        <v>91.868801000000005</v>
      </c>
      <c r="S97" s="8">
        <v>84.007401999999999</v>
      </c>
      <c r="T97" s="8">
        <v>84.297330000000002</v>
      </c>
      <c r="U97" s="8">
        <v>90.088382999999993</v>
      </c>
      <c r="V97" s="8">
        <v>75.593892999999994</v>
      </c>
      <c r="W97" s="8">
        <v>82.809622000000005</v>
      </c>
      <c r="X97" s="8">
        <v>93.027375000000006</v>
      </c>
      <c r="Y97" s="8">
        <v>92.38382</v>
      </c>
      <c r="Z97" s="8">
        <v>84.604642999999996</v>
      </c>
      <c r="AA97" s="8">
        <v>93.815090999999995</v>
      </c>
      <c r="AC97" s="2">
        <v>84.09</v>
      </c>
      <c r="AD97" s="2">
        <v>103</v>
      </c>
      <c r="AE97" s="2">
        <v>93.14</v>
      </c>
      <c r="AF97" s="2">
        <v>107.3</v>
      </c>
      <c r="AG97" s="2" t="s">
        <v>773</v>
      </c>
      <c r="AH97" s="2">
        <v>109.2</v>
      </c>
      <c r="AI97" s="2" t="s">
        <v>773</v>
      </c>
      <c r="AJ97" s="2" t="s">
        <v>773</v>
      </c>
      <c r="AK97" s="19">
        <v>0.21180555555555555</v>
      </c>
      <c r="AL97" s="8">
        <f>(5+(5/60))*AH97</f>
        <v>555.1</v>
      </c>
    </row>
    <row r="98" spans="1:46" x14ac:dyDescent="0.2">
      <c r="A98" s="2">
        <v>82</v>
      </c>
      <c r="B98" s="2">
        <v>88</v>
      </c>
      <c r="C98" s="2">
        <v>361</v>
      </c>
      <c r="D98" t="s">
        <v>127</v>
      </c>
      <c r="E98" t="s">
        <v>543</v>
      </c>
      <c r="F98" t="s">
        <v>1280</v>
      </c>
      <c r="G98" s="2">
        <v>223550</v>
      </c>
      <c r="H98" s="2">
        <v>85.87</v>
      </c>
      <c r="I98" s="15">
        <v>3.0430000000000001</v>
      </c>
      <c r="J98" s="15">
        <v>2.48</v>
      </c>
      <c r="AC98" s="2">
        <v>92.8</v>
      </c>
      <c r="AD98" s="2">
        <v>100.5</v>
      </c>
      <c r="AE98" s="2">
        <v>85.87</v>
      </c>
      <c r="AF98" s="2">
        <v>85.22</v>
      </c>
      <c r="AG98" s="14" t="s">
        <v>773</v>
      </c>
      <c r="AH98" s="2">
        <v>90.46</v>
      </c>
      <c r="AI98" s="2" t="s">
        <v>773</v>
      </c>
      <c r="AJ98" s="2" t="s">
        <v>773</v>
      </c>
      <c r="AK98" s="19">
        <v>0.17986111111111111</v>
      </c>
      <c r="AL98" s="8">
        <f>(4+(19/60))*AH98</f>
        <v>390.48566666666665</v>
      </c>
    </row>
    <row r="99" spans="1:46" x14ac:dyDescent="0.2">
      <c r="A99" s="2">
        <v>83</v>
      </c>
      <c r="B99" s="2">
        <v>86</v>
      </c>
      <c r="C99" s="2">
        <v>321</v>
      </c>
      <c r="D99" t="s">
        <v>94</v>
      </c>
      <c r="F99" t="s">
        <v>1237</v>
      </c>
      <c r="H99" s="2">
        <v>134.80000000000001</v>
      </c>
      <c r="I99" s="15">
        <v>4.8159999999999998</v>
      </c>
      <c r="J99" s="15">
        <v>4.0039999999999996</v>
      </c>
      <c r="M99" s="1" t="s">
        <v>16</v>
      </c>
      <c r="O99" s="57">
        <v>174</v>
      </c>
      <c r="P99" s="57">
        <v>199</v>
      </c>
      <c r="Q99" s="57">
        <v>176</v>
      </c>
      <c r="R99" s="57">
        <v>170</v>
      </c>
      <c r="S99" s="57">
        <v>172</v>
      </c>
      <c r="T99" s="57">
        <v>172</v>
      </c>
      <c r="U99" s="57">
        <v>167</v>
      </c>
      <c r="V99" s="57">
        <v>169</v>
      </c>
      <c r="W99" s="57">
        <v>170</v>
      </c>
      <c r="X99" s="57">
        <v>209</v>
      </c>
      <c r="Y99" s="57">
        <v>227</v>
      </c>
      <c r="Z99" s="57">
        <v>198</v>
      </c>
      <c r="AA99" s="57">
        <v>190</v>
      </c>
      <c r="AC99" s="2">
        <v>189.8</v>
      </c>
      <c r="AD99" s="2">
        <v>157.4</v>
      </c>
      <c r="AE99" s="2">
        <v>139.19999999999999</v>
      </c>
      <c r="AF99" s="2">
        <v>134.80000000000001</v>
      </c>
      <c r="AG99" s="2" t="s">
        <v>773</v>
      </c>
      <c r="AH99" s="2">
        <v>139.6</v>
      </c>
      <c r="AI99" s="2" t="s">
        <v>773</v>
      </c>
      <c r="AJ99" s="2" t="s">
        <v>773</v>
      </c>
      <c r="AK99" s="19">
        <v>0.1111111111111111</v>
      </c>
      <c r="AL99" s="60">
        <f>(2+(40/60))*AH99</f>
        <v>372.26666666666665</v>
      </c>
    </row>
    <row r="100" spans="1:46" x14ac:dyDescent="0.2">
      <c r="A100" s="2">
        <v>84</v>
      </c>
      <c r="B100" s="2">
        <v>57</v>
      </c>
      <c r="C100" s="2">
        <v>132</v>
      </c>
      <c r="D100" t="s">
        <v>92</v>
      </c>
      <c r="E100" t="s">
        <v>7</v>
      </c>
      <c r="J100" s="15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C100" s="2">
        <v>243.4</v>
      </c>
      <c r="AD100" s="2" t="s">
        <v>773</v>
      </c>
      <c r="AE100" s="2" t="s">
        <v>773</v>
      </c>
      <c r="AF100" s="2" t="s">
        <v>773</v>
      </c>
      <c r="AG100" s="2" t="s">
        <v>773</v>
      </c>
      <c r="AH100" s="2" t="s">
        <v>773</v>
      </c>
      <c r="AI100" s="2" t="s">
        <v>773</v>
      </c>
      <c r="AJ100" s="2" t="s">
        <v>773</v>
      </c>
      <c r="AK100" s="19">
        <v>0.40208333333333335</v>
      </c>
      <c r="AL100" s="8">
        <f>(9+(39/60))*AC100</f>
        <v>2348.81</v>
      </c>
    </row>
    <row r="101" spans="1:46" x14ac:dyDescent="0.2">
      <c r="A101" s="2">
        <v>85</v>
      </c>
      <c r="B101" s="2">
        <v>136</v>
      </c>
      <c r="C101" s="2">
        <v>488</v>
      </c>
      <c r="D101" t="s">
        <v>99</v>
      </c>
      <c r="E101" t="s">
        <v>6</v>
      </c>
      <c r="F101" t="s">
        <v>1309</v>
      </c>
      <c r="G101" s="2">
        <v>0</v>
      </c>
      <c r="H101" s="2">
        <v>130</v>
      </c>
      <c r="I101" s="15">
        <v>4.6440000000000001</v>
      </c>
      <c r="J101" s="15">
        <v>2.8580000000000001</v>
      </c>
      <c r="AC101" s="2">
        <v>129.30000000000001</v>
      </c>
      <c r="AD101" s="2">
        <v>33.15</v>
      </c>
      <c r="AE101" s="2">
        <v>99.61</v>
      </c>
      <c r="AF101" s="2">
        <v>130</v>
      </c>
      <c r="AG101" s="2" t="s">
        <v>773</v>
      </c>
      <c r="AH101" s="2">
        <v>127.7</v>
      </c>
      <c r="AI101" s="2" t="s">
        <v>773</v>
      </c>
      <c r="AJ101" s="2" t="s">
        <v>773</v>
      </c>
      <c r="AK101" s="19">
        <v>0.35833333333333334</v>
      </c>
      <c r="AL101" s="8">
        <f>(8+(36/60))*AH101</f>
        <v>1098.22</v>
      </c>
    </row>
    <row r="102" spans="1:46" x14ac:dyDescent="0.2">
      <c r="A102" s="2">
        <v>86</v>
      </c>
      <c r="B102" s="2">
        <v>49</v>
      </c>
      <c r="C102" s="2">
        <v>54</v>
      </c>
      <c r="D102" t="s">
        <v>57</v>
      </c>
      <c r="E102" t="s">
        <v>6</v>
      </c>
      <c r="G102" s="2">
        <v>1000</v>
      </c>
      <c r="H102" s="2">
        <v>509.6</v>
      </c>
      <c r="I102" s="15">
        <v>18.2</v>
      </c>
      <c r="J102" s="15">
        <v>13.96</v>
      </c>
      <c r="O102" s="8">
        <v>656.19464100000005</v>
      </c>
      <c r="P102" s="8">
        <v>637.62245199999995</v>
      </c>
      <c r="Q102" s="8">
        <v>657.59888699999999</v>
      </c>
      <c r="R102" s="8">
        <v>644.30729099999996</v>
      </c>
      <c r="S102" s="8">
        <v>633.89720699999998</v>
      </c>
      <c r="T102" s="8">
        <v>687.184349</v>
      </c>
      <c r="U102" s="8">
        <v>788.88637400000005</v>
      </c>
      <c r="V102" s="8">
        <v>744.68915100000004</v>
      </c>
      <c r="W102" s="8">
        <v>712.89092600000004</v>
      </c>
      <c r="X102" s="8">
        <v>802.68906400000003</v>
      </c>
      <c r="Y102" s="8">
        <v>856.50980400000003</v>
      </c>
      <c r="Z102" s="8">
        <v>695.097983</v>
      </c>
      <c r="AA102" s="8">
        <v>752.55072800000005</v>
      </c>
      <c r="AC102" s="2">
        <v>308.8</v>
      </c>
      <c r="AD102" s="2">
        <v>482</v>
      </c>
      <c r="AE102" s="2">
        <v>455.1</v>
      </c>
      <c r="AF102" s="2">
        <v>572</v>
      </c>
      <c r="AG102" s="2" t="s">
        <v>773</v>
      </c>
      <c r="AH102" s="2">
        <v>599.4</v>
      </c>
      <c r="AI102" s="2" t="s">
        <v>773</v>
      </c>
      <c r="AJ102" s="2" t="s">
        <v>773</v>
      </c>
      <c r="AK102" s="19">
        <v>5.1388888888888894E-2</v>
      </c>
      <c r="AL102" s="8">
        <f>(1+(14/60))*AH102</f>
        <v>739.26</v>
      </c>
    </row>
    <row r="103" spans="1:46" x14ac:dyDescent="0.2">
      <c r="A103" s="2">
        <v>87</v>
      </c>
      <c r="B103" s="2">
        <v>54</v>
      </c>
      <c r="C103" s="2">
        <v>98</v>
      </c>
      <c r="D103" t="s">
        <v>75</v>
      </c>
      <c r="H103" s="2">
        <v>328.4</v>
      </c>
      <c r="I103" s="15">
        <v>11.73</v>
      </c>
      <c r="J103" s="15">
        <v>4.1159999999999997</v>
      </c>
      <c r="AC103" s="2">
        <v>236.6</v>
      </c>
      <c r="AD103" s="2">
        <v>292.8</v>
      </c>
      <c r="AE103" s="2">
        <v>288.39999999999998</v>
      </c>
      <c r="AF103" s="2">
        <v>328.4</v>
      </c>
      <c r="AG103" s="2" t="s">
        <v>773</v>
      </c>
      <c r="AH103" s="2">
        <v>328.9</v>
      </c>
      <c r="AI103" s="2" t="s">
        <v>773</v>
      </c>
      <c r="AJ103" s="2" t="s">
        <v>773</v>
      </c>
      <c r="AK103" s="19">
        <v>0.67152777777777783</v>
      </c>
      <c r="AL103" s="8">
        <f>(16+(7/60))*AH103</f>
        <v>5300.7716666666665</v>
      </c>
    </row>
    <row r="104" spans="1:46" x14ac:dyDescent="0.2">
      <c r="A104" s="2">
        <v>88</v>
      </c>
      <c r="B104" s="2">
        <v>97</v>
      </c>
      <c r="C104" s="2">
        <v>347</v>
      </c>
      <c r="D104" t="s">
        <v>81</v>
      </c>
      <c r="E104" t="s">
        <v>675</v>
      </c>
      <c r="F104" t="s">
        <v>1237</v>
      </c>
      <c r="G104" s="2">
        <v>10280</v>
      </c>
      <c r="H104" s="2">
        <v>162</v>
      </c>
      <c r="I104" s="15">
        <v>5.7869999999999999</v>
      </c>
      <c r="J104" s="15">
        <v>4.3440000000000003</v>
      </c>
      <c r="O104" s="57">
        <v>326</v>
      </c>
      <c r="P104" s="57">
        <v>347</v>
      </c>
      <c r="Q104" s="57">
        <v>334</v>
      </c>
      <c r="R104" s="57">
        <v>313</v>
      </c>
      <c r="S104" s="57">
        <v>305</v>
      </c>
      <c r="T104" s="57">
        <v>313</v>
      </c>
      <c r="U104" s="57">
        <v>339</v>
      </c>
      <c r="V104" s="57">
        <v>314</v>
      </c>
      <c r="W104" s="57">
        <v>381</v>
      </c>
      <c r="X104" s="57">
        <v>369</v>
      </c>
      <c r="Y104" s="57">
        <v>380</v>
      </c>
      <c r="Z104" s="57">
        <v>355</v>
      </c>
      <c r="AA104" s="57">
        <v>345</v>
      </c>
      <c r="AC104" s="2">
        <v>163.1</v>
      </c>
      <c r="AD104" s="2">
        <v>141.6</v>
      </c>
      <c r="AE104" s="2">
        <v>139.69999999999999</v>
      </c>
      <c r="AF104" s="2">
        <v>162</v>
      </c>
      <c r="AG104" s="2" t="s">
        <v>773</v>
      </c>
      <c r="AH104" s="2">
        <v>165.8</v>
      </c>
      <c r="AI104" s="2" t="s">
        <v>773</v>
      </c>
      <c r="AJ104" s="2" t="s">
        <v>773</v>
      </c>
      <c r="AK104" s="19">
        <v>0.1076388888888889</v>
      </c>
      <c r="AL104" s="60">
        <f>(2+(35/60))*AH104</f>
        <v>428.31666666666672</v>
      </c>
      <c r="AT104" t="s">
        <v>501</v>
      </c>
    </row>
    <row r="105" spans="1:46" x14ac:dyDescent="0.2">
      <c r="A105" s="2">
        <v>89</v>
      </c>
      <c r="B105" s="2">
        <v>103</v>
      </c>
      <c r="C105" s="2">
        <v>347</v>
      </c>
      <c r="D105" t="s">
        <v>104</v>
      </c>
      <c r="E105" t="s">
        <v>682</v>
      </c>
      <c r="G105" s="2">
        <v>5030</v>
      </c>
      <c r="H105" s="2">
        <v>146.9</v>
      </c>
      <c r="I105" s="15">
        <v>5.2460000000000004</v>
      </c>
      <c r="J105" s="15">
        <v>4.1689999999999996</v>
      </c>
      <c r="AC105" s="2">
        <v>172.5</v>
      </c>
      <c r="AD105" s="2">
        <v>170.8</v>
      </c>
      <c r="AE105" s="2">
        <v>140.4</v>
      </c>
      <c r="AF105" s="2">
        <v>146.9</v>
      </c>
      <c r="AG105" s="2" t="s">
        <v>773</v>
      </c>
      <c r="AH105" s="2">
        <v>143.5</v>
      </c>
      <c r="AI105" s="2" t="s">
        <v>773</v>
      </c>
      <c r="AJ105" s="2" t="s">
        <v>773</v>
      </c>
      <c r="AK105" s="19">
        <v>8.0555555555555561E-2</v>
      </c>
      <c r="AL105" s="8">
        <f>(1+(56/60))*AH105</f>
        <v>277.43333333333334</v>
      </c>
    </row>
    <row r="106" spans="1:46" x14ac:dyDescent="0.2">
      <c r="A106" s="2">
        <v>90</v>
      </c>
      <c r="B106" s="2">
        <v>110</v>
      </c>
      <c r="C106" s="2">
        <v>470</v>
      </c>
      <c r="D106" t="s">
        <v>189</v>
      </c>
      <c r="E106" t="s">
        <v>549</v>
      </c>
      <c r="F106" t="s">
        <v>1263</v>
      </c>
      <c r="G106" s="2">
        <v>88480</v>
      </c>
      <c r="H106" s="2">
        <v>96.74</v>
      </c>
      <c r="I106" s="15">
        <v>3.4550000000000001</v>
      </c>
      <c r="J106" s="15">
        <v>1.6830000000000001</v>
      </c>
      <c r="AC106" s="2">
        <v>120.9</v>
      </c>
      <c r="AD106" s="2">
        <v>74.48</v>
      </c>
      <c r="AE106" s="2">
        <v>77.48</v>
      </c>
      <c r="AF106" s="2">
        <v>96.74</v>
      </c>
      <c r="AG106" s="14" t="s">
        <v>773</v>
      </c>
      <c r="AH106" s="2">
        <v>88.87</v>
      </c>
      <c r="AI106" s="14" t="s">
        <v>773</v>
      </c>
      <c r="AJ106" s="14" t="s">
        <v>773</v>
      </c>
      <c r="AK106" s="19">
        <v>0.20972222222222223</v>
      </c>
      <c r="AL106" s="8">
        <f>(5+(2/60))*AH106</f>
        <v>447.31233333333336</v>
      </c>
    </row>
    <row r="107" spans="1:46" x14ac:dyDescent="0.2">
      <c r="A107" s="2">
        <v>91</v>
      </c>
      <c r="B107" s="2">
        <v>58</v>
      </c>
      <c r="C107" s="2">
        <v>219</v>
      </c>
      <c r="D107" t="s">
        <v>67</v>
      </c>
      <c r="E107" t="s">
        <v>525</v>
      </c>
      <c r="G107" s="2">
        <v>171400</v>
      </c>
      <c r="H107" s="2">
        <v>211.5</v>
      </c>
      <c r="I107" s="15">
        <v>7.556</v>
      </c>
      <c r="J107" s="15">
        <v>4.702</v>
      </c>
      <c r="O107" s="8">
        <v>80.124294000000006</v>
      </c>
      <c r="P107" s="8">
        <v>79.022028000000006</v>
      </c>
      <c r="Q107" s="8">
        <v>80.716860999999994</v>
      </c>
      <c r="R107" s="8">
        <v>81.878158999999997</v>
      </c>
      <c r="S107" s="8">
        <v>74.474273999999994</v>
      </c>
      <c r="T107" s="8">
        <v>76.593495000000004</v>
      </c>
      <c r="U107" s="8">
        <v>79.399601000000004</v>
      </c>
      <c r="V107" s="8">
        <v>70.498362999999998</v>
      </c>
      <c r="W107" s="8">
        <v>70.241204999999994</v>
      </c>
      <c r="X107" s="8">
        <v>71.382029000000003</v>
      </c>
      <c r="Y107" s="8">
        <v>91.316939000000005</v>
      </c>
      <c r="Z107" s="8">
        <v>81.475021999999996</v>
      </c>
      <c r="AA107" s="8">
        <v>77.230063999999999</v>
      </c>
      <c r="AC107" s="2">
        <v>114.7</v>
      </c>
      <c r="AD107" s="2">
        <v>190.1</v>
      </c>
      <c r="AE107" s="2">
        <v>209</v>
      </c>
      <c r="AF107" s="2">
        <v>211.5</v>
      </c>
      <c r="AG107" s="2" t="s">
        <v>773</v>
      </c>
      <c r="AH107" s="2">
        <v>209.6</v>
      </c>
      <c r="AI107" s="2" t="s">
        <v>773</v>
      </c>
      <c r="AJ107" s="2" t="s">
        <v>773</v>
      </c>
      <c r="AK107" s="19">
        <v>0.14305555555555557</v>
      </c>
      <c r="AL107" s="8">
        <f>(3+(26/60))*AH107</f>
        <v>719.62666666666667</v>
      </c>
    </row>
    <row r="108" spans="1:46" x14ac:dyDescent="0.2">
      <c r="A108" s="2">
        <v>92</v>
      </c>
      <c r="B108" s="2">
        <v>102</v>
      </c>
      <c r="C108" s="2">
        <v>366</v>
      </c>
      <c r="D108" t="s">
        <v>125</v>
      </c>
      <c r="E108" t="s">
        <v>690</v>
      </c>
      <c r="G108" s="2">
        <v>191320</v>
      </c>
      <c r="H108" s="2">
        <v>69.39</v>
      </c>
      <c r="I108" s="15">
        <v>2.4780000000000002</v>
      </c>
      <c r="J108" s="15">
        <v>1.8660000000000001</v>
      </c>
      <c r="AC108" s="2">
        <v>122.4</v>
      </c>
      <c r="AD108" s="2">
        <v>89.16</v>
      </c>
      <c r="AE108" s="2">
        <v>121</v>
      </c>
      <c r="AF108" s="2">
        <v>69.39</v>
      </c>
      <c r="AG108" s="14" t="s">
        <v>773</v>
      </c>
      <c r="AH108" s="2">
        <v>60.28</v>
      </c>
      <c r="AI108" s="2" t="s">
        <v>773</v>
      </c>
      <c r="AJ108" s="2" t="s">
        <v>773</v>
      </c>
      <c r="AK108" s="19">
        <v>4.5833333333333337E-2</v>
      </c>
      <c r="AL108" s="8">
        <f>(1+(6/60))*AH108</f>
        <v>66.308000000000007</v>
      </c>
      <c r="AQ108" s="5"/>
      <c r="AR108" s="5"/>
      <c r="AS108" s="5"/>
    </row>
    <row r="109" spans="1:46" x14ac:dyDescent="0.2">
      <c r="A109" s="2">
        <v>93</v>
      </c>
      <c r="B109" s="2">
        <v>83</v>
      </c>
      <c r="C109" s="2">
        <v>352</v>
      </c>
      <c r="D109" t="s">
        <v>137</v>
      </c>
      <c r="E109" t="s">
        <v>558</v>
      </c>
      <c r="F109" t="s">
        <v>1319</v>
      </c>
      <c r="G109" s="2">
        <v>2910</v>
      </c>
      <c r="H109" s="2">
        <v>69.819999999999993</v>
      </c>
      <c r="I109" s="15">
        <v>2.4929999999999999</v>
      </c>
      <c r="J109" s="15">
        <v>2</v>
      </c>
      <c r="AC109" s="2">
        <v>62.15</v>
      </c>
      <c r="AD109" s="2">
        <v>69.81</v>
      </c>
      <c r="AE109" s="2">
        <v>69.819999999999993</v>
      </c>
      <c r="AF109" s="2">
        <v>63.23</v>
      </c>
      <c r="AG109" s="14" t="s">
        <v>773</v>
      </c>
      <c r="AH109" s="2">
        <v>69.09</v>
      </c>
      <c r="AI109" s="14" t="s">
        <v>773</v>
      </c>
      <c r="AJ109" s="14" t="s">
        <v>773</v>
      </c>
      <c r="AK109" s="19">
        <v>0.21875</v>
      </c>
      <c r="AL109" s="8">
        <f>(5+(15/60))*AH109</f>
        <v>362.72250000000003</v>
      </c>
    </row>
    <row r="110" spans="1:46" x14ac:dyDescent="0.2">
      <c r="A110" s="2">
        <v>94</v>
      </c>
      <c r="B110" s="2">
        <v>111</v>
      </c>
      <c r="C110" s="2">
        <v>342</v>
      </c>
      <c r="D110" t="s">
        <v>161</v>
      </c>
      <c r="E110" t="s">
        <v>547</v>
      </c>
      <c r="G110" s="2">
        <v>109950</v>
      </c>
      <c r="H110" s="2">
        <v>81.97</v>
      </c>
      <c r="I110" s="15">
        <v>2.927</v>
      </c>
      <c r="J110" s="15">
        <v>2.4039999999999999</v>
      </c>
      <c r="AC110" s="2">
        <v>98.31</v>
      </c>
      <c r="AD110" s="2">
        <v>87.94</v>
      </c>
      <c r="AE110" s="2">
        <v>82.39</v>
      </c>
      <c r="AF110" s="2">
        <v>81.97</v>
      </c>
      <c r="AG110" s="14" t="s">
        <v>773</v>
      </c>
      <c r="AH110" s="2">
        <v>81.77</v>
      </c>
      <c r="AI110" s="14" t="s">
        <v>773</v>
      </c>
      <c r="AJ110" s="14" t="s">
        <v>773</v>
      </c>
      <c r="AK110" s="19">
        <v>0.20277777777777781</v>
      </c>
      <c r="AL110" s="8">
        <f>(4+(52/60))*AH110</f>
        <v>397.94733333333335</v>
      </c>
    </row>
    <row r="111" spans="1:46" x14ac:dyDescent="0.2">
      <c r="A111" s="2">
        <v>95</v>
      </c>
      <c r="B111" s="2">
        <v>116</v>
      </c>
      <c r="C111" s="2">
        <v>48</v>
      </c>
      <c r="D111" t="s">
        <v>141</v>
      </c>
      <c r="E111" t="s">
        <v>545</v>
      </c>
      <c r="G111" s="2">
        <v>97170</v>
      </c>
      <c r="H111" s="2">
        <v>479.8</v>
      </c>
      <c r="I111" s="15">
        <v>17.13</v>
      </c>
      <c r="J111" s="15">
        <v>12.68</v>
      </c>
      <c r="O111" s="8">
        <v>490.75950599999999</v>
      </c>
      <c r="P111" s="8">
        <v>470.16313600000001</v>
      </c>
      <c r="Q111" s="8">
        <v>477.77046999999999</v>
      </c>
      <c r="R111" s="8">
        <v>477.95627200000001</v>
      </c>
      <c r="S111" s="8">
        <v>520.09435299999996</v>
      </c>
      <c r="T111" s="8">
        <v>588.528547</v>
      </c>
      <c r="U111" s="8">
        <v>687.70965200000001</v>
      </c>
      <c r="V111" s="8">
        <v>611.64599999999996</v>
      </c>
      <c r="W111" s="8">
        <v>626.455015</v>
      </c>
      <c r="X111" s="8">
        <v>613.15158099999996</v>
      </c>
      <c r="Y111" s="8">
        <v>621.32125900000005</v>
      </c>
      <c r="Z111" s="8">
        <v>580.37590699999998</v>
      </c>
      <c r="AA111" s="8">
        <v>627.26152100000002</v>
      </c>
      <c r="AC111" s="2">
        <v>586.20000000000005</v>
      </c>
      <c r="AD111" s="2">
        <v>469</v>
      </c>
      <c r="AE111" s="2">
        <v>479.8</v>
      </c>
      <c r="AF111" s="2">
        <v>643.79999999999995</v>
      </c>
      <c r="AG111" s="14" t="s">
        <v>773</v>
      </c>
      <c r="AH111" s="2">
        <v>618.70000000000005</v>
      </c>
      <c r="AI111" s="14" t="s">
        <v>773</v>
      </c>
      <c r="AJ111" s="14" t="s">
        <v>773</v>
      </c>
      <c r="AK111" s="19">
        <v>0.35000000000000003</v>
      </c>
      <c r="AL111" s="8">
        <f>(8+(24/60))*AH111</f>
        <v>5197.0800000000008</v>
      </c>
    </row>
    <row r="112" spans="1:46" x14ac:dyDescent="0.2">
      <c r="A112" s="2">
        <v>96</v>
      </c>
      <c r="B112" s="2">
        <v>105</v>
      </c>
      <c r="C112" s="2">
        <v>422</v>
      </c>
      <c r="D112" t="s">
        <v>121</v>
      </c>
      <c r="E112" t="s">
        <v>556</v>
      </c>
      <c r="F112" t="s">
        <v>1280</v>
      </c>
      <c r="G112" s="2">
        <v>15680</v>
      </c>
      <c r="H112" s="2">
        <v>91.59</v>
      </c>
      <c r="I112" s="15">
        <v>3.2709999999999999</v>
      </c>
      <c r="J112" s="15">
        <v>2.6389999999999998</v>
      </c>
      <c r="AC112" s="2">
        <v>97.15</v>
      </c>
      <c r="AD112" s="2">
        <v>111.8</v>
      </c>
      <c r="AE112" s="2">
        <v>87.7</v>
      </c>
      <c r="AF112" s="2">
        <v>91.59</v>
      </c>
      <c r="AG112" s="14" t="s">
        <v>773</v>
      </c>
      <c r="AH112" s="2">
        <v>101.6</v>
      </c>
      <c r="AI112" s="2" t="s">
        <v>773</v>
      </c>
      <c r="AJ112" s="2" t="s">
        <v>773</v>
      </c>
      <c r="AK112" s="19">
        <v>0.17430555555555557</v>
      </c>
      <c r="AL112" s="8">
        <f>(4+(11/60))*AH112</f>
        <v>425.02666666666664</v>
      </c>
    </row>
    <row r="113" spans="1:38" s="3" customFormat="1" x14ac:dyDescent="0.2">
      <c r="A113" s="4">
        <v>97</v>
      </c>
      <c r="B113" s="2">
        <v>156</v>
      </c>
      <c r="C113" s="4">
        <v>740</v>
      </c>
      <c r="D113" s="3" t="s">
        <v>306</v>
      </c>
      <c r="E113" s="3" t="s">
        <v>1244</v>
      </c>
      <c r="G113" s="4">
        <v>108000</v>
      </c>
      <c r="H113" s="4">
        <v>45.8</v>
      </c>
      <c r="I113" s="16">
        <v>1.635</v>
      </c>
      <c r="J113" s="16">
        <v>1.028</v>
      </c>
      <c r="K113" s="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4">
        <v>81.150000000000006</v>
      </c>
      <c r="AD113" s="4">
        <v>70.430000000000007</v>
      </c>
      <c r="AE113" s="4">
        <v>45.61</v>
      </c>
      <c r="AF113" s="4">
        <v>45.8</v>
      </c>
      <c r="AG113" s="46" t="s">
        <v>773</v>
      </c>
      <c r="AH113" s="46" t="s">
        <v>773</v>
      </c>
      <c r="AI113" s="46" t="s">
        <v>773</v>
      </c>
      <c r="AJ113" s="46" t="s">
        <v>773</v>
      </c>
      <c r="AK113" s="23">
        <v>0.32500000000000001</v>
      </c>
      <c r="AL113" s="47">
        <f>(7+(48/60))*AF113</f>
        <v>357.23999999999995</v>
      </c>
    </row>
    <row r="114" spans="1:38" s="3" customFormat="1" x14ac:dyDescent="0.2">
      <c r="A114" s="4">
        <v>98</v>
      </c>
      <c r="B114" s="2">
        <v>78</v>
      </c>
      <c r="C114" s="4">
        <v>315</v>
      </c>
      <c r="D114" s="3" t="s">
        <v>135</v>
      </c>
      <c r="E114" s="3" t="s">
        <v>557</v>
      </c>
      <c r="G114" s="4">
        <v>87920</v>
      </c>
      <c r="H114" s="4">
        <v>91.11</v>
      </c>
      <c r="I114" s="16">
        <v>3.254</v>
      </c>
      <c r="J114" s="16">
        <v>2.714</v>
      </c>
      <c r="K114" s="4"/>
      <c r="L114" s="9"/>
      <c r="M114" s="9"/>
      <c r="N114" s="9"/>
      <c r="O114" s="47">
        <v>121.358643</v>
      </c>
      <c r="P114" s="47">
        <v>122.158323</v>
      </c>
      <c r="Q114" s="47">
        <v>123.050037</v>
      </c>
      <c r="R114" s="47">
        <v>130.00998000000001</v>
      </c>
      <c r="S114" s="47">
        <v>112.829432</v>
      </c>
      <c r="T114" s="47">
        <v>86.654787999999996</v>
      </c>
      <c r="U114" s="47">
        <v>80.452219999999997</v>
      </c>
      <c r="V114" s="47">
        <v>84.192243000000005</v>
      </c>
      <c r="W114" s="47">
        <v>96.508593000000005</v>
      </c>
      <c r="X114" s="47">
        <v>106.220119</v>
      </c>
      <c r="Y114" s="47">
        <v>115.40329699999999</v>
      </c>
      <c r="Z114" s="47">
        <v>99.194010000000006</v>
      </c>
      <c r="AA114" s="47">
        <v>107.733481</v>
      </c>
      <c r="AB114" s="9"/>
      <c r="AC114" s="4">
        <v>79.89</v>
      </c>
      <c r="AD114" s="4">
        <v>80.959999999999994</v>
      </c>
      <c r="AE114" s="4">
        <v>91.11</v>
      </c>
      <c r="AF114" s="4">
        <v>68.11</v>
      </c>
      <c r="AG114" s="46" t="s">
        <v>773</v>
      </c>
      <c r="AH114" s="4">
        <v>67.12</v>
      </c>
      <c r="AI114" s="46" t="s">
        <v>773</v>
      </c>
      <c r="AJ114" s="46" t="s">
        <v>773</v>
      </c>
      <c r="AK114" s="23">
        <v>0.14305555555555557</v>
      </c>
      <c r="AL114" s="47">
        <f>(3+(26/60))*AH114</f>
        <v>230.44533333333337</v>
      </c>
    </row>
    <row r="115" spans="1:38" x14ac:dyDescent="0.2">
      <c r="A115" s="2">
        <v>100</v>
      </c>
      <c r="B115" s="2">
        <v>8</v>
      </c>
      <c r="C115" s="2">
        <v>34</v>
      </c>
      <c r="D115" t="s">
        <v>1223</v>
      </c>
      <c r="E115" t="s">
        <v>533</v>
      </c>
      <c r="G115" s="2">
        <v>30480</v>
      </c>
      <c r="H115" s="2">
        <v>835.3</v>
      </c>
      <c r="I115" s="15">
        <v>29.72</v>
      </c>
      <c r="J115" s="15">
        <v>15.38</v>
      </c>
      <c r="O115" s="8">
        <v>97.053492000000006</v>
      </c>
      <c r="P115" s="8">
        <v>101.972375</v>
      </c>
      <c r="Q115" s="8">
        <v>98.915245999999996</v>
      </c>
      <c r="R115" s="8">
        <v>96.324033</v>
      </c>
      <c r="S115" s="8">
        <v>95.450507000000002</v>
      </c>
      <c r="T115" s="8">
        <v>83.932011000000003</v>
      </c>
      <c r="U115" s="8">
        <v>91.936893999999995</v>
      </c>
      <c r="V115" s="8">
        <v>107.078659</v>
      </c>
      <c r="W115" s="8">
        <v>51.331536999999997</v>
      </c>
      <c r="X115" s="8">
        <v>4.2054010000000002</v>
      </c>
      <c r="Y115" s="2"/>
      <c r="Z115" s="2"/>
      <c r="AA115" s="2"/>
      <c r="AC115" s="2">
        <v>256.3</v>
      </c>
      <c r="AD115" s="2">
        <v>1077</v>
      </c>
      <c r="AE115" s="2">
        <v>929.6</v>
      </c>
      <c r="AF115" s="2">
        <v>832.3</v>
      </c>
      <c r="AG115" s="14" t="s">
        <v>773</v>
      </c>
      <c r="AH115" s="2" t="s">
        <v>773</v>
      </c>
      <c r="AI115" s="2" t="s">
        <v>773</v>
      </c>
      <c r="AJ115" s="2" t="s">
        <v>773</v>
      </c>
      <c r="AK115" s="19">
        <v>0.24444444444444446</v>
      </c>
      <c r="AL115" s="8">
        <f>(5+(52/60)*AF115)</f>
        <v>726.3266666666666</v>
      </c>
    </row>
    <row r="116" spans="1:38" x14ac:dyDescent="0.2">
      <c r="A116" s="2">
        <v>101</v>
      </c>
      <c r="B116" s="2">
        <v>107</v>
      </c>
      <c r="C116" s="2">
        <v>129</v>
      </c>
      <c r="D116" t="s">
        <v>98</v>
      </c>
      <c r="E116" t="s">
        <v>6</v>
      </c>
      <c r="F116" t="s">
        <v>1237</v>
      </c>
      <c r="G116" s="2">
        <v>1000</v>
      </c>
      <c r="H116" s="2">
        <v>385.6</v>
      </c>
      <c r="I116" s="15">
        <v>13.77</v>
      </c>
      <c r="J116" s="15">
        <v>7.7549999999999999</v>
      </c>
      <c r="M116" s="1" t="s">
        <v>16</v>
      </c>
      <c r="O116" s="1">
        <v>795</v>
      </c>
      <c r="P116" s="1">
        <v>795</v>
      </c>
      <c r="Q116" s="1">
        <v>797</v>
      </c>
      <c r="R116" s="1">
        <v>781</v>
      </c>
      <c r="S116" s="1">
        <v>800</v>
      </c>
      <c r="T116" s="1">
        <v>770</v>
      </c>
      <c r="U116" s="1">
        <v>879</v>
      </c>
      <c r="V116" s="1">
        <v>865</v>
      </c>
      <c r="W116" s="1">
        <v>974</v>
      </c>
      <c r="X116" s="1">
        <v>987</v>
      </c>
      <c r="Y116" s="1">
        <v>971</v>
      </c>
      <c r="Z116" s="1">
        <v>982</v>
      </c>
      <c r="AA116" s="1">
        <v>1095</v>
      </c>
      <c r="AC116" s="2">
        <v>305.8</v>
      </c>
      <c r="AD116" s="2">
        <v>346.4</v>
      </c>
      <c r="AE116" s="2">
        <v>372</v>
      </c>
      <c r="AF116" s="2">
        <v>385.6</v>
      </c>
      <c r="AG116" s="2" t="s">
        <v>773</v>
      </c>
      <c r="AH116" s="2">
        <v>397</v>
      </c>
      <c r="AI116" s="2" t="s">
        <v>773</v>
      </c>
      <c r="AJ116" s="2" t="s">
        <v>773</v>
      </c>
      <c r="AK116" s="19">
        <v>0.18402777777777779</v>
      </c>
      <c r="AL116" s="60">
        <f>(4+(25/60))*AH116</f>
        <v>1753.4166666666667</v>
      </c>
    </row>
    <row r="117" spans="1:38" x14ac:dyDescent="0.2">
      <c r="A117" s="2">
        <v>172</v>
      </c>
      <c r="B117" s="2">
        <v>102</v>
      </c>
      <c r="C117" s="2">
        <v>289</v>
      </c>
      <c r="D117" t="s">
        <v>1346</v>
      </c>
      <c r="E117" t="s">
        <v>696</v>
      </c>
      <c r="G117" s="2">
        <v>0</v>
      </c>
      <c r="J117" s="15"/>
      <c r="AC117" s="2">
        <v>164.6</v>
      </c>
      <c r="AD117" s="2" t="s">
        <v>773</v>
      </c>
      <c r="AE117" s="2" t="s">
        <v>773</v>
      </c>
      <c r="AF117" s="2" t="s">
        <v>773</v>
      </c>
      <c r="AG117" s="2" t="s">
        <v>773</v>
      </c>
      <c r="AH117" s="2" t="s">
        <v>773</v>
      </c>
      <c r="AI117" s="2" t="s">
        <v>773</v>
      </c>
      <c r="AJ117" s="2" t="s">
        <v>773</v>
      </c>
      <c r="AK117" s="19">
        <v>0.20833333333333334</v>
      </c>
      <c r="AL117" s="60">
        <f>(5+(0/60))*AC117</f>
        <v>823</v>
      </c>
    </row>
    <row r="118" spans="1:38" x14ac:dyDescent="0.2">
      <c r="A118" s="2">
        <v>103</v>
      </c>
      <c r="B118" s="2">
        <v>113</v>
      </c>
      <c r="C118" s="2">
        <v>81</v>
      </c>
      <c r="D118" t="s">
        <v>128</v>
      </c>
      <c r="E118" t="s">
        <v>7</v>
      </c>
      <c r="G118" s="2">
        <v>2000000</v>
      </c>
      <c r="H118" s="2">
        <v>388.5</v>
      </c>
      <c r="I118" s="15">
        <v>13.91</v>
      </c>
      <c r="J118" s="15">
        <v>8.266</v>
      </c>
      <c r="O118" s="8">
        <v>745.16992300000004</v>
      </c>
      <c r="P118" s="8">
        <v>760.82020199999999</v>
      </c>
      <c r="Q118" s="8">
        <v>755.60777099999996</v>
      </c>
      <c r="R118" s="8">
        <v>752.661023</v>
      </c>
      <c r="S118" s="8">
        <v>696.80112999999994</v>
      </c>
      <c r="T118" s="8">
        <v>673.04865099999995</v>
      </c>
      <c r="U118" s="8">
        <v>723.23583199999996</v>
      </c>
      <c r="V118" s="8">
        <v>656.74121500000001</v>
      </c>
      <c r="W118" s="8">
        <v>789.62536499999999</v>
      </c>
      <c r="X118" s="8">
        <v>881.10868500000004</v>
      </c>
      <c r="Y118" s="8">
        <v>772.18099199999995</v>
      </c>
      <c r="Z118" s="8">
        <v>697.44752600000004</v>
      </c>
      <c r="AA118" s="8">
        <v>642.27407100000005</v>
      </c>
      <c r="AC118" s="2">
        <v>446.5</v>
      </c>
      <c r="AD118" s="2">
        <v>385.3</v>
      </c>
      <c r="AE118" s="2">
        <v>388.5</v>
      </c>
      <c r="AF118" s="2">
        <v>389.5</v>
      </c>
      <c r="AG118" s="14" t="s">
        <v>773</v>
      </c>
      <c r="AH118" s="2">
        <v>381.2</v>
      </c>
      <c r="AI118" s="2" t="s">
        <v>773</v>
      </c>
      <c r="AJ118" s="2" t="s">
        <v>773</v>
      </c>
      <c r="AK118" s="19">
        <v>0.3125</v>
      </c>
      <c r="AL118" s="8">
        <f>7.5*AH118</f>
        <v>2859</v>
      </c>
    </row>
    <row r="119" spans="1:38" x14ac:dyDescent="0.2">
      <c r="A119" s="2">
        <v>104</v>
      </c>
      <c r="B119" s="2">
        <v>106</v>
      </c>
      <c r="C119" s="2">
        <v>306</v>
      </c>
      <c r="D119" t="s">
        <v>116</v>
      </c>
      <c r="E119" t="s">
        <v>554</v>
      </c>
      <c r="G119" s="2">
        <v>12330</v>
      </c>
      <c r="H119" s="2">
        <v>134.19999999999999</v>
      </c>
      <c r="I119" s="15">
        <v>4.7949999999999999</v>
      </c>
      <c r="J119" s="15">
        <v>2.6760000000000002</v>
      </c>
      <c r="O119" s="8">
        <v>179.57813400000001</v>
      </c>
      <c r="P119" s="8">
        <v>176.32757100000001</v>
      </c>
      <c r="Q119" s="8">
        <v>180.422067</v>
      </c>
      <c r="R119" s="8">
        <v>182.77253899999999</v>
      </c>
      <c r="S119" s="8">
        <v>173.460284</v>
      </c>
      <c r="T119" s="8">
        <v>168.02794800000001</v>
      </c>
      <c r="U119" s="8">
        <v>166.56506400000001</v>
      </c>
      <c r="V119" s="8">
        <v>168.72059899999999</v>
      </c>
      <c r="W119" s="8">
        <v>184.939336</v>
      </c>
      <c r="X119" s="8">
        <v>182.33801700000001</v>
      </c>
      <c r="Y119" s="8">
        <v>199.25774799999999</v>
      </c>
      <c r="Z119" s="8">
        <v>185.48449400000001</v>
      </c>
      <c r="AA119" s="8">
        <v>191.64776800000001</v>
      </c>
      <c r="AC119" s="2">
        <v>146.4</v>
      </c>
      <c r="AD119" s="2">
        <v>113.8</v>
      </c>
      <c r="AE119" s="2">
        <v>142.69999999999999</v>
      </c>
      <c r="AF119" s="2">
        <v>134.19999999999999</v>
      </c>
      <c r="AG119" s="14" t="s">
        <v>773</v>
      </c>
      <c r="AH119" s="2">
        <v>122.4</v>
      </c>
      <c r="AI119" s="2" t="s">
        <v>773</v>
      </c>
      <c r="AJ119" s="2" t="s">
        <v>773</v>
      </c>
      <c r="AK119" s="19">
        <v>0.15625</v>
      </c>
      <c r="AL119" s="8">
        <f>(3+(45/60))*AH119</f>
        <v>459</v>
      </c>
    </row>
    <row r="120" spans="1:38" x14ac:dyDescent="0.2">
      <c r="A120" s="2">
        <v>105</v>
      </c>
      <c r="B120" s="2">
        <v>109</v>
      </c>
      <c r="C120" s="2">
        <v>67</v>
      </c>
      <c r="D120" t="s">
        <v>139</v>
      </c>
      <c r="E120" t="s">
        <v>6</v>
      </c>
      <c r="G120" s="2">
        <v>19000</v>
      </c>
      <c r="H120" s="2">
        <v>485.4</v>
      </c>
      <c r="I120" s="15">
        <v>17.329999999999998</v>
      </c>
      <c r="J120" s="15">
        <v>10.87</v>
      </c>
      <c r="O120" s="8">
        <v>789.85226799999998</v>
      </c>
      <c r="P120" s="8">
        <v>708.35487499999999</v>
      </c>
      <c r="Q120" s="8">
        <v>832.17317600000001</v>
      </c>
      <c r="R120" s="8">
        <v>772.499686</v>
      </c>
      <c r="S120" s="8">
        <v>697.56350599999996</v>
      </c>
      <c r="T120" s="8">
        <v>574.00708799999995</v>
      </c>
      <c r="U120" s="8">
        <v>603.34695599999998</v>
      </c>
      <c r="V120" s="8">
        <v>646.34732599999995</v>
      </c>
      <c r="W120" s="8">
        <v>736.28967499999999</v>
      </c>
      <c r="X120" s="8">
        <v>665.856131</v>
      </c>
      <c r="Y120" s="8">
        <v>723.02603799999997</v>
      </c>
      <c r="Z120" s="8">
        <v>609.25093900000002</v>
      </c>
      <c r="AA120" s="8">
        <v>571.95993999999996</v>
      </c>
      <c r="AC120" s="2">
        <v>572.79999999999995</v>
      </c>
      <c r="AD120" s="2">
        <v>414.6</v>
      </c>
      <c r="AE120" s="2">
        <v>485.4</v>
      </c>
      <c r="AF120" s="2">
        <v>390.1</v>
      </c>
      <c r="AG120" s="14" t="s">
        <v>773</v>
      </c>
      <c r="AH120" s="2">
        <v>392.4</v>
      </c>
      <c r="AI120" s="14" t="s">
        <v>773</v>
      </c>
      <c r="AJ120" s="14" t="s">
        <v>773</v>
      </c>
      <c r="AK120" s="19">
        <v>0.43888888888888888</v>
      </c>
      <c r="AL120" s="8">
        <f>(10+(32/60))*AH120</f>
        <v>4133.28</v>
      </c>
    </row>
    <row r="121" spans="1:38" x14ac:dyDescent="0.2">
      <c r="A121" s="2">
        <v>106</v>
      </c>
      <c r="B121" s="2">
        <v>95</v>
      </c>
      <c r="C121" s="2">
        <v>115</v>
      </c>
      <c r="D121" t="s">
        <v>131</v>
      </c>
      <c r="E121" t="s">
        <v>6</v>
      </c>
      <c r="F121" t="s">
        <v>1319</v>
      </c>
      <c r="G121" s="2">
        <v>64000</v>
      </c>
      <c r="H121" s="2">
        <v>217</v>
      </c>
      <c r="I121" s="15">
        <v>7.7519999999999998</v>
      </c>
      <c r="J121" s="15">
        <v>5.9859999999999998</v>
      </c>
      <c r="O121" s="8">
        <v>215.03395399999999</v>
      </c>
      <c r="P121" s="8">
        <v>178.64958899999999</v>
      </c>
      <c r="Q121" s="8">
        <v>225.96984399999999</v>
      </c>
      <c r="R121" s="8">
        <v>200.068085</v>
      </c>
      <c r="S121" s="8">
        <v>186.96009100000001</v>
      </c>
      <c r="T121" s="8">
        <v>189.323296</v>
      </c>
      <c r="U121" s="8">
        <v>226.45612499999999</v>
      </c>
      <c r="V121" s="8">
        <v>271.475143</v>
      </c>
      <c r="W121" s="8">
        <v>276.86228799999998</v>
      </c>
      <c r="X121" s="8">
        <v>242.73708099999999</v>
      </c>
      <c r="Y121" s="8">
        <v>253.793161</v>
      </c>
      <c r="Z121" s="8">
        <v>200.45792299999999</v>
      </c>
      <c r="AA121" s="8">
        <v>203.828779</v>
      </c>
      <c r="AC121" s="2">
        <v>187.5</v>
      </c>
      <c r="AD121" s="2">
        <v>148.19999999999999</v>
      </c>
      <c r="AE121" s="2">
        <v>196.3</v>
      </c>
      <c r="AF121" s="2">
        <v>217</v>
      </c>
      <c r="AG121" s="14" t="s">
        <v>773</v>
      </c>
      <c r="AH121" s="2">
        <v>229.6</v>
      </c>
      <c r="AI121" s="2" t="s">
        <v>773</v>
      </c>
      <c r="AJ121" s="2" t="s">
        <v>773</v>
      </c>
      <c r="AK121" s="19">
        <v>0.31388888888888888</v>
      </c>
      <c r="AL121" s="8">
        <f>(7+(32/60))*AH121</f>
        <v>1729.6533333333332</v>
      </c>
    </row>
    <row r="122" spans="1:38" x14ac:dyDescent="0.2">
      <c r="A122" s="2">
        <v>107</v>
      </c>
      <c r="B122" s="2">
        <v>96</v>
      </c>
      <c r="C122" s="2">
        <v>395</v>
      </c>
      <c r="D122" t="s">
        <v>118</v>
      </c>
      <c r="E122" t="s">
        <v>688</v>
      </c>
      <c r="F122" t="s">
        <v>1280</v>
      </c>
      <c r="G122" s="2">
        <v>4070</v>
      </c>
      <c r="H122" s="2">
        <v>70.19</v>
      </c>
      <c r="I122" s="15">
        <v>2.5070000000000001</v>
      </c>
      <c r="J122" s="15">
        <v>2.0550000000000002</v>
      </c>
      <c r="AC122" s="2">
        <v>65.47</v>
      </c>
      <c r="AD122" s="2">
        <v>116.3</v>
      </c>
      <c r="AE122" s="2">
        <v>77.16</v>
      </c>
      <c r="AF122" s="2">
        <v>70.19</v>
      </c>
      <c r="AG122" s="14" t="s">
        <v>773</v>
      </c>
      <c r="AH122" s="2">
        <v>85.37</v>
      </c>
      <c r="AI122" s="2" t="s">
        <v>773</v>
      </c>
      <c r="AJ122" s="2" t="s">
        <v>773</v>
      </c>
      <c r="AK122" s="19">
        <v>0.20972222222222223</v>
      </c>
      <c r="AL122" s="8">
        <f>(5+(2/60))*AH122</f>
        <v>429.69566666666668</v>
      </c>
    </row>
    <row r="123" spans="1:38" x14ac:dyDescent="0.2">
      <c r="A123" s="2">
        <v>108</v>
      </c>
      <c r="B123" s="2">
        <v>114</v>
      </c>
      <c r="C123" s="2">
        <v>216</v>
      </c>
      <c r="D123" t="s">
        <v>152</v>
      </c>
      <c r="E123" t="s">
        <v>563</v>
      </c>
      <c r="G123" s="2">
        <v>197580</v>
      </c>
      <c r="H123" s="2">
        <v>117</v>
      </c>
      <c r="I123" s="15">
        <v>4.1790000000000003</v>
      </c>
      <c r="J123" s="15">
        <v>1.93</v>
      </c>
      <c r="O123" s="8">
        <v>97.972807000000003</v>
      </c>
      <c r="P123" s="8">
        <v>93.468960999999993</v>
      </c>
      <c r="Q123" s="8">
        <v>90.149010000000004</v>
      </c>
      <c r="R123" s="8">
        <v>105.386562</v>
      </c>
      <c r="S123" s="8">
        <v>112.572558</v>
      </c>
      <c r="T123" s="8">
        <v>118.011607</v>
      </c>
      <c r="U123" s="8">
        <v>121.001616</v>
      </c>
      <c r="V123" s="8">
        <v>130.96588800000001</v>
      </c>
      <c r="W123" s="8">
        <v>141.65188599999999</v>
      </c>
      <c r="X123" s="8">
        <v>140.364499</v>
      </c>
      <c r="Y123" s="8">
        <v>152.82569799999999</v>
      </c>
      <c r="Z123" s="8">
        <v>150.339483</v>
      </c>
      <c r="AA123" s="8">
        <v>186.78333799999999</v>
      </c>
      <c r="AC123" s="2">
        <v>133.5</v>
      </c>
      <c r="AD123" s="2">
        <v>83.45</v>
      </c>
      <c r="AE123" s="2">
        <v>107.9</v>
      </c>
      <c r="AF123" s="2">
        <v>117</v>
      </c>
      <c r="AG123" s="14" t="s">
        <v>773</v>
      </c>
      <c r="AH123" s="2">
        <v>116.7</v>
      </c>
      <c r="AI123" s="14" t="s">
        <v>773</v>
      </c>
      <c r="AJ123" s="14" t="s">
        <v>773</v>
      </c>
      <c r="AK123" s="19">
        <v>0.74444444444444446</v>
      </c>
      <c r="AL123" s="8">
        <f>(17+(52/60))*AH123</f>
        <v>2085.04</v>
      </c>
    </row>
    <row r="124" spans="1:38" x14ac:dyDescent="0.2">
      <c r="A124" s="2">
        <v>109</v>
      </c>
      <c r="B124" s="2">
        <v>87</v>
      </c>
      <c r="C124" s="2">
        <v>322</v>
      </c>
      <c r="D124" t="s">
        <v>111</v>
      </c>
      <c r="E124" t="s">
        <v>683</v>
      </c>
      <c r="G124" s="2">
        <v>17970</v>
      </c>
      <c r="H124" s="2">
        <v>116.3</v>
      </c>
      <c r="I124" s="15">
        <v>4.1550000000000002</v>
      </c>
      <c r="J124" s="15">
        <v>3.4620000000000002</v>
      </c>
      <c r="O124" s="8">
        <v>137.09609</v>
      </c>
      <c r="P124" s="8">
        <v>113.56272800000001</v>
      </c>
      <c r="Q124" s="8">
        <v>137.163149</v>
      </c>
      <c r="R124" s="8">
        <v>135.85758200000001</v>
      </c>
      <c r="S124" s="8">
        <v>142.45541499999999</v>
      </c>
      <c r="T124" s="8">
        <v>136.10682299999999</v>
      </c>
      <c r="U124" s="8">
        <v>124.612246</v>
      </c>
      <c r="V124" s="8">
        <v>129.278693</v>
      </c>
      <c r="W124" s="8">
        <v>141.47256400000001</v>
      </c>
      <c r="X124" s="8">
        <v>141.13672199999999</v>
      </c>
      <c r="Y124" s="8">
        <v>162.19826599999999</v>
      </c>
      <c r="Z124" s="8">
        <v>125.57170000000001</v>
      </c>
      <c r="AA124" s="8">
        <v>106.977389</v>
      </c>
      <c r="AC124" s="2">
        <v>90.49</v>
      </c>
      <c r="AD124" s="2">
        <v>85.63</v>
      </c>
      <c r="AE124" s="2">
        <v>115.1</v>
      </c>
      <c r="AF124" s="2">
        <v>116.3</v>
      </c>
      <c r="AG124" s="14" t="s">
        <v>773</v>
      </c>
      <c r="AH124" s="2">
        <v>99.1</v>
      </c>
      <c r="AI124" s="2" t="s">
        <v>773</v>
      </c>
      <c r="AJ124" s="2" t="s">
        <v>773</v>
      </c>
      <c r="AK124" s="19">
        <v>0.12986111111111112</v>
      </c>
      <c r="AL124" s="8">
        <f>(3+(7/60))*AH124</f>
        <v>308.86166666666668</v>
      </c>
    </row>
    <row r="125" spans="1:38" x14ac:dyDescent="0.2">
      <c r="A125" s="2">
        <v>110</v>
      </c>
      <c r="B125" s="2">
        <v>124</v>
      </c>
      <c r="C125" s="2">
        <v>560</v>
      </c>
      <c r="D125" t="s">
        <v>260</v>
      </c>
      <c r="H125" s="2">
        <v>32.54</v>
      </c>
      <c r="I125" s="15">
        <v>1.1619999999999999</v>
      </c>
      <c r="J125" s="15">
        <v>0.63816600000000001</v>
      </c>
      <c r="AC125" s="2">
        <v>33.15</v>
      </c>
      <c r="AD125" s="2">
        <v>33.5</v>
      </c>
      <c r="AE125" s="2">
        <v>30.7</v>
      </c>
      <c r="AF125" s="2">
        <v>32.54</v>
      </c>
      <c r="AG125" s="14" t="s">
        <v>773</v>
      </c>
      <c r="AH125" s="14" t="s">
        <v>773</v>
      </c>
      <c r="AI125" s="14" t="s">
        <v>773</v>
      </c>
      <c r="AJ125" s="14" t="s">
        <v>773</v>
      </c>
      <c r="AK125" s="19">
        <v>0.77708333333333324</v>
      </c>
      <c r="AL125" s="8">
        <f>(18+(39/60))*AF125</f>
        <v>606.87099999999998</v>
      </c>
    </row>
    <row r="126" spans="1:38" x14ac:dyDescent="0.2">
      <c r="A126" s="2">
        <v>111</v>
      </c>
      <c r="B126" s="2">
        <v>101</v>
      </c>
      <c r="C126" s="2">
        <v>384</v>
      </c>
      <c r="D126" t="s">
        <v>240</v>
      </c>
      <c r="E126" t="s">
        <v>1252</v>
      </c>
      <c r="F126" t="s">
        <v>1316</v>
      </c>
      <c r="G126" s="2">
        <v>4700</v>
      </c>
      <c r="H126" s="2">
        <v>39.369999999999997</v>
      </c>
      <c r="I126" s="15">
        <v>1.4059999999999999</v>
      </c>
      <c r="J126" s="15">
        <v>0.99961</v>
      </c>
      <c r="AC126" s="2">
        <v>37.130000000000003</v>
      </c>
      <c r="AD126" s="2">
        <v>40.99</v>
      </c>
      <c r="AE126" s="2">
        <v>41.99</v>
      </c>
      <c r="AF126" s="57">
        <v>39.369999999999997</v>
      </c>
      <c r="AG126" s="57" t="s">
        <v>773</v>
      </c>
      <c r="AH126" s="57">
        <v>39.659999999999997</v>
      </c>
      <c r="AI126" s="57" t="s">
        <v>773</v>
      </c>
      <c r="AJ126" s="57" t="s">
        <v>773</v>
      </c>
      <c r="AK126" s="19">
        <v>0.59027777777777779</v>
      </c>
      <c r="AL126" s="8">
        <f>(14+(10/60))*AH126</f>
        <v>561.84999999999991</v>
      </c>
    </row>
    <row r="127" spans="1:38" x14ac:dyDescent="0.2">
      <c r="A127" s="2">
        <v>112</v>
      </c>
      <c r="B127" s="2">
        <v>100</v>
      </c>
      <c r="C127" s="2">
        <v>170</v>
      </c>
      <c r="D127" t="s">
        <v>112</v>
      </c>
      <c r="E127" t="s">
        <v>684</v>
      </c>
      <c r="F127" t="s">
        <v>1324</v>
      </c>
      <c r="G127" s="2">
        <v>7500</v>
      </c>
      <c r="H127" s="2">
        <v>202.8</v>
      </c>
      <c r="I127" s="15">
        <v>7.2430000000000003</v>
      </c>
      <c r="J127" s="15">
        <v>4.133</v>
      </c>
      <c r="O127" s="8">
        <v>365.70567599999998</v>
      </c>
      <c r="P127" s="8">
        <v>363.51007600000003</v>
      </c>
      <c r="Q127" s="8">
        <v>368.283906</v>
      </c>
      <c r="R127" s="8">
        <v>366.05664899999999</v>
      </c>
      <c r="S127" s="8">
        <v>346.96698199999997</v>
      </c>
      <c r="T127" s="8">
        <v>356.48306500000001</v>
      </c>
      <c r="U127" s="8">
        <v>383.94909699999999</v>
      </c>
      <c r="V127" s="8">
        <v>385.124955</v>
      </c>
      <c r="W127" s="8">
        <v>381.51028500000001</v>
      </c>
      <c r="X127" s="8">
        <v>418.477507</v>
      </c>
      <c r="Y127" s="8">
        <v>416.96907800000002</v>
      </c>
      <c r="Z127" s="8">
        <v>405.37161700000001</v>
      </c>
      <c r="AA127" s="8">
        <v>416.61540200000002</v>
      </c>
      <c r="AC127" s="2">
        <v>145.9</v>
      </c>
      <c r="AD127" s="2">
        <v>183</v>
      </c>
      <c r="AE127" s="2">
        <v>177.5</v>
      </c>
      <c r="AF127" s="2">
        <v>202.8</v>
      </c>
      <c r="AG127" s="14" t="s">
        <v>773</v>
      </c>
      <c r="AH127" s="2">
        <v>207.7</v>
      </c>
      <c r="AI127" s="2" t="s">
        <v>773</v>
      </c>
      <c r="AJ127" s="2" t="s">
        <v>773</v>
      </c>
      <c r="AK127" s="19">
        <v>0.37083333333333335</v>
      </c>
      <c r="AL127" s="8">
        <f>(8+(54/60))*AH127</f>
        <v>1848.53</v>
      </c>
    </row>
    <row r="128" spans="1:38" x14ac:dyDescent="0.2">
      <c r="A128" s="2">
        <v>113</v>
      </c>
      <c r="B128" s="2">
        <v>108</v>
      </c>
      <c r="C128" s="2">
        <v>119</v>
      </c>
      <c r="D128" t="s">
        <v>142</v>
      </c>
      <c r="E128" t="s">
        <v>546</v>
      </c>
      <c r="F128" t="s">
        <v>1328</v>
      </c>
      <c r="G128" s="2">
        <v>153870</v>
      </c>
      <c r="H128" s="2">
        <v>266.2</v>
      </c>
      <c r="I128" s="15">
        <v>9.5079999999999991</v>
      </c>
      <c r="J128" s="15">
        <v>7.4660000000000002</v>
      </c>
      <c r="O128" s="8">
        <v>440.25385999999997</v>
      </c>
      <c r="P128" s="8">
        <v>417.26810999999998</v>
      </c>
      <c r="Q128" s="8">
        <v>440.62811599999998</v>
      </c>
      <c r="R128" s="8">
        <v>451.49653599999999</v>
      </c>
      <c r="S128" s="8">
        <v>435.34655800000002</v>
      </c>
      <c r="T128" s="8">
        <v>390.43083799999999</v>
      </c>
      <c r="U128" s="8">
        <v>419.933379</v>
      </c>
      <c r="V128" s="8">
        <v>409.91661800000003</v>
      </c>
      <c r="W128" s="8">
        <v>436.15326700000003</v>
      </c>
      <c r="X128" s="8">
        <v>417.46928300000002</v>
      </c>
      <c r="Y128" s="8">
        <v>460.90646800000002</v>
      </c>
      <c r="Z128" s="8">
        <v>393.70883600000002</v>
      </c>
      <c r="AA128" s="8">
        <v>366.26575200000002</v>
      </c>
      <c r="AC128" s="2">
        <v>291.10000000000002</v>
      </c>
      <c r="AD128" s="2">
        <v>237.6</v>
      </c>
      <c r="AE128" s="2">
        <v>266.2</v>
      </c>
      <c r="AF128" s="2">
        <v>239.7</v>
      </c>
      <c r="AG128" s="14" t="s">
        <v>773</v>
      </c>
      <c r="AH128" s="2">
        <v>241.4</v>
      </c>
      <c r="AI128" s="14" t="s">
        <v>773</v>
      </c>
      <c r="AJ128" s="14" t="s">
        <v>773</v>
      </c>
      <c r="AK128" s="19">
        <v>0.15833333333333333</v>
      </c>
      <c r="AL128" s="8">
        <f>(3+(48/60))*AH128</f>
        <v>917.31999999999994</v>
      </c>
    </row>
    <row r="129" spans="1:45" x14ac:dyDescent="0.2">
      <c r="A129" s="2">
        <v>114</v>
      </c>
      <c r="B129" s="2">
        <v>119</v>
      </c>
      <c r="C129" s="2">
        <v>520</v>
      </c>
      <c r="D129" t="s">
        <v>177</v>
      </c>
      <c r="F129" t="s">
        <v>1264</v>
      </c>
      <c r="H129" s="2">
        <v>54.79</v>
      </c>
      <c r="I129" s="15">
        <v>1.9570000000000001</v>
      </c>
      <c r="J129" s="15">
        <v>1.526</v>
      </c>
      <c r="AC129" s="2">
        <v>52.09</v>
      </c>
      <c r="AD129" s="2">
        <v>53.99</v>
      </c>
      <c r="AE129" s="2">
        <v>57.9</v>
      </c>
      <c r="AF129" s="2">
        <v>54.79</v>
      </c>
      <c r="AG129" s="14" t="s">
        <v>773</v>
      </c>
      <c r="AH129" s="2">
        <f>56.84</f>
        <v>56.84</v>
      </c>
      <c r="AI129" s="14" t="s">
        <v>773</v>
      </c>
      <c r="AJ129" s="14" t="s">
        <v>773</v>
      </c>
      <c r="AK129" s="19">
        <v>0.21666666666666667</v>
      </c>
      <c r="AL129" s="8">
        <f>(5+(12/60))*AH129</f>
        <v>295.56800000000004</v>
      </c>
    </row>
    <row r="130" spans="1:45" x14ac:dyDescent="0.2">
      <c r="A130" s="2">
        <v>115</v>
      </c>
      <c r="B130" s="2">
        <v>128</v>
      </c>
      <c r="C130" s="2">
        <v>540</v>
      </c>
      <c r="D130" t="s">
        <v>155</v>
      </c>
      <c r="E130" t="s">
        <v>559</v>
      </c>
      <c r="G130" s="2">
        <v>25590</v>
      </c>
      <c r="H130" s="2">
        <v>59.09</v>
      </c>
      <c r="I130" s="15">
        <v>2.11</v>
      </c>
      <c r="J130" s="15">
        <v>1.6930000000000001</v>
      </c>
      <c r="AC130" s="2">
        <v>67.62</v>
      </c>
      <c r="AD130" s="2">
        <v>60.24</v>
      </c>
      <c r="AE130" s="2">
        <v>60.82</v>
      </c>
      <c r="AF130" s="2">
        <v>59.09</v>
      </c>
      <c r="AG130" s="14" t="s">
        <v>773</v>
      </c>
      <c r="AH130" s="2">
        <v>63.04</v>
      </c>
      <c r="AI130" s="14" t="s">
        <v>773</v>
      </c>
      <c r="AJ130" s="14" t="s">
        <v>773</v>
      </c>
      <c r="AK130" s="19">
        <v>0.31527777777777777</v>
      </c>
      <c r="AL130" s="8">
        <f>(7+(34/60))*AH130</f>
        <v>477.00266666666664</v>
      </c>
    </row>
    <row r="131" spans="1:45" s="3" customFormat="1" x14ac:dyDescent="0.2">
      <c r="A131" s="4">
        <v>116</v>
      </c>
      <c r="B131" s="4">
        <v>158</v>
      </c>
      <c r="C131" s="4">
        <v>461</v>
      </c>
      <c r="D131" s="3" t="s">
        <v>133</v>
      </c>
      <c r="E131" s="3" t="s">
        <v>6</v>
      </c>
      <c r="F131" s="3" t="s">
        <v>1271</v>
      </c>
      <c r="G131" s="4">
        <v>300</v>
      </c>
      <c r="H131" s="4">
        <v>108.4</v>
      </c>
      <c r="I131" s="16">
        <v>3.8719999999999999</v>
      </c>
      <c r="J131" s="16">
        <v>3.4780000000000002</v>
      </c>
      <c r="K131" s="4">
        <v>72.209999999999994</v>
      </c>
      <c r="L131" s="9"/>
      <c r="M131" s="9"/>
      <c r="N131" s="9"/>
      <c r="O131" s="58">
        <v>148.69</v>
      </c>
      <c r="P131" s="58">
        <v>158.51</v>
      </c>
      <c r="Q131" s="58">
        <v>153.79</v>
      </c>
      <c r="R131" s="58">
        <v>141.47999999999999</v>
      </c>
      <c r="S131" s="58">
        <v>135.12</v>
      </c>
      <c r="T131" s="58">
        <v>146.35</v>
      </c>
      <c r="U131" s="58">
        <v>149.66</v>
      </c>
      <c r="V131" s="58">
        <v>148.88</v>
      </c>
      <c r="W131" s="58">
        <v>162.41</v>
      </c>
      <c r="X131" s="58">
        <v>155.28</v>
      </c>
      <c r="Y131" s="58">
        <v>168.44</v>
      </c>
      <c r="Z131" s="58">
        <v>158.62</v>
      </c>
      <c r="AA131" s="58">
        <v>155.25</v>
      </c>
      <c r="AB131" s="9"/>
      <c r="AC131" s="4">
        <v>169.4</v>
      </c>
      <c r="AD131" s="4">
        <v>112.9</v>
      </c>
      <c r="AE131" s="4">
        <v>108.4</v>
      </c>
      <c r="AF131" s="4">
        <v>118.1</v>
      </c>
      <c r="AG131" s="46" t="s">
        <v>773</v>
      </c>
      <c r="AH131" s="4">
        <v>109.5</v>
      </c>
      <c r="AI131" s="46" t="s">
        <v>773</v>
      </c>
      <c r="AJ131" s="46" t="s">
        <v>773</v>
      </c>
      <c r="AK131" s="23">
        <v>4.9999999999999996E-2</v>
      </c>
      <c r="AL131" s="47">
        <f>(1+(12/60))*AH131</f>
        <v>131.4</v>
      </c>
    </row>
    <row r="132" spans="1:45" x14ac:dyDescent="0.2">
      <c r="A132" s="2">
        <v>117</v>
      </c>
      <c r="B132" s="2">
        <v>110</v>
      </c>
      <c r="C132" s="2">
        <v>429</v>
      </c>
      <c r="D132" t="s">
        <v>269</v>
      </c>
      <c r="F132" t="s">
        <v>1237</v>
      </c>
      <c r="H132" s="2">
        <v>44.14</v>
      </c>
      <c r="I132" s="15">
        <v>1.5760000000000001</v>
      </c>
      <c r="J132" s="15">
        <v>1.4119999999999999</v>
      </c>
      <c r="AC132" s="2">
        <v>135.19999999999999</v>
      </c>
      <c r="AD132" s="2">
        <v>73.650000000000006</v>
      </c>
      <c r="AE132" s="2">
        <v>47.37</v>
      </c>
      <c r="AF132" s="2">
        <v>44.14</v>
      </c>
      <c r="AG132" s="14" t="s">
        <v>773</v>
      </c>
      <c r="AH132" s="14" t="s">
        <v>773</v>
      </c>
      <c r="AI132" s="14" t="s">
        <v>773</v>
      </c>
      <c r="AJ132" s="14" t="s">
        <v>773</v>
      </c>
      <c r="AK132" s="19">
        <v>4.5138888888888888E-2</v>
      </c>
      <c r="AL132" s="8">
        <f>(1+(12/60))*AF132</f>
        <v>52.967999999999996</v>
      </c>
    </row>
    <row r="133" spans="1:45" x14ac:dyDescent="0.2">
      <c r="A133" s="2">
        <v>118</v>
      </c>
      <c r="B133" s="2">
        <v>112</v>
      </c>
      <c r="C133" s="2">
        <v>501</v>
      </c>
      <c r="D133" t="s">
        <v>158</v>
      </c>
      <c r="E133" t="s">
        <v>560</v>
      </c>
      <c r="F133" t="s">
        <v>1280</v>
      </c>
      <c r="G133" s="2">
        <v>2200</v>
      </c>
      <c r="H133" s="2">
        <v>60.04</v>
      </c>
      <c r="I133" s="15">
        <v>2.1440000000000001</v>
      </c>
      <c r="J133" s="15">
        <v>1.792</v>
      </c>
      <c r="AC133" s="2">
        <v>51.77</v>
      </c>
      <c r="AD133" s="2">
        <v>74.849999999999994</v>
      </c>
      <c r="AE133" s="2">
        <v>57.59</v>
      </c>
      <c r="AF133" s="2">
        <v>60.04</v>
      </c>
      <c r="AG133" s="14" t="s">
        <v>773</v>
      </c>
      <c r="AH133" s="2">
        <v>55.94</v>
      </c>
      <c r="AI133" s="14" t="s">
        <v>773</v>
      </c>
      <c r="AJ133" s="14" t="s">
        <v>773</v>
      </c>
      <c r="AK133" s="19">
        <v>0.19305555555555554</v>
      </c>
      <c r="AL133" s="8">
        <f>(4+(38/60))*AH133</f>
        <v>259.18866666666662</v>
      </c>
    </row>
    <row r="134" spans="1:45" x14ac:dyDescent="0.2">
      <c r="A134" s="4">
        <v>119</v>
      </c>
      <c r="B134" s="2">
        <v>99</v>
      </c>
      <c r="C134" s="4">
        <v>159</v>
      </c>
      <c r="D134" s="3" t="s">
        <v>103</v>
      </c>
      <c r="E134" t="s">
        <v>540</v>
      </c>
      <c r="F134" t="s">
        <v>1284</v>
      </c>
      <c r="G134" s="2">
        <v>0</v>
      </c>
      <c r="H134" s="2">
        <v>246.9</v>
      </c>
      <c r="I134" s="15">
        <v>7.6470000000000002</v>
      </c>
      <c r="J134" s="15">
        <v>5.8239999999999998</v>
      </c>
      <c r="K134" s="2">
        <v>102.9</v>
      </c>
      <c r="M134" s="1" t="s">
        <v>11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>
        <v>165.8</v>
      </c>
      <c r="AD134" s="2">
        <v>193.4</v>
      </c>
      <c r="AE134" s="2">
        <v>246.5</v>
      </c>
      <c r="AF134" s="2">
        <v>205.1</v>
      </c>
      <c r="AG134" s="2" t="s">
        <v>773</v>
      </c>
      <c r="AH134" s="2">
        <v>198.8</v>
      </c>
      <c r="AI134" s="2" t="s">
        <v>773</v>
      </c>
      <c r="AJ134" s="2" t="s">
        <v>773</v>
      </c>
      <c r="AK134" s="19">
        <v>0.17847222222222223</v>
      </c>
      <c r="AL134" s="8">
        <f>(4+(17/60))*AH134</f>
        <v>851.52666666666664</v>
      </c>
    </row>
    <row r="135" spans="1:45" x14ac:dyDescent="0.2">
      <c r="A135" s="2">
        <v>120</v>
      </c>
      <c r="B135" s="2">
        <v>90</v>
      </c>
      <c r="C135" s="2">
        <v>324</v>
      </c>
      <c r="D135" t="s">
        <v>93</v>
      </c>
      <c r="E135" t="s">
        <v>6</v>
      </c>
      <c r="F135" t="s">
        <v>1237</v>
      </c>
      <c r="H135" s="2">
        <v>146.80000000000001</v>
      </c>
      <c r="I135" s="15">
        <v>5.2430000000000003</v>
      </c>
      <c r="J135" s="15">
        <v>3.7080000000000002</v>
      </c>
      <c r="M135" s="1" t="s">
        <v>16</v>
      </c>
      <c r="O135" s="58">
        <v>202</v>
      </c>
      <c r="P135" s="58">
        <v>194</v>
      </c>
      <c r="Q135" s="58">
        <v>203</v>
      </c>
      <c r="R135" s="58">
        <v>201</v>
      </c>
      <c r="S135" s="58">
        <v>193</v>
      </c>
      <c r="T135" s="58">
        <v>202</v>
      </c>
      <c r="U135" s="58">
        <v>211</v>
      </c>
      <c r="V135" s="58">
        <v>224</v>
      </c>
      <c r="W135" s="58">
        <v>228</v>
      </c>
      <c r="X135" s="58">
        <v>228</v>
      </c>
      <c r="Y135" s="58">
        <v>250</v>
      </c>
      <c r="Z135" s="58">
        <v>218</v>
      </c>
      <c r="AA135" s="58">
        <v>237</v>
      </c>
      <c r="AC135" s="2">
        <v>121.7</v>
      </c>
      <c r="AD135" s="2">
        <v>124.6</v>
      </c>
      <c r="AE135" s="2">
        <v>136.9</v>
      </c>
      <c r="AF135" s="2">
        <v>146.80000000000001</v>
      </c>
      <c r="AG135" s="2" t="s">
        <v>773</v>
      </c>
      <c r="AH135" s="2">
        <v>139.80000000000001</v>
      </c>
      <c r="AI135" s="2" t="s">
        <v>773</v>
      </c>
      <c r="AJ135" s="2" t="s">
        <v>773</v>
      </c>
      <c r="AK135" s="19">
        <v>0.14027777777777778</v>
      </c>
      <c r="AL135" s="60">
        <f>(3+(22/60))*AH135</f>
        <v>470.66</v>
      </c>
    </row>
    <row r="136" spans="1:45" x14ac:dyDescent="0.2">
      <c r="A136" s="4">
        <v>121</v>
      </c>
      <c r="B136" s="2">
        <v>115</v>
      </c>
      <c r="C136" s="4">
        <v>215</v>
      </c>
      <c r="D136" s="3" t="s">
        <v>113</v>
      </c>
      <c r="E136" t="s">
        <v>686</v>
      </c>
      <c r="G136" s="2">
        <v>100</v>
      </c>
      <c r="H136" s="2">
        <v>204.4</v>
      </c>
      <c r="I136" s="15">
        <v>6.41</v>
      </c>
      <c r="J136" s="15">
        <v>5.6589999999999998</v>
      </c>
      <c r="K136" s="2">
        <v>117.3</v>
      </c>
      <c r="M136" s="1" t="s">
        <v>744</v>
      </c>
      <c r="O136" s="8">
        <v>243.47607600000001</v>
      </c>
      <c r="P136" s="8">
        <v>265.57869599999998</v>
      </c>
      <c r="Q136" s="8">
        <v>237.51977400000001</v>
      </c>
      <c r="R136" s="8">
        <v>241.681309</v>
      </c>
      <c r="S136" s="8">
        <v>253.351463</v>
      </c>
      <c r="T136" s="8">
        <v>276.82700199999999</v>
      </c>
      <c r="U136" s="8">
        <v>312.37800299999998</v>
      </c>
      <c r="V136" s="8">
        <v>295.75980099999998</v>
      </c>
      <c r="W136" s="8">
        <v>335.20817899999997</v>
      </c>
      <c r="X136" s="8">
        <v>336.62838699999998</v>
      </c>
      <c r="Y136" s="8">
        <v>368.16085600000002</v>
      </c>
      <c r="Z136" s="8">
        <v>353.72876300000001</v>
      </c>
      <c r="AA136" s="8">
        <v>375.987437</v>
      </c>
      <c r="AC136" s="4">
        <v>144.6</v>
      </c>
      <c r="AD136" s="2">
        <v>160.1</v>
      </c>
      <c r="AE136" s="2">
        <v>156.5</v>
      </c>
      <c r="AF136" s="2">
        <v>185.1</v>
      </c>
      <c r="AG136" s="14" t="s">
        <v>773</v>
      </c>
      <c r="AH136" s="2">
        <v>180.2</v>
      </c>
      <c r="AI136" s="2" t="s">
        <v>773</v>
      </c>
      <c r="AJ136" s="2" t="s">
        <v>773</v>
      </c>
      <c r="AK136" s="19">
        <v>0.10694444444444444</v>
      </c>
      <c r="AL136" s="8">
        <f>(2+(34/60))*AH136</f>
        <v>462.51333333333326</v>
      </c>
    </row>
    <row r="137" spans="1:45" x14ac:dyDescent="0.2">
      <c r="A137" s="2">
        <v>124</v>
      </c>
      <c r="B137" s="2">
        <v>107</v>
      </c>
      <c r="C137" s="2">
        <v>93</v>
      </c>
      <c r="D137" t="s">
        <v>95</v>
      </c>
      <c r="F137" t="s">
        <v>1237</v>
      </c>
      <c r="H137" s="2">
        <v>456</v>
      </c>
      <c r="I137" s="15">
        <v>16.28</v>
      </c>
      <c r="J137" s="15">
        <v>10.79</v>
      </c>
      <c r="M137" s="1" t="s">
        <v>16</v>
      </c>
      <c r="O137" s="47">
        <v>864.85199999999998</v>
      </c>
      <c r="P137" s="4">
        <v>792.96299999999997</v>
      </c>
      <c r="Q137" s="4">
        <v>823.87599999999998</v>
      </c>
      <c r="R137" s="4">
        <v>988.31500000000005</v>
      </c>
      <c r="S137" s="4">
        <v>810.36800000000005</v>
      </c>
      <c r="T137" s="4">
        <v>819.78399999999999</v>
      </c>
      <c r="U137" s="4">
        <v>913.49199999999996</v>
      </c>
      <c r="V137" s="4">
        <v>968.18700000000001</v>
      </c>
      <c r="W137" s="4">
        <v>1007.9930000000001</v>
      </c>
      <c r="X137" s="4">
        <v>972.86</v>
      </c>
      <c r="Y137" s="4">
        <v>978.24400000000003</v>
      </c>
      <c r="Z137" s="4">
        <v>967.20100000000002</v>
      </c>
      <c r="AA137" s="4">
        <v>997.51499999999999</v>
      </c>
      <c r="AC137" s="2">
        <v>460.7</v>
      </c>
      <c r="AD137" s="2">
        <v>425.6</v>
      </c>
      <c r="AE137" s="2">
        <v>493.8</v>
      </c>
      <c r="AF137" s="2">
        <v>456</v>
      </c>
      <c r="AG137" s="2" t="s">
        <v>773</v>
      </c>
      <c r="AH137" s="2">
        <v>522.79999999999995</v>
      </c>
      <c r="AI137" s="2" t="s">
        <v>773</v>
      </c>
      <c r="AJ137" s="2" t="s">
        <v>773</v>
      </c>
      <c r="AK137" s="19">
        <v>0.12361111111111112</v>
      </c>
      <c r="AL137" s="60">
        <f>(2+(58/60))*AH137</f>
        <v>1550.9733333333334</v>
      </c>
    </row>
    <row r="138" spans="1:45" x14ac:dyDescent="0.2">
      <c r="A138" s="2">
        <v>125</v>
      </c>
      <c r="B138" s="2">
        <v>125</v>
      </c>
      <c r="C138" s="2">
        <v>163</v>
      </c>
      <c r="D138" t="s">
        <v>322</v>
      </c>
      <c r="E138" t="s">
        <v>1234</v>
      </c>
      <c r="G138" s="2">
        <v>0</v>
      </c>
      <c r="J138" s="15"/>
      <c r="O138" s="47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C138" s="2">
        <v>100.1</v>
      </c>
      <c r="AD138" s="2" t="s">
        <v>773</v>
      </c>
      <c r="AE138" s="2" t="s">
        <v>773</v>
      </c>
      <c r="AF138" s="2" t="s">
        <v>773</v>
      </c>
      <c r="AG138" s="2" t="s">
        <v>773</v>
      </c>
      <c r="AH138" s="2" t="s">
        <v>773</v>
      </c>
      <c r="AI138" s="2" t="s">
        <v>773</v>
      </c>
      <c r="AJ138" s="2" t="s">
        <v>773</v>
      </c>
      <c r="AK138" s="19">
        <v>0.29236111111111113</v>
      </c>
      <c r="AL138" s="8">
        <f>(7+(1/60))*AC138</f>
        <v>702.36833333333334</v>
      </c>
    </row>
    <row r="139" spans="1:45" x14ac:dyDescent="0.2">
      <c r="A139" s="2">
        <v>126</v>
      </c>
      <c r="B139" s="2">
        <v>135</v>
      </c>
      <c r="C139" s="2">
        <v>644</v>
      </c>
      <c r="D139" t="s">
        <v>134</v>
      </c>
      <c r="E139" t="s">
        <v>538</v>
      </c>
      <c r="G139" s="2">
        <v>167630</v>
      </c>
      <c r="H139" s="2">
        <v>62.68</v>
      </c>
      <c r="I139" s="15">
        <v>2.238</v>
      </c>
      <c r="J139" s="15">
        <v>1.3520000000000001</v>
      </c>
      <c r="AC139" s="2">
        <v>77.08</v>
      </c>
      <c r="AD139" s="2">
        <v>71.3</v>
      </c>
      <c r="AE139" s="2">
        <v>62.68</v>
      </c>
      <c r="AF139" s="2">
        <v>62.25</v>
      </c>
      <c r="AG139" s="14" t="s">
        <v>773</v>
      </c>
      <c r="AH139" s="2">
        <v>57.19</v>
      </c>
      <c r="AI139" s="14" t="s">
        <v>773</v>
      </c>
      <c r="AJ139" s="14" t="s">
        <v>773</v>
      </c>
      <c r="AK139" s="19">
        <v>0.40208333333333335</v>
      </c>
      <c r="AL139" s="8">
        <f>(9+(39/60))*AH139</f>
        <v>551.88350000000003</v>
      </c>
    </row>
    <row r="140" spans="1:45" x14ac:dyDescent="0.2">
      <c r="A140" s="2">
        <v>127</v>
      </c>
      <c r="B140" s="2">
        <v>141</v>
      </c>
      <c r="C140" s="2">
        <v>557</v>
      </c>
      <c r="D140" t="s">
        <v>153</v>
      </c>
      <c r="E140" t="s">
        <v>695</v>
      </c>
      <c r="G140" s="2">
        <v>87890</v>
      </c>
      <c r="H140" s="2">
        <v>69.510000000000005</v>
      </c>
      <c r="I140" s="15">
        <v>2.4820000000000002</v>
      </c>
      <c r="J140" s="15">
        <v>1.629</v>
      </c>
      <c r="AC140" s="2">
        <v>74.56</v>
      </c>
      <c r="AD140" s="2">
        <v>75.099999999999994</v>
      </c>
      <c r="AE140" s="2">
        <v>70.39</v>
      </c>
      <c r="AF140" s="2">
        <v>69.510000000000005</v>
      </c>
      <c r="AG140" s="14" t="s">
        <v>773</v>
      </c>
      <c r="AH140" s="2">
        <v>70.099999999999994</v>
      </c>
      <c r="AI140" s="14" t="s">
        <v>773</v>
      </c>
      <c r="AJ140" s="14" t="s">
        <v>773</v>
      </c>
      <c r="AK140" s="19">
        <v>0.20277777777777781</v>
      </c>
      <c r="AL140" s="8">
        <f>(4+(52/60))*AH140</f>
        <v>341.15333333333336</v>
      </c>
    </row>
    <row r="141" spans="1:45" x14ac:dyDescent="0.2">
      <c r="A141" s="2">
        <v>128</v>
      </c>
      <c r="B141" s="2">
        <v>146</v>
      </c>
      <c r="C141" s="2">
        <v>130</v>
      </c>
      <c r="D141" t="s">
        <v>166</v>
      </c>
      <c r="E141" t="s">
        <v>9</v>
      </c>
      <c r="F141" t="s">
        <v>1315</v>
      </c>
      <c r="G141" s="2">
        <v>168050</v>
      </c>
      <c r="H141" s="2">
        <v>265.39999999999998</v>
      </c>
      <c r="I141" s="15">
        <v>9.4809999999999999</v>
      </c>
      <c r="J141" s="15">
        <v>5.8259999999999996</v>
      </c>
      <c r="O141" s="8">
        <v>339.66483699999998</v>
      </c>
      <c r="P141" s="8">
        <v>264.86118299999998</v>
      </c>
      <c r="Q141" s="8">
        <v>339.955715</v>
      </c>
      <c r="R141" s="8">
        <v>393.99358000000001</v>
      </c>
      <c r="S141" s="8">
        <v>271.80337300000002</v>
      </c>
      <c r="T141" s="8">
        <v>219.79032000000001</v>
      </c>
      <c r="U141" s="8">
        <v>251.58698999999999</v>
      </c>
      <c r="V141" s="8">
        <v>262.21471200000002</v>
      </c>
      <c r="W141" s="8">
        <v>266.58970499999998</v>
      </c>
      <c r="X141" s="8">
        <v>284.48593099999999</v>
      </c>
      <c r="Y141" s="8">
        <v>303.23701199999999</v>
      </c>
      <c r="Z141" s="8">
        <v>256.83267699999999</v>
      </c>
      <c r="AA141" s="8">
        <v>289.64793900000001</v>
      </c>
      <c r="AC141" s="2">
        <v>304.60000000000002</v>
      </c>
      <c r="AD141" s="2">
        <v>311.3</v>
      </c>
      <c r="AE141" s="2">
        <v>290.10000000000002</v>
      </c>
      <c r="AF141" s="2">
        <v>265.39999999999998</v>
      </c>
      <c r="AG141" s="14" t="s">
        <v>773</v>
      </c>
      <c r="AH141" s="2">
        <v>267.5</v>
      </c>
      <c r="AI141" s="14" t="s">
        <v>773</v>
      </c>
      <c r="AJ141" s="14" t="s">
        <v>773</v>
      </c>
      <c r="AK141" s="19">
        <v>0.24444444444444446</v>
      </c>
      <c r="AL141" s="8">
        <f>(5+(52/60))*AH141</f>
        <v>1569.3333333333335</v>
      </c>
      <c r="AQ141" s="3"/>
      <c r="AR141" s="3"/>
      <c r="AS141" s="3"/>
    </row>
    <row r="142" spans="1:45" x14ac:dyDescent="0.2">
      <c r="A142" s="2">
        <v>136</v>
      </c>
      <c r="B142" s="2">
        <v>129</v>
      </c>
      <c r="C142" s="2">
        <v>664</v>
      </c>
      <c r="D142" t="s">
        <v>1347</v>
      </c>
      <c r="J142" s="15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">
        <v>35.119999999999997</v>
      </c>
      <c r="AD142" s="2" t="s">
        <v>773</v>
      </c>
      <c r="AE142" s="2" t="s">
        <v>773</v>
      </c>
      <c r="AF142" s="2" t="s">
        <v>773</v>
      </c>
      <c r="AG142" s="14" t="s">
        <v>773</v>
      </c>
      <c r="AH142" s="2" t="s">
        <v>773</v>
      </c>
      <c r="AI142" s="14" t="s">
        <v>773</v>
      </c>
      <c r="AJ142" s="14" t="s">
        <v>773</v>
      </c>
      <c r="AK142" s="19">
        <v>0.31111111111111112</v>
      </c>
      <c r="AL142" s="8">
        <f>(7+(28/60))*AC142</f>
        <v>262.22933333333333</v>
      </c>
      <c r="AQ142" s="3"/>
      <c r="AR142" s="3"/>
      <c r="AS142" s="3"/>
    </row>
    <row r="143" spans="1:45" x14ac:dyDescent="0.2">
      <c r="A143" s="2">
        <v>130</v>
      </c>
      <c r="B143" s="2">
        <v>144</v>
      </c>
      <c r="C143" s="2">
        <v>202</v>
      </c>
      <c r="D143" t="s">
        <v>352</v>
      </c>
      <c r="E143" t="s">
        <v>562</v>
      </c>
      <c r="H143" s="2">
        <v>103.3</v>
      </c>
      <c r="I143" s="15">
        <v>3.6890000000000001</v>
      </c>
      <c r="J143" s="16">
        <v>2.1469999999999998</v>
      </c>
      <c r="O143" s="8">
        <v>194.81799599999999</v>
      </c>
      <c r="P143" s="8">
        <v>191.555768</v>
      </c>
      <c r="Q143" s="8">
        <v>204.615476</v>
      </c>
      <c r="R143" s="8">
        <v>181.76061200000001</v>
      </c>
      <c r="S143" s="8">
        <v>177.089372</v>
      </c>
      <c r="T143" s="8">
        <v>175.60918100000001</v>
      </c>
      <c r="U143" s="8">
        <v>191.194929</v>
      </c>
      <c r="V143" s="8">
        <v>172.28954899999999</v>
      </c>
      <c r="W143" s="8">
        <v>168.45603800000001</v>
      </c>
      <c r="X143" s="8">
        <v>168.288466</v>
      </c>
      <c r="Y143" s="8">
        <v>171.365047</v>
      </c>
      <c r="Z143" s="8">
        <v>158.678549</v>
      </c>
      <c r="AA143" s="8">
        <v>158.678549</v>
      </c>
      <c r="AC143" s="2">
        <v>121.2</v>
      </c>
      <c r="AD143" s="2">
        <v>108.4</v>
      </c>
      <c r="AE143" s="2">
        <v>103.3</v>
      </c>
      <c r="AF143" s="14" t="s">
        <v>773</v>
      </c>
      <c r="AG143" s="14" t="s">
        <v>773</v>
      </c>
      <c r="AH143" s="14" t="s">
        <v>773</v>
      </c>
      <c r="AI143" s="14" t="s">
        <v>773</v>
      </c>
      <c r="AJ143" s="14" t="s">
        <v>773</v>
      </c>
      <c r="AK143" s="19">
        <v>0.56041666666666667</v>
      </c>
      <c r="AL143" s="8">
        <f>(13+(27/60))*AE143</f>
        <v>1389.385</v>
      </c>
    </row>
    <row r="144" spans="1:45" x14ac:dyDescent="0.2">
      <c r="A144" s="2">
        <v>131</v>
      </c>
      <c r="B144" s="2">
        <v>127</v>
      </c>
      <c r="C144" s="2">
        <v>120</v>
      </c>
      <c r="D144" t="s">
        <v>159</v>
      </c>
      <c r="E144" t="s">
        <v>6</v>
      </c>
      <c r="F144" t="s">
        <v>1289</v>
      </c>
      <c r="G144" s="2">
        <v>500</v>
      </c>
      <c r="H144" s="2">
        <v>184.6</v>
      </c>
      <c r="I144" s="15">
        <v>6.5949999999999998</v>
      </c>
      <c r="J144" s="15">
        <v>3.1960000000000002</v>
      </c>
      <c r="O144" s="8">
        <v>210.223525</v>
      </c>
      <c r="P144" s="8">
        <v>205.146568</v>
      </c>
      <c r="Q144" s="8">
        <v>211.822833</v>
      </c>
      <c r="R144" s="8">
        <v>207.707672</v>
      </c>
      <c r="S144" s="8">
        <v>202.04051100000001</v>
      </c>
      <c r="T144" s="8">
        <v>191.807265</v>
      </c>
      <c r="U144" s="8">
        <v>245.59660700000001</v>
      </c>
      <c r="V144" s="8">
        <v>235.77775299999999</v>
      </c>
      <c r="W144" s="8">
        <v>306.491604</v>
      </c>
      <c r="X144" s="8">
        <v>328.36731700000001</v>
      </c>
      <c r="Y144" s="8">
        <v>358.919511</v>
      </c>
      <c r="Z144" s="8">
        <v>333.46323699999999</v>
      </c>
      <c r="AA144" s="8">
        <v>312.85604999999998</v>
      </c>
      <c r="AC144" s="2">
        <v>155.5</v>
      </c>
      <c r="AD144" s="2">
        <v>178</v>
      </c>
      <c r="AE144" s="2">
        <v>178.3</v>
      </c>
      <c r="AF144" s="2">
        <v>184.6</v>
      </c>
      <c r="AG144" s="14" t="s">
        <v>773</v>
      </c>
      <c r="AH144" s="2">
        <v>186.2</v>
      </c>
      <c r="AI144" s="14" t="s">
        <v>773</v>
      </c>
      <c r="AJ144" s="14" t="s">
        <v>773</v>
      </c>
      <c r="AK144" s="19">
        <v>0.60138888888888886</v>
      </c>
      <c r="AL144" s="8">
        <f>(14+(26/60))*AH144</f>
        <v>2687.4866666666667</v>
      </c>
    </row>
    <row r="145" spans="1:38" x14ac:dyDescent="0.2">
      <c r="A145" s="2">
        <v>132</v>
      </c>
      <c r="B145" s="2">
        <v>140</v>
      </c>
      <c r="C145" s="2">
        <v>622</v>
      </c>
      <c r="D145" t="s">
        <v>194</v>
      </c>
      <c r="E145" t="s">
        <v>700</v>
      </c>
      <c r="F145" t="s">
        <v>1264</v>
      </c>
      <c r="G145" s="2">
        <v>9150</v>
      </c>
      <c r="H145" s="2">
        <v>58.05</v>
      </c>
      <c r="I145" s="15">
        <v>2.073</v>
      </c>
      <c r="J145" s="15">
        <v>1.4239999999999999</v>
      </c>
      <c r="AC145" s="2">
        <v>57.19</v>
      </c>
      <c r="AD145" s="2">
        <v>56.29</v>
      </c>
      <c r="AE145" s="2">
        <v>52.29</v>
      </c>
      <c r="AF145" s="2">
        <v>58.05</v>
      </c>
      <c r="AG145" s="14" t="s">
        <v>773</v>
      </c>
      <c r="AH145" s="2">
        <v>56.71</v>
      </c>
      <c r="AI145" s="14" t="s">
        <v>773</v>
      </c>
      <c r="AJ145" s="14" t="s">
        <v>773</v>
      </c>
      <c r="AK145" s="19">
        <v>0.28611111111111115</v>
      </c>
      <c r="AL145" s="8">
        <f>(6+(52/60))*AH145</f>
        <v>389.4086666666667</v>
      </c>
    </row>
    <row r="146" spans="1:38" x14ac:dyDescent="0.2">
      <c r="A146" s="2">
        <v>133</v>
      </c>
      <c r="B146" s="2">
        <v>161</v>
      </c>
      <c r="C146" s="2">
        <v>608</v>
      </c>
      <c r="D146" t="s">
        <v>167</v>
      </c>
      <c r="H146" s="2">
        <v>83.93</v>
      </c>
      <c r="I146" s="15">
        <v>2.9969999999999999</v>
      </c>
      <c r="J146" s="15">
        <v>2.524</v>
      </c>
      <c r="AC146" s="2">
        <v>107.5</v>
      </c>
      <c r="AD146" s="2">
        <v>123</v>
      </c>
      <c r="AE146" s="2">
        <v>88.74</v>
      </c>
      <c r="AF146" s="2">
        <v>83.93</v>
      </c>
      <c r="AG146" s="14" t="s">
        <v>773</v>
      </c>
      <c r="AH146" s="2">
        <v>78.89</v>
      </c>
      <c r="AI146" s="14" t="s">
        <v>773</v>
      </c>
      <c r="AJ146" s="14" t="s">
        <v>773</v>
      </c>
      <c r="AK146" s="19">
        <v>8.4722222222222213E-2</v>
      </c>
      <c r="AL146" s="8">
        <f>(2+(2/60))*AH146</f>
        <v>160.40966666666665</v>
      </c>
    </row>
    <row r="147" spans="1:38" x14ac:dyDescent="0.2">
      <c r="A147" s="2">
        <v>134</v>
      </c>
      <c r="B147" s="2">
        <v>117</v>
      </c>
      <c r="C147" s="2">
        <v>506</v>
      </c>
      <c r="D147" t="s">
        <v>199</v>
      </c>
      <c r="E147" t="s">
        <v>550</v>
      </c>
      <c r="F147" t="s">
        <v>1291</v>
      </c>
      <c r="G147" s="2">
        <v>158030</v>
      </c>
      <c r="H147" s="2">
        <v>56.67</v>
      </c>
      <c r="I147" s="15">
        <v>2.024</v>
      </c>
      <c r="J147" s="15">
        <v>1.6719999999999999</v>
      </c>
      <c r="AC147" s="2">
        <v>46.67</v>
      </c>
      <c r="AD147" s="2">
        <v>56.98</v>
      </c>
      <c r="AE147" s="2">
        <v>60.89</v>
      </c>
      <c r="AF147" s="2">
        <v>56.67</v>
      </c>
      <c r="AG147" s="14" t="s">
        <v>773</v>
      </c>
      <c r="AH147" s="2">
        <v>55.28</v>
      </c>
      <c r="AI147" s="14" t="s">
        <v>773</v>
      </c>
      <c r="AJ147" s="14" t="s">
        <v>773</v>
      </c>
      <c r="AK147" s="19">
        <v>0.20555555555555557</v>
      </c>
      <c r="AL147" s="8">
        <f>(4+(56/60))*AH147</f>
        <v>272.71466666666669</v>
      </c>
    </row>
    <row r="148" spans="1:38" x14ac:dyDescent="0.2">
      <c r="A148" s="2">
        <v>135</v>
      </c>
      <c r="B148" s="2">
        <v>192</v>
      </c>
      <c r="C148" s="2">
        <v>779</v>
      </c>
      <c r="D148" t="s">
        <v>257</v>
      </c>
      <c r="H148" s="2">
        <v>45.6</v>
      </c>
      <c r="I148" s="15">
        <v>1.6279999999999999</v>
      </c>
      <c r="J148" s="15">
        <v>1.2929999999999999</v>
      </c>
      <c r="AC148" s="2">
        <v>43.43</v>
      </c>
      <c r="AD148" s="2">
        <v>36.979999999999997</v>
      </c>
      <c r="AE148" s="2">
        <v>33.81</v>
      </c>
      <c r="AF148" s="2">
        <v>45.6</v>
      </c>
      <c r="AG148" s="14" t="s">
        <v>773</v>
      </c>
      <c r="AH148" s="14" t="s">
        <v>773</v>
      </c>
      <c r="AI148" s="14" t="s">
        <v>773</v>
      </c>
      <c r="AJ148" s="14" t="s">
        <v>773</v>
      </c>
      <c r="AK148" s="19">
        <v>0.25763888888888892</v>
      </c>
      <c r="AL148" s="8">
        <f>(6+(11/60))*AF148</f>
        <v>281.96000000000004</v>
      </c>
    </row>
    <row r="149" spans="1:38" x14ac:dyDescent="0.2">
      <c r="A149" s="2">
        <v>136</v>
      </c>
      <c r="B149" s="2">
        <v>143</v>
      </c>
      <c r="C149" s="2">
        <v>674</v>
      </c>
      <c r="D149" t="s">
        <v>187</v>
      </c>
      <c r="E149" t="s">
        <v>721</v>
      </c>
      <c r="G149" s="2">
        <v>10590</v>
      </c>
      <c r="H149" s="2">
        <v>48.68</v>
      </c>
      <c r="I149" s="15">
        <v>1.738</v>
      </c>
      <c r="J149" s="15">
        <v>1.39</v>
      </c>
      <c r="AC149" s="2">
        <v>36.090000000000003</v>
      </c>
      <c r="AD149" s="2">
        <v>36.619999999999997</v>
      </c>
      <c r="AE149" s="2">
        <v>36.99</v>
      </c>
      <c r="AF149" s="2">
        <v>48.68</v>
      </c>
      <c r="AG149" s="14" t="s">
        <v>773</v>
      </c>
      <c r="AH149" s="2">
        <v>51.28</v>
      </c>
      <c r="AI149" s="14" t="s">
        <v>773</v>
      </c>
      <c r="AJ149" s="14" t="s">
        <v>773</v>
      </c>
      <c r="AK149" s="19">
        <v>0.18541666666666667</v>
      </c>
      <c r="AL149" s="8">
        <f>(4+(27/60))*AH149</f>
        <v>228.19600000000003</v>
      </c>
    </row>
    <row r="150" spans="1:38" x14ac:dyDescent="0.2">
      <c r="A150" s="2">
        <v>137</v>
      </c>
      <c r="B150" s="2">
        <v>176</v>
      </c>
      <c r="C150" s="2">
        <v>858</v>
      </c>
      <c r="D150" t="s">
        <v>207</v>
      </c>
      <c r="E150" t="s">
        <v>765</v>
      </c>
      <c r="G150" s="2">
        <v>33830</v>
      </c>
      <c r="H150" s="2">
        <v>44.78</v>
      </c>
      <c r="I150" s="15">
        <v>1.599</v>
      </c>
      <c r="J150" s="15">
        <v>1.288</v>
      </c>
      <c r="AC150" s="2">
        <v>45.61</v>
      </c>
      <c r="AD150" s="2">
        <v>36.380000000000003</v>
      </c>
      <c r="AE150" s="2">
        <v>37.72</v>
      </c>
      <c r="AF150" s="2">
        <v>44.78</v>
      </c>
      <c r="AG150" s="14" t="s">
        <v>773</v>
      </c>
      <c r="AH150" s="2">
        <v>47.94</v>
      </c>
      <c r="AI150" s="14" t="s">
        <v>773</v>
      </c>
      <c r="AJ150" s="14" t="s">
        <v>773</v>
      </c>
      <c r="AK150" s="19">
        <v>0.22013888888888888</v>
      </c>
      <c r="AL150" s="8">
        <f>(5+(17/60))*AH150</f>
        <v>253.28299999999999</v>
      </c>
    </row>
    <row r="151" spans="1:38" x14ac:dyDescent="0.2">
      <c r="A151" s="2">
        <v>138</v>
      </c>
      <c r="B151" s="2">
        <v>138</v>
      </c>
      <c r="C151" s="2">
        <v>264</v>
      </c>
      <c r="D151" t="s">
        <v>231</v>
      </c>
      <c r="H151" s="2">
        <v>95.65</v>
      </c>
      <c r="I151" s="15">
        <v>3.4159999999999999</v>
      </c>
      <c r="J151" s="15">
        <v>1.954</v>
      </c>
      <c r="O151" s="8">
        <v>312.78245099999998</v>
      </c>
      <c r="P151" s="8">
        <v>295.90630499999997</v>
      </c>
      <c r="Q151" s="8">
        <v>309.70001000000002</v>
      </c>
      <c r="R151" s="8">
        <v>320.94135799999998</v>
      </c>
      <c r="S151" s="8">
        <v>316.89379000000002</v>
      </c>
      <c r="T151" s="8">
        <v>299.791045</v>
      </c>
      <c r="U151" s="8">
        <v>319.27305000000001</v>
      </c>
      <c r="V151" s="8">
        <v>302.22350999999998</v>
      </c>
      <c r="W151" s="8">
        <v>296.40147200000001</v>
      </c>
      <c r="X151" s="8">
        <v>317.76522199999999</v>
      </c>
      <c r="Y151" s="8">
        <v>306.18397499999998</v>
      </c>
      <c r="Z151" s="8">
        <v>302.29107599999998</v>
      </c>
      <c r="AA151" s="8">
        <v>329.16150199999998</v>
      </c>
      <c r="AC151" s="2">
        <v>91.83</v>
      </c>
      <c r="AD151" s="2">
        <v>100.3</v>
      </c>
      <c r="AE151" s="2">
        <v>90.31</v>
      </c>
      <c r="AF151" s="2">
        <v>95.65</v>
      </c>
      <c r="AG151" s="2" t="s">
        <v>773</v>
      </c>
      <c r="AH151" s="2">
        <v>93.99</v>
      </c>
      <c r="AI151" s="2" t="s">
        <v>773</v>
      </c>
      <c r="AJ151" s="2" t="s">
        <v>773</v>
      </c>
      <c r="AK151" s="19">
        <v>0.37083333333333335</v>
      </c>
      <c r="AL151" s="8">
        <f>(8+(54/60))*AH151</f>
        <v>836.51099999999997</v>
      </c>
    </row>
    <row r="152" spans="1:38" x14ac:dyDescent="0.2">
      <c r="A152" s="2">
        <v>139</v>
      </c>
      <c r="B152" s="2">
        <v>145</v>
      </c>
      <c r="C152" s="2">
        <v>591</v>
      </c>
      <c r="D152" t="s">
        <v>146</v>
      </c>
      <c r="E152" t="s">
        <v>9</v>
      </c>
      <c r="G152" s="2">
        <v>168050</v>
      </c>
      <c r="H152" s="2">
        <v>68.27</v>
      </c>
      <c r="I152" s="15">
        <v>2.9159999999999999</v>
      </c>
      <c r="J152" s="15">
        <v>2.2799999999999998</v>
      </c>
      <c r="AC152" s="2">
        <v>114.9</v>
      </c>
      <c r="AD152" s="2">
        <v>79.959999999999994</v>
      </c>
      <c r="AE152" s="2">
        <v>81.650000000000006</v>
      </c>
      <c r="AF152" s="2">
        <v>68.27</v>
      </c>
      <c r="AG152" s="14" t="s">
        <v>773</v>
      </c>
      <c r="AH152" s="2">
        <v>71.849999999999994</v>
      </c>
      <c r="AI152" s="14" t="s">
        <v>773</v>
      </c>
      <c r="AJ152" s="14" t="s">
        <v>773</v>
      </c>
      <c r="AK152" s="19">
        <v>0.16458333333333333</v>
      </c>
      <c r="AL152" s="8">
        <f>(3+(57/60))*AH152</f>
        <v>283.8075</v>
      </c>
    </row>
    <row r="153" spans="1:38" x14ac:dyDescent="0.2">
      <c r="A153" s="2">
        <v>140</v>
      </c>
      <c r="B153" s="2">
        <v>190</v>
      </c>
      <c r="C153" s="2">
        <v>970</v>
      </c>
      <c r="D153" t="s">
        <v>173</v>
      </c>
      <c r="H153" s="2">
        <v>60.27</v>
      </c>
      <c r="I153" s="15">
        <v>2.1520000000000001</v>
      </c>
      <c r="J153" s="15">
        <v>1.1539999999999999</v>
      </c>
      <c r="AC153" s="2">
        <v>78.290000000000006</v>
      </c>
      <c r="AD153" s="2">
        <v>63.84</v>
      </c>
      <c r="AE153" s="2">
        <v>58.54</v>
      </c>
      <c r="AF153" s="2">
        <v>60.27</v>
      </c>
      <c r="AG153" s="14" t="s">
        <v>773</v>
      </c>
      <c r="AH153" s="2">
        <v>61.65</v>
      </c>
      <c r="AI153" s="14" t="s">
        <v>773</v>
      </c>
      <c r="AJ153" s="14" t="s">
        <v>773</v>
      </c>
      <c r="AK153" s="19">
        <v>0.1986111111111111</v>
      </c>
      <c r="AL153" s="8">
        <f>(4+(46/60))*AH153</f>
        <v>293.86500000000001</v>
      </c>
    </row>
    <row r="154" spans="1:38" s="3" customFormat="1" x14ac:dyDescent="0.2">
      <c r="A154" s="4">
        <v>141</v>
      </c>
      <c r="B154" s="4">
        <v>125</v>
      </c>
      <c r="C154" s="4">
        <v>574</v>
      </c>
      <c r="D154" s="3" t="s">
        <v>201</v>
      </c>
      <c r="E154" s="3" t="s">
        <v>702</v>
      </c>
      <c r="G154" s="4">
        <v>26810</v>
      </c>
      <c r="H154" s="4">
        <v>49.29</v>
      </c>
      <c r="I154" s="16">
        <v>1.76</v>
      </c>
      <c r="J154" s="16">
        <v>1.43</v>
      </c>
      <c r="K154" s="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4">
        <v>52.52</v>
      </c>
      <c r="AD154" s="4">
        <v>61.39</v>
      </c>
      <c r="AE154" s="4">
        <v>63.13</v>
      </c>
      <c r="AF154" s="4">
        <v>49.29</v>
      </c>
      <c r="AG154" s="46" t="s">
        <v>773</v>
      </c>
      <c r="AH154" s="4">
        <v>48.5</v>
      </c>
      <c r="AI154" s="46" t="s">
        <v>773</v>
      </c>
      <c r="AJ154" s="46" t="s">
        <v>773</v>
      </c>
      <c r="AK154" s="23">
        <v>0.16527777777777777</v>
      </c>
      <c r="AL154" s="47">
        <f>(3+(58/60))*AH154</f>
        <v>192.38333333333333</v>
      </c>
    </row>
    <row r="155" spans="1:38" x14ac:dyDescent="0.2">
      <c r="A155" s="2">
        <v>142</v>
      </c>
      <c r="B155" s="2">
        <v>133</v>
      </c>
      <c r="C155" s="2">
        <v>196</v>
      </c>
      <c r="D155" t="s">
        <v>191</v>
      </c>
      <c r="E155" t="s">
        <v>699</v>
      </c>
      <c r="F155" t="s">
        <v>1326</v>
      </c>
      <c r="G155" s="2">
        <v>7790</v>
      </c>
      <c r="H155" s="2">
        <v>131.19999999999999</v>
      </c>
      <c r="I155" s="15">
        <v>4.6870000000000003</v>
      </c>
      <c r="J155" s="15">
        <v>3.4140000000000001</v>
      </c>
      <c r="O155" s="8">
        <v>233.89945</v>
      </c>
      <c r="P155" s="8">
        <v>215.08320599999999</v>
      </c>
      <c r="Q155" s="8">
        <v>232.23367999999999</v>
      </c>
      <c r="R155" s="8">
        <v>242.098433</v>
      </c>
      <c r="S155" s="8">
        <v>227.311015</v>
      </c>
      <c r="T155" s="8">
        <v>222.01264800000001</v>
      </c>
      <c r="U155" s="8">
        <v>233.75949199999999</v>
      </c>
      <c r="V155" s="8">
        <v>237.317117</v>
      </c>
      <c r="W155" s="8">
        <v>258.07688000000002</v>
      </c>
      <c r="X155" s="8">
        <v>259.84838500000001</v>
      </c>
      <c r="Y155" s="8">
        <v>275.11379699999998</v>
      </c>
      <c r="Z155" s="8">
        <v>244.29660200000001</v>
      </c>
      <c r="AA155" s="8">
        <v>233.499413</v>
      </c>
      <c r="AC155" s="2">
        <v>130.4</v>
      </c>
      <c r="AD155" s="2">
        <v>117.5</v>
      </c>
      <c r="AE155" s="2">
        <v>137.69999999999999</v>
      </c>
      <c r="AF155" s="2">
        <v>131.19999999999999</v>
      </c>
      <c r="AG155" s="14" t="s">
        <v>773</v>
      </c>
      <c r="AH155" s="2">
        <v>132.69999999999999</v>
      </c>
      <c r="AI155" s="14" t="s">
        <v>773</v>
      </c>
      <c r="AJ155" s="14" t="s">
        <v>773</v>
      </c>
      <c r="AK155" s="19">
        <v>0.21805555555555556</v>
      </c>
      <c r="AL155" s="8">
        <f>(5+(14/60))*AH155</f>
        <v>694.46333333333325</v>
      </c>
    </row>
    <row r="156" spans="1:38" x14ac:dyDescent="0.2">
      <c r="A156" s="2">
        <v>143</v>
      </c>
      <c r="B156" s="2">
        <v>129</v>
      </c>
      <c r="C156" s="2">
        <v>527</v>
      </c>
      <c r="D156" t="s">
        <v>160</v>
      </c>
      <c r="H156" s="2">
        <v>89.78</v>
      </c>
      <c r="I156" s="15">
        <v>3.206</v>
      </c>
      <c r="J156" s="15">
        <v>2.6320000000000001</v>
      </c>
      <c r="AC156" s="2">
        <v>127.7</v>
      </c>
      <c r="AD156" s="2">
        <v>81.8</v>
      </c>
      <c r="AE156" s="2">
        <v>99.9</v>
      </c>
      <c r="AF156" s="2">
        <v>89.78</v>
      </c>
      <c r="AG156" s="14" t="s">
        <v>773</v>
      </c>
      <c r="AH156" s="2">
        <v>77.06</v>
      </c>
      <c r="AI156" s="14" t="s">
        <v>773</v>
      </c>
      <c r="AJ156" s="14" t="s">
        <v>773</v>
      </c>
      <c r="AK156" s="19">
        <v>6.0416666666666667E-2</v>
      </c>
      <c r="AL156" s="8">
        <f>(1+(27/60))*AH156</f>
        <v>111.73699999999999</v>
      </c>
    </row>
    <row r="157" spans="1:38" x14ac:dyDescent="0.2">
      <c r="A157" s="2">
        <v>144</v>
      </c>
      <c r="B157" s="2">
        <v>182</v>
      </c>
      <c r="C157" s="2">
        <v>927</v>
      </c>
      <c r="D157" t="s">
        <v>250</v>
      </c>
      <c r="E157" t="s">
        <v>6</v>
      </c>
      <c r="G157" s="2">
        <v>3350</v>
      </c>
      <c r="H157" s="2">
        <v>37.200000000000003</v>
      </c>
      <c r="I157" s="15">
        <v>1.3280000000000001</v>
      </c>
      <c r="J157" s="15">
        <v>1.111</v>
      </c>
      <c r="AC157" s="2">
        <v>45.59</v>
      </c>
      <c r="AD157" s="2">
        <v>35.04</v>
      </c>
      <c r="AE157" s="2">
        <v>37.82</v>
      </c>
      <c r="AF157" s="57">
        <v>37.200000000000003</v>
      </c>
      <c r="AG157" s="57" t="s">
        <v>773</v>
      </c>
      <c r="AH157" s="57">
        <v>39.01</v>
      </c>
      <c r="AI157" s="57" t="s">
        <v>773</v>
      </c>
      <c r="AJ157" s="57" t="s">
        <v>773</v>
      </c>
      <c r="AK157" s="19">
        <v>0.17152777777777775</v>
      </c>
      <c r="AL157" s="8">
        <f>(4+(7/60))*AH157</f>
        <v>160.59116666666665</v>
      </c>
    </row>
    <row r="158" spans="1:38" x14ac:dyDescent="0.2">
      <c r="A158" s="2">
        <v>145</v>
      </c>
      <c r="B158" s="2">
        <v>81</v>
      </c>
      <c r="C158" s="2">
        <v>97</v>
      </c>
      <c r="D158" t="s">
        <v>237</v>
      </c>
      <c r="H158" s="2">
        <v>122</v>
      </c>
      <c r="I158" s="15">
        <v>4.3579999999999997</v>
      </c>
      <c r="J158" s="15">
        <v>2.9039999999999999</v>
      </c>
      <c r="AC158" s="2">
        <v>71.91</v>
      </c>
      <c r="AD158" s="2">
        <v>115</v>
      </c>
      <c r="AE158" s="2">
        <v>109.9</v>
      </c>
      <c r="AF158" s="2">
        <v>122</v>
      </c>
      <c r="AG158" s="2" t="s">
        <v>773</v>
      </c>
      <c r="AH158" s="2">
        <v>123.1</v>
      </c>
      <c r="AI158" s="2" t="s">
        <v>773</v>
      </c>
      <c r="AJ158" s="2" t="s">
        <v>773</v>
      </c>
      <c r="AK158" s="19">
        <v>0.47152777777777777</v>
      </c>
      <c r="AL158" s="8">
        <f>(11+(19/60))*AH158</f>
        <v>1393.0816666666665</v>
      </c>
    </row>
    <row r="159" spans="1:38" x14ac:dyDescent="0.2">
      <c r="A159" s="2">
        <v>146</v>
      </c>
      <c r="B159" s="2">
        <v>137</v>
      </c>
      <c r="C159" s="2">
        <v>616</v>
      </c>
      <c r="D159" t="s">
        <v>190</v>
      </c>
      <c r="E159" s="13" t="s">
        <v>698</v>
      </c>
      <c r="F159" s="13"/>
      <c r="G159" s="2">
        <v>31000</v>
      </c>
      <c r="H159" s="2">
        <v>48.07</v>
      </c>
      <c r="I159" s="15">
        <v>1.716</v>
      </c>
      <c r="J159" s="15">
        <v>1.3009999999999999</v>
      </c>
      <c r="AC159" s="2">
        <v>49.69</v>
      </c>
      <c r="AD159" s="2">
        <v>55.16</v>
      </c>
      <c r="AE159" s="2">
        <v>54.08</v>
      </c>
      <c r="AF159" s="2">
        <v>48.07</v>
      </c>
      <c r="AG159" s="14" t="s">
        <v>773</v>
      </c>
      <c r="AH159" s="2">
        <v>49.86</v>
      </c>
      <c r="AI159" s="14" t="s">
        <v>773</v>
      </c>
      <c r="AJ159" s="14" t="s">
        <v>773</v>
      </c>
      <c r="AK159" s="19">
        <v>0.22916666666666666</v>
      </c>
      <c r="AL159" s="8">
        <f>5.5*AH159</f>
        <v>274.23</v>
      </c>
    </row>
    <row r="160" spans="1:38" x14ac:dyDescent="0.2">
      <c r="A160" s="2">
        <v>147</v>
      </c>
      <c r="B160" s="2">
        <v>162</v>
      </c>
      <c r="C160" s="2">
        <v>794</v>
      </c>
      <c r="D160" t="s">
        <v>232</v>
      </c>
      <c r="H160" s="2">
        <v>42.79</v>
      </c>
      <c r="I160" s="15">
        <v>1.528</v>
      </c>
      <c r="J160" s="15">
        <v>1.3180000000000001</v>
      </c>
      <c r="AC160" s="2">
        <v>44.42</v>
      </c>
      <c r="AD160" s="2">
        <v>44.23</v>
      </c>
      <c r="AE160" s="2">
        <v>41.62</v>
      </c>
      <c r="AF160" s="2">
        <v>42.79</v>
      </c>
      <c r="AG160" s="2" t="s">
        <v>773</v>
      </c>
      <c r="AH160" s="2">
        <v>42.33</v>
      </c>
      <c r="AI160" s="2" t="s">
        <v>773</v>
      </c>
      <c r="AJ160" s="2" t="s">
        <v>773</v>
      </c>
      <c r="AK160" s="19">
        <v>0.17083333333333331</v>
      </c>
      <c r="AL160" s="8">
        <f>(4+(6/60))*AH160</f>
        <v>173.55299999999997</v>
      </c>
    </row>
    <row r="161" spans="1:39" x14ac:dyDescent="0.2">
      <c r="A161" s="2">
        <v>148</v>
      </c>
      <c r="B161" s="2">
        <v>201</v>
      </c>
      <c r="C161" s="2">
        <v>1042</v>
      </c>
      <c r="D161" t="s">
        <v>136</v>
      </c>
      <c r="E161" t="s">
        <v>540</v>
      </c>
      <c r="G161" s="2">
        <v>0</v>
      </c>
      <c r="H161" s="2">
        <v>58.78</v>
      </c>
      <c r="I161" s="15">
        <v>2.0990000000000002</v>
      </c>
      <c r="J161" s="15">
        <v>1.2969999999999999</v>
      </c>
      <c r="AC161" s="2">
        <v>78.069999999999993</v>
      </c>
      <c r="AD161" s="2">
        <v>76.349999999999994</v>
      </c>
      <c r="AE161" s="2">
        <v>58.78</v>
      </c>
      <c r="AF161" s="2">
        <v>78.27</v>
      </c>
      <c r="AG161" s="14" t="s">
        <v>773</v>
      </c>
      <c r="AH161" s="2">
        <v>79.61</v>
      </c>
      <c r="AI161" s="14" t="s">
        <v>773</v>
      </c>
      <c r="AJ161" s="14" t="s">
        <v>773</v>
      </c>
      <c r="AK161" s="19">
        <v>0.12291666666666667</v>
      </c>
      <c r="AL161" s="8">
        <f>(2+(57/60))*AH161</f>
        <v>234.84950000000001</v>
      </c>
    </row>
    <row r="162" spans="1:39" s="3" customFormat="1" x14ac:dyDescent="0.2">
      <c r="A162" s="4">
        <v>149</v>
      </c>
      <c r="B162" s="4">
        <v>130</v>
      </c>
      <c r="C162" s="4">
        <v>460</v>
      </c>
      <c r="D162" s="3" t="s">
        <v>101</v>
      </c>
      <c r="E162" s="3" t="s">
        <v>538</v>
      </c>
      <c r="F162" s="3" t="s">
        <v>1271</v>
      </c>
      <c r="G162" s="4">
        <v>167630</v>
      </c>
      <c r="H162" s="4">
        <v>121.9</v>
      </c>
      <c r="I162" s="16">
        <v>4.3529999999999998</v>
      </c>
      <c r="J162" s="16">
        <v>3.0750000000000002</v>
      </c>
      <c r="K162" s="4"/>
      <c r="L162" s="9"/>
      <c r="M162" s="9"/>
      <c r="N162" s="9"/>
      <c r="O162" s="58">
        <v>166.1</v>
      </c>
      <c r="P162" s="58">
        <v>149.79</v>
      </c>
      <c r="Q162" s="58">
        <v>162.13999999999999</v>
      </c>
      <c r="R162" s="58">
        <v>181.63</v>
      </c>
      <c r="S162" s="58">
        <v>153.66</v>
      </c>
      <c r="T162" s="58">
        <v>154.99</v>
      </c>
      <c r="U162" s="58">
        <v>171.03</v>
      </c>
      <c r="V162" s="58">
        <v>166.85</v>
      </c>
      <c r="W162" s="58">
        <v>197.36</v>
      </c>
      <c r="X162" s="58">
        <v>224.58</v>
      </c>
      <c r="Y162" s="58">
        <v>272.72000000000003</v>
      </c>
      <c r="Z162" s="58">
        <v>209.09</v>
      </c>
      <c r="AA162" s="58">
        <v>211.6</v>
      </c>
      <c r="AB162" s="9"/>
      <c r="AC162" s="4">
        <v>108.6</v>
      </c>
      <c r="AD162" s="4">
        <v>99.46</v>
      </c>
      <c r="AE162" s="4">
        <v>124.1</v>
      </c>
      <c r="AF162" s="4">
        <v>121.9</v>
      </c>
      <c r="AG162" s="4" t="s">
        <v>773</v>
      </c>
      <c r="AH162" s="4">
        <v>117.2</v>
      </c>
      <c r="AI162" s="4" t="s">
        <v>773</v>
      </c>
      <c r="AJ162" s="4" t="s">
        <v>773</v>
      </c>
      <c r="AK162" s="23">
        <v>0.10347222222222223</v>
      </c>
      <c r="AL162" s="66">
        <f>(2+(29/60))*AH162</f>
        <v>291.04666666666668</v>
      </c>
    </row>
    <row r="163" spans="1:39" x14ac:dyDescent="0.2">
      <c r="A163" s="4">
        <v>150</v>
      </c>
      <c r="B163" s="4">
        <v>173</v>
      </c>
      <c r="C163" s="4">
        <v>504</v>
      </c>
      <c r="D163" s="3" t="s">
        <v>294</v>
      </c>
      <c r="E163" t="s">
        <v>6</v>
      </c>
      <c r="G163" s="2">
        <v>500</v>
      </c>
      <c r="H163" s="2">
        <v>52.71</v>
      </c>
      <c r="I163" s="15">
        <v>1.8819999999999999</v>
      </c>
      <c r="J163" s="15">
        <v>0.740479</v>
      </c>
      <c r="AC163" s="2">
        <v>52.26</v>
      </c>
      <c r="AD163" s="2">
        <v>51.12</v>
      </c>
      <c r="AE163" s="2">
        <v>49.53</v>
      </c>
      <c r="AF163" s="2">
        <v>52.71</v>
      </c>
      <c r="AG163" s="14" t="s">
        <v>773</v>
      </c>
      <c r="AH163" s="14" t="s">
        <v>773</v>
      </c>
      <c r="AI163" s="14" t="s">
        <v>773</v>
      </c>
      <c r="AJ163" s="14" t="s">
        <v>773</v>
      </c>
      <c r="AK163" s="19">
        <v>0.4604166666666667</v>
      </c>
      <c r="AL163" s="8">
        <f>(11+(3/60))*AF163</f>
        <v>582.44550000000004</v>
      </c>
    </row>
    <row r="164" spans="1:39" x14ac:dyDescent="0.2">
      <c r="A164" s="2">
        <v>151</v>
      </c>
      <c r="B164" s="2">
        <v>176</v>
      </c>
      <c r="C164" s="2">
        <v>10</v>
      </c>
      <c r="D164" t="s">
        <v>122</v>
      </c>
      <c r="E164" t="s">
        <v>1</v>
      </c>
      <c r="G164" s="2">
        <v>600000</v>
      </c>
      <c r="H164" s="57">
        <v>2697</v>
      </c>
      <c r="I164" s="57">
        <v>96.34</v>
      </c>
      <c r="J164" s="58">
        <v>57.67</v>
      </c>
      <c r="O164" s="2">
        <v>3056.1</v>
      </c>
      <c r="P164" s="2">
        <v>2874</v>
      </c>
      <c r="Q164" s="2">
        <v>3111</v>
      </c>
      <c r="R164" s="2">
        <v>3055</v>
      </c>
      <c r="S164" s="2">
        <v>3016</v>
      </c>
      <c r="T164" s="2">
        <v>2639</v>
      </c>
      <c r="U164" s="2">
        <v>2533</v>
      </c>
      <c r="V164" s="2">
        <v>2619</v>
      </c>
      <c r="W164" s="2">
        <v>2403</v>
      </c>
      <c r="X164" s="2">
        <v>2425</v>
      </c>
      <c r="Y164" s="2">
        <v>2203</v>
      </c>
      <c r="Z164" s="2">
        <v>2200</v>
      </c>
      <c r="AA164" s="2">
        <v>2172</v>
      </c>
      <c r="AC164" s="2">
        <v>4161</v>
      </c>
      <c r="AD164" s="2">
        <v>2614</v>
      </c>
      <c r="AE164" s="2">
        <v>2786</v>
      </c>
      <c r="AF164" s="2">
        <v>2697</v>
      </c>
      <c r="AG164" s="14" t="s">
        <v>773</v>
      </c>
      <c r="AH164" s="2">
        <v>2715</v>
      </c>
      <c r="AI164" s="2" t="s">
        <v>773</v>
      </c>
      <c r="AJ164" s="2" t="s">
        <v>773</v>
      </c>
      <c r="AK164" s="19">
        <v>0.78263888888888899</v>
      </c>
      <c r="AL164" s="60">
        <f>(18+(47/60))*AH164</f>
        <v>50996.750000000007</v>
      </c>
      <c r="AM164">
        <v>2009</v>
      </c>
    </row>
    <row r="165" spans="1:39" x14ac:dyDescent="0.2">
      <c r="A165" s="2">
        <v>152</v>
      </c>
      <c r="B165" s="2">
        <v>160</v>
      </c>
      <c r="C165" s="2">
        <v>730</v>
      </c>
      <c r="D165" t="s">
        <v>227</v>
      </c>
      <c r="F165" t="s">
        <v>1264</v>
      </c>
      <c r="H165" s="2">
        <v>50.22</v>
      </c>
      <c r="I165" s="15">
        <v>1.7929999999999999</v>
      </c>
      <c r="J165" s="15">
        <v>1.3340000000000001</v>
      </c>
      <c r="AC165" s="2">
        <v>48.74</v>
      </c>
      <c r="AD165" s="2">
        <v>51.54</v>
      </c>
      <c r="AE165" s="2">
        <v>45.51</v>
      </c>
      <c r="AF165" s="2">
        <v>50.22</v>
      </c>
      <c r="AG165" s="2" t="s">
        <v>773</v>
      </c>
      <c r="AH165" s="2">
        <v>49.43</v>
      </c>
      <c r="AI165" s="2" t="s">
        <v>773</v>
      </c>
      <c r="AJ165" s="2" t="s">
        <v>773</v>
      </c>
      <c r="AK165" s="19">
        <v>0.28402777777777777</v>
      </c>
      <c r="AL165" s="8">
        <f>(6+(49/60))*AH165</f>
        <v>336.94783333333334</v>
      </c>
    </row>
    <row r="166" spans="1:39" x14ac:dyDescent="0.2">
      <c r="A166" s="2">
        <v>153</v>
      </c>
      <c r="B166" s="2">
        <v>425</v>
      </c>
      <c r="C166" s="2">
        <v>747</v>
      </c>
      <c r="D166" t="s">
        <v>425</v>
      </c>
      <c r="AC166" s="2">
        <v>35.229999999999997</v>
      </c>
      <c r="AD166" s="2" t="s">
        <v>773</v>
      </c>
      <c r="AE166" s="1" t="s">
        <v>773</v>
      </c>
      <c r="AF166" s="14" t="s">
        <v>773</v>
      </c>
      <c r="AG166" s="14" t="s">
        <v>773</v>
      </c>
      <c r="AH166" s="14" t="s">
        <v>773</v>
      </c>
      <c r="AI166" s="14" t="s">
        <v>773</v>
      </c>
      <c r="AJ166" s="2" t="s">
        <v>773</v>
      </c>
      <c r="AK166" s="19">
        <v>0.6645833333333333</v>
      </c>
      <c r="AL166" s="8">
        <f>(15+(57/60))*AC166</f>
        <v>561.91849999999988</v>
      </c>
    </row>
    <row r="167" spans="1:39" x14ac:dyDescent="0.2">
      <c r="A167" s="2">
        <v>154</v>
      </c>
      <c r="B167" s="2">
        <v>142</v>
      </c>
      <c r="C167" s="2">
        <v>226</v>
      </c>
      <c r="D167" t="s">
        <v>162</v>
      </c>
      <c r="E167" t="s">
        <v>548</v>
      </c>
      <c r="F167" t="s">
        <v>1319</v>
      </c>
      <c r="G167" s="2">
        <v>184760</v>
      </c>
      <c r="H167" s="2">
        <v>132.9</v>
      </c>
      <c r="I167" s="15">
        <v>4.7489999999999997</v>
      </c>
      <c r="J167" s="15">
        <v>3.9039999999999999</v>
      </c>
      <c r="O167" s="8">
        <v>186.48488800000001</v>
      </c>
      <c r="P167" s="8">
        <v>180.728227</v>
      </c>
      <c r="Q167" s="8">
        <v>208.50952799999999</v>
      </c>
      <c r="R167" s="8">
        <v>159.40517600000001</v>
      </c>
      <c r="S167" s="8">
        <v>143.08310800000001</v>
      </c>
      <c r="T167" s="8">
        <v>142.83942999999999</v>
      </c>
      <c r="U167" s="8">
        <v>148.67879099999999</v>
      </c>
      <c r="V167" s="8">
        <v>140.427323</v>
      </c>
      <c r="W167" s="8">
        <v>184.08309600000001</v>
      </c>
      <c r="X167" s="8">
        <v>190.94229100000001</v>
      </c>
      <c r="Y167" s="8">
        <v>187.458054</v>
      </c>
      <c r="Z167" s="8">
        <v>147.286406</v>
      </c>
      <c r="AA167" s="8">
        <v>156.83951200000001</v>
      </c>
      <c r="AC167" s="2">
        <v>117.6</v>
      </c>
      <c r="AD167" s="2">
        <v>131.69999999999999</v>
      </c>
      <c r="AE167" s="2">
        <v>134.1</v>
      </c>
      <c r="AF167" s="2">
        <v>132.9</v>
      </c>
      <c r="AG167" s="14" t="s">
        <v>773</v>
      </c>
      <c r="AH167" s="2">
        <v>129.69999999999999</v>
      </c>
      <c r="AI167" s="14" t="s">
        <v>773</v>
      </c>
      <c r="AJ167" s="14" t="s">
        <v>773</v>
      </c>
      <c r="AK167" s="19">
        <v>0.15</v>
      </c>
      <c r="AL167" s="8">
        <f>(3+(36/60))*AH167</f>
        <v>466.91999999999996</v>
      </c>
    </row>
    <row r="168" spans="1:39" x14ac:dyDescent="0.2">
      <c r="A168" s="2">
        <v>155</v>
      </c>
      <c r="B168" s="2">
        <v>155</v>
      </c>
      <c r="C168" s="2">
        <v>201</v>
      </c>
      <c r="D168" t="s">
        <v>275</v>
      </c>
      <c r="E168" t="s">
        <v>6</v>
      </c>
      <c r="H168" s="2">
        <v>117</v>
      </c>
      <c r="I168" s="15">
        <v>4.1790000000000003</v>
      </c>
      <c r="J168" s="15">
        <v>3.26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>
        <v>129</v>
      </c>
      <c r="AD168" s="2">
        <v>125.1</v>
      </c>
      <c r="AE168" s="2">
        <v>115.1</v>
      </c>
      <c r="AF168" s="2">
        <v>117</v>
      </c>
      <c r="AG168" s="14" t="s">
        <v>773</v>
      </c>
      <c r="AH168" s="14" t="s">
        <v>773</v>
      </c>
      <c r="AI168" s="14" t="s">
        <v>773</v>
      </c>
      <c r="AJ168" s="14" t="s">
        <v>773</v>
      </c>
      <c r="AK168" s="19">
        <v>0.21041666666666667</v>
      </c>
      <c r="AL168" s="8">
        <f>(5+(3/60))*AF168</f>
        <v>590.85</v>
      </c>
    </row>
    <row r="169" spans="1:39" x14ac:dyDescent="0.2">
      <c r="A169" s="2">
        <v>156</v>
      </c>
      <c r="B169" s="2">
        <v>132</v>
      </c>
      <c r="C169" s="2">
        <v>36</v>
      </c>
      <c r="D169" t="s">
        <v>138</v>
      </c>
      <c r="E169" s="13" t="s">
        <v>693</v>
      </c>
      <c r="F169" s="13"/>
      <c r="G169" s="2">
        <v>430000</v>
      </c>
      <c r="H169" s="2">
        <v>1105</v>
      </c>
      <c r="I169" s="15">
        <v>39.479999999999997</v>
      </c>
      <c r="J169" s="15">
        <v>26.85</v>
      </c>
      <c r="O169" s="8">
        <v>680.23566600000004</v>
      </c>
      <c r="P169" s="8">
        <v>664.95892600000002</v>
      </c>
      <c r="Q169" s="8">
        <v>732.87795200000005</v>
      </c>
      <c r="R169" s="8">
        <v>618.77449899999999</v>
      </c>
      <c r="S169" s="8">
        <v>568.98987399999999</v>
      </c>
      <c r="T169" s="8">
        <v>577.16074700000001</v>
      </c>
      <c r="U169" s="8">
        <v>623.23126200000002</v>
      </c>
      <c r="V169" s="8">
        <v>521.10570199999995</v>
      </c>
      <c r="W169" s="8">
        <v>577.69731400000001</v>
      </c>
      <c r="X169" s="8">
        <v>605.34918600000003</v>
      </c>
      <c r="Y169" s="8">
        <v>659.28087700000003</v>
      </c>
      <c r="Z169" s="8">
        <v>679.57280000000003</v>
      </c>
      <c r="AA169" s="8">
        <v>599.91163100000006</v>
      </c>
      <c r="AC169" s="2">
        <v>898.4</v>
      </c>
      <c r="AD169" s="2">
        <v>1041</v>
      </c>
      <c r="AE169" s="2">
        <v>1105</v>
      </c>
      <c r="AF169" s="2">
        <v>1190</v>
      </c>
      <c r="AG169" s="14" t="s">
        <v>773</v>
      </c>
      <c r="AH169" s="2">
        <v>1082</v>
      </c>
      <c r="AI169" s="14" t="s">
        <v>773</v>
      </c>
      <c r="AJ169" s="14" t="s">
        <v>773</v>
      </c>
      <c r="AK169" s="19">
        <v>0.1076388888888889</v>
      </c>
      <c r="AL169" s="8">
        <f>(2+(35/60))*AH169</f>
        <v>2795.166666666667</v>
      </c>
    </row>
    <row r="170" spans="1:39" x14ac:dyDescent="0.2">
      <c r="A170" s="2">
        <v>157</v>
      </c>
      <c r="B170" s="2">
        <v>221</v>
      </c>
      <c r="C170" s="2">
        <v>1137</v>
      </c>
      <c r="D170" t="s">
        <v>267</v>
      </c>
      <c r="H170" s="2">
        <v>41.04</v>
      </c>
      <c r="I170" s="15">
        <v>1.4650000000000001</v>
      </c>
      <c r="J170" s="15">
        <v>1.125</v>
      </c>
      <c r="AC170" s="2">
        <v>49.58</v>
      </c>
      <c r="AD170" s="2">
        <v>39.19</v>
      </c>
      <c r="AE170" s="2">
        <v>37.94</v>
      </c>
      <c r="AF170" s="2">
        <v>41.04</v>
      </c>
      <c r="AG170" s="14" t="s">
        <v>773</v>
      </c>
      <c r="AH170" s="14" t="s">
        <v>773</v>
      </c>
      <c r="AI170" s="14" t="s">
        <v>773</v>
      </c>
      <c r="AJ170" s="14" t="s">
        <v>773</v>
      </c>
      <c r="AK170" s="19">
        <v>0.20347222222222219</v>
      </c>
      <c r="AL170" s="8">
        <f>(4+(53/60))*AF170</f>
        <v>200.41199999999998</v>
      </c>
    </row>
    <row r="171" spans="1:39" x14ac:dyDescent="0.2">
      <c r="A171" s="2">
        <v>158</v>
      </c>
      <c r="B171" s="2">
        <v>159</v>
      </c>
      <c r="C171" s="2">
        <v>713</v>
      </c>
      <c r="D171" t="s">
        <v>357</v>
      </c>
      <c r="H171" s="2">
        <v>46.02</v>
      </c>
      <c r="I171" s="15">
        <v>1.643</v>
      </c>
      <c r="J171" s="15">
        <v>1.4219999999999999</v>
      </c>
      <c r="AC171" s="2">
        <v>39.99</v>
      </c>
      <c r="AD171" s="2">
        <v>40.98</v>
      </c>
      <c r="AE171" s="2">
        <v>46.02</v>
      </c>
      <c r="AF171" s="14" t="s">
        <v>773</v>
      </c>
      <c r="AG171" s="14" t="s">
        <v>773</v>
      </c>
      <c r="AH171" s="14" t="s">
        <v>773</v>
      </c>
      <c r="AI171" s="14" t="s">
        <v>773</v>
      </c>
      <c r="AJ171" s="57" t="s">
        <v>773</v>
      </c>
      <c r="AK171" s="19">
        <v>0.1277777777777778</v>
      </c>
      <c r="AL171" s="8">
        <f>(3+(4/60))*AE171</f>
        <v>141.12800000000001</v>
      </c>
    </row>
    <row r="172" spans="1:39" x14ac:dyDescent="0.2">
      <c r="A172" s="2">
        <v>159</v>
      </c>
      <c r="B172" s="2">
        <v>166</v>
      </c>
      <c r="C172" s="2">
        <v>693</v>
      </c>
      <c r="D172" t="s">
        <v>143</v>
      </c>
      <c r="E172" t="s">
        <v>538</v>
      </c>
      <c r="G172" s="2">
        <v>167630</v>
      </c>
      <c r="H172" s="2">
        <v>88.19</v>
      </c>
      <c r="I172" s="15">
        <v>3.149</v>
      </c>
      <c r="J172" s="15">
        <v>2.5830000000000002</v>
      </c>
      <c r="O172" s="58">
        <v>152.28700000000001</v>
      </c>
      <c r="P172" s="58">
        <v>138.52500000000001</v>
      </c>
      <c r="Q172" s="58">
        <v>144.82300000000001</v>
      </c>
      <c r="R172" s="58">
        <v>171.721</v>
      </c>
      <c r="S172" s="58">
        <v>144.90100000000001</v>
      </c>
      <c r="T172" s="58">
        <v>164.374</v>
      </c>
      <c r="U172" s="58">
        <v>151.971</v>
      </c>
      <c r="V172" s="58">
        <v>153.24700000000001</v>
      </c>
      <c r="W172" s="58">
        <v>161.06899999999999</v>
      </c>
      <c r="X172" s="58">
        <v>173.74700000000001</v>
      </c>
      <c r="Y172" s="58">
        <v>184.75299999999999</v>
      </c>
      <c r="Z172" s="58">
        <v>154.74600000000001</v>
      </c>
      <c r="AA172" s="58">
        <v>175.25</v>
      </c>
      <c r="AC172" s="2">
        <v>134.80000000000001</v>
      </c>
      <c r="AD172" s="2">
        <v>71.59</v>
      </c>
      <c r="AE172" s="2">
        <v>88.19</v>
      </c>
      <c r="AF172" s="2">
        <v>99.03</v>
      </c>
      <c r="AG172" s="14" t="s">
        <v>773</v>
      </c>
      <c r="AH172" s="2">
        <v>80.47</v>
      </c>
      <c r="AI172" s="14" t="s">
        <v>773</v>
      </c>
      <c r="AJ172" s="14" t="s">
        <v>773</v>
      </c>
      <c r="AK172" s="19">
        <v>6.1805555555555558E-2</v>
      </c>
      <c r="AL172" s="60">
        <f>(1+(29/60))*AH172</f>
        <v>119.36383333333333</v>
      </c>
    </row>
    <row r="173" spans="1:39" x14ac:dyDescent="0.2">
      <c r="A173" s="2">
        <v>160</v>
      </c>
      <c r="B173" s="2">
        <v>131</v>
      </c>
      <c r="C173" s="2">
        <v>582</v>
      </c>
      <c r="D173" t="s">
        <v>119</v>
      </c>
      <c r="E173" t="s">
        <v>6</v>
      </c>
      <c r="G173" s="2">
        <v>1000</v>
      </c>
      <c r="H173" s="2">
        <v>104.1</v>
      </c>
      <c r="I173" s="15">
        <v>3.7189999999999999</v>
      </c>
      <c r="J173" s="15">
        <v>2.6459999999999999</v>
      </c>
      <c r="AC173" s="2">
        <v>81.319999999999993</v>
      </c>
      <c r="AD173" s="2">
        <v>142.30000000000001</v>
      </c>
      <c r="AE173" s="2">
        <v>107.5</v>
      </c>
      <c r="AF173" s="2">
        <v>104.1</v>
      </c>
      <c r="AG173" s="14" t="s">
        <v>773</v>
      </c>
      <c r="AH173" s="2">
        <v>106</v>
      </c>
      <c r="AI173" s="2" t="s">
        <v>773</v>
      </c>
      <c r="AJ173" s="2" t="s">
        <v>773</v>
      </c>
      <c r="AK173" s="19">
        <v>5.0694444444444452E-2</v>
      </c>
      <c r="AL173" s="8">
        <f>(1+(13/60))*AH173</f>
        <v>128.96666666666667</v>
      </c>
    </row>
    <row r="174" spans="1:39" x14ac:dyDescent="0.2">
      <c r="A174" s="2">
        <v>161</v>
      </c>
      <c r="B174" s="2">
        <v>224</v>
      </c>
      <c r="C174" s="2">
        <v>973</v>
      </c>
      <c r="D174" t="s">
        <v>184</v>
      </c>
      <c r="E174" t="s">
        <v>694</v>
      </c>
      <c r="G174" s="2">
        <v>9880</v>
      </c>
      <c r="H174" s="2">
        <v>63.23</v>
      </c>
      <c r="I174" s="15">
        <v>2.4420000000000002</v>
      </c>
      <c r="J174" s="15">
        <v>2.2120000000000002</v>
      </c>
      <c r="K174" s="2">
        <v>39.119999999999997</v>
      </c>
      <c r="L174" s="1" t="s">
        <v>11</v>
      </c>
      <c r="M174" s="1" t="s">
        <v>16</v>
      </c>
      <c r="AC174" s="2">
        <v>93.63</v>
      </c>
      <c r="AD174" s="2">
        <v>72.38</v>
      </c>
      <c r="AE174" s="2">
        <v>93.26</v>
      </c>
      <c r="AF174" s="2">
        <v>71.89</v>
      </c>
      <c r="AG174" s="14" t="s">
        <v>773</v>
      </c>
      <c r="AH174" s="2">
        <v>82.44</v>
      </c>
      <c r="AI174" s="14" t="s">
        <v>773</v>
      </c>
      <c r="AJ174" s="14" t="s">
        <v>773</v>
      </c>
      <c r="AK174" s="48">
        <v>4.4444444444444446E-2</v>
      </c>
      <c r="AL174" s="8">
        <f>(1+(6/60))*AH174</f>
        <v>90.684000000000012</v>
      </c>
    </row>
    <row r="175" spans="1:39" x14ac:dyDescent="0.2">
      <c r="A175" s="2">
        <v>162</v>
      </c>
      <c r="B175" s="2">
        <v>225</v>
      </c>
      <c r="C175" s="2">
        <v>305</v>
      </c>
      <c r="D175" t="s">
        <v>168</v>
      </c>
      <c r="E175" t="s">
        <v>6</v>
      </c>
      <c r="H175" s="2">
        <v>157.5</v>
      </c>
      <c r="I175" s="15">
        <v>5.6280000000000001</v>
      </c>
      <c r="J175" s="15">
        <v>3.06</v>
      </c>
      <c r="O175" s="8">
        <v>107.47077299999999</v>
      </c>
      <c r="P175" s="8">
        <v>118.507992</v>
      </c>
      <c r="Q175" s="8">
        <v>117.013944</v>
      </c>
      <c r="R175" s="8">
        <v>101.746482</v>
      </c>
      <c r="S175" s="8">
        <v>97.305367000000004</v>
      </c>
      <c r="T175" s="8">
        <v>58.463092000000003</v>
      </c>
      <c r="U175" s="8">
        <v>50.915855999999998</v>
      </c>
      <c r="V175" s="8">
        <v>44.538381999999999</v>
      </c>
      <c r="W175" s="8">
        <v>47.568055999999999</v>
      </c>
      <c r="X175" s="8">
        <v>51.952156000000002</v>
      </c>
      <c r="Y175" s="8">
        <v>50.813544</v>
      </c>
      <c r="Z175" s="8">
        <v>48.934950999999998</v>
      </c>
      <c r="AA175" s="8">
        <v>58.809871999999999</v>
      </c>
      <c r="AC175" s="2">
        <v>204.5</v>
      </c>
      <c r="AD175" s="2">
        <v>160.5</v>
      </c>
      <c r="AE175" s="2">
        <v>151.1</v>
      </c>
      <c r="AF175" s="2">
        <v>157.5</v>
      </c>
      <c r="AG175" s="14" t="s">
        <v>773</v>
      </c>
      <c r="AH175" s="2">
        <v>160.80000000000001</v>
      </c>
      <c r="AI175" s="14" t="s">
        <v>773</v>
      </c>
      <c r="AJ175" s="14" t="s">
        <v>773</v>
      </c>
      <c r="AK175" s="19">
        <v>0.17291666666666669</v>
      </c>
      <c r="AL175" s="8">
        <f>(4+(9/60))*AH175</f>
        <v>667.32</v>
      </c>
    </row>
    <row r="176" spans="1:39" x14ac:dyDescent="0.2">
      <c r="A176" s="2">
        <v>163</v>
      </c>
      <c r="B176" s="2">
        <v>177</v>
      </c>
      <c r="C176" s="2">
        <v>901</v>
      </c>
      <c r="D176" t="s">
        <v>210</v>
      </c>
      <c r="E176" t="s">
        <v>763</v>
      </c>
      <c r="F176" t="s">
        <v>1275</v>
      </c>
      <c r="G176" s="2">
        <v>50480</v>
      </c>
      <c r="H176" s="2">
        <v>41.96</v>
      </c>
      <c r="I176" s="15">
        <v>1.498</v>
      </c>
      <c r="J176" s="15">
        <v>1.0389999999999999</v>
      </c>
      <c r="AC176" s="2">
        <v>48.72</v>
      </c>
      <c r="AD176" s="2">
        <v>43.74</v>
      </c>
      <c r="AE176" s="2">
        <v>45.14</v>
      </c>
      <c r="AF176" s="2">
        <v>41.96</v>
      </c>
      <c r="AG176" s="2" t="s">
        <v>773</v>
      </c>
      <c r="AH176" s="2">
        <v>43.24</v>
      </c>
      <c r="AI176" s="2" t="s">
        <v>773</v>
      </c>
      <c r="AJ176" s="2" t="s">
        <v>773</v>
      </c>
      <c r="AK176" s="19">
        <v>0.20694444444444446</v>
      </c>
      <c r="AL176" s="8">
        <f>(4+(58/60))*AH176</f>
        <v>214.75866666666667</v>
      </c>
    </row>
    <row r="177" spans="1:38" x14ac:dyDescent="0.2">
      <c r="A177" s="2">
        <v>164</v>
      </c>
      <c r="B177" s="2">
        <v>187</v>
      </c>
      <c r="C177" s="2">
        <v>341</v>
      </c>
      <c r="D177" t="s">
        <v>205</v>
      </c>
      <c r="E177" t="s">
        <v>697</v>
      </c>
      <c r="F177" t="s">
        <v>1285</v>
      </c>
      <c r="G177" s="2">
        <v>1000</v>
      </c>
      <c r="H177" s="2">
        <v>114.5</v>
      </c>
      <c r="I177" s="15">
        <v>3.8490000000000002</v>
      </c>
      <c r="J177" s="15">
        <v>3.1360000000000001</v>
      </c>
      <c r="K177" s="2">
        <v>54.83</v>
      </c>
      <c r="AC177" s="2">
        <v>147.19999999999999</v>
      </c>
      <c r="AD177" s="2">
        <v>106.5</v>
      </c>
      <c r="AE177" s="2">
        <v>110.5</v>
      </c>
      <c r="AF177" s="2">
        <v>111.6</v>
      </c>
      <c r="AG177" s="14" t="s">
        <v>773</v>
      </c>
      <c r="AH177" s="2">
        <v>109.6</v>
      </c>
      <c r="AI177" s="14" t="s">
        <v>773</v>
      </c>
      <c r="AJ177" s="14" t="s">
        <v>773</v>
      </c>
      <c r="AK177" s="19">
        <v>0.1173611111111111</v>
      </c>
      <c r="AL177" s="8">
        <f>(2+(49/60))*AH177</f>
        <v>308.70666666666665</v>
      </c>
    </row>
    <row r="178" spans="1:38" x14ac:dyDescent="0.2">
      <c r="A178" s="2">
        <v>165</v>
      </c>
      <c r="B178" s="2">
        <v>175</v>
      </c>
      <c r="C178" s="2">
        <v>874</v>
      </c>
      <c r="D178" t="s">
        <v>246</v>
      </c>
      <c r="E178" t="s">
        <v>1255</v>
      </c>
      <c r="F178" t="s">
        <v>1332</v>
      </c>
      <c r="G178" s="2">
        <v>9290</v>
      </c>
      <c r="H178" s="2">
        <v>45.96</v>
      </c>
      <c r="I178" s="15">
        <v>1.641</v>
      </c>
      <c r="J178" s="15">
        <v>1.2929999999999999</v>
      </c>
      <c r="AC178" s="2">
        <v>44.08</v>
      </c>
      <c r="AD178" s="2">
        <v>50.12</v>
      </c>
      <c r="AE178" s="2">
        <v>45.39</v>
      </c>
      <c r="AF178" s="57">
        <v>45.96</v>
      </c>
      <c r="AG178" s="57" t="s">
        <v>773</v>
      </c>
      <c r="AH178" s="57">
        <v>46.52</v>
      </c>
      <c r="AI178" s="57" t="s">
        <v>773</v>
      </c>
      <c r="AJ178" s="57" t="s">
        <v>773</v>
      </c>
      <c r="AK178" s="19">
        <v>0.15972222222222224</v>
      </c>
      <c r="AL178" s="8">
        <f>(3+(50/60))*AH178</f>
        <v>178.32666666666668</v>
      </c>
    </row>
    <row r="179" spans="1:38" x14ac:dyDescent="0.2">
      <c r="A179" s="2">
        <v>166</v>
      </c>
      <c r="B179" s="2">
        <v>149</v>
      </c>
      <c r="C179" s="2">
        <v>707</v>
      </c>
      <c r="D179" t="s">
        <v>242</v>
      </c>
      <c r="F179" t="s">
        <v>1260</v>
      </c>
      <c r="H179" s="2">
        <v>41.48</v>
      </c>
      <c r="I179" s="15">
        <v>1.4810000000000001</v>
      </c>
      <c r="J179" s="15">
        <v>0.76800199999999996</v>
      </c>
      <c r="O179" s="58">
        <v>172.38200000000001</v>
      </c>
      <c r="P179" s="58">
        <v>161.22</v>
      </c>
      <c r="Q179" s="58">
        <v>166.565</v>
      </c>
      <c r="R179" s="58">
        <v>195.07400000000001</v>
      </c>
      <c r="S179" s="58">
        <v>158.74100000000001</v>
      </c>
      <c r="T179" s="58">
        <v>149.74799999999999</v>
      </c>
      <c r="U179" s="58">
        <v>181.46299999999999</v>
      </c>
      <c r="V179" s="58">
        <v>167.88200000000001</v>
      </c>
      <c r="W179" s="58">
        <v>207.68799999999999</v>
      </c>
      <c r="X179" s="58">
        <v>197.346</v>
      </c>
      <c r="Y179" s="58">
        <v>164.56299999999999</v>
      </c>
      <c r="Z179" s="58">
        <v>172.142</v>
      </c>
      <c r="AA179" s="58">
        <v>207.00700000000001</v>
      </c>
      <c r="AC179" s="2">
        <v>58.63</v>
      </c>
      <c r="AD179" s="2">
        <v>40.65</v>
      </c>
      <c r="AE179" s="2">
        <v>44.36</v>
      </c>
      <c r="AF179" s="57">
        <v>41.48</v>
      </c>
      <c r="AG179" s="57" t="s">
        <v>773</v>
      </c>
      <c r="AH179" s="57">
        <v>41.92</v>
      </c>
      <c r="AI179" s="57" t="s">
        <v>773</v>
      </c>
      <c r="AJ179" s="57" t="s">
        <v>773</v>
      </c>
      <c r="AK179" s="19">
        <v>0.62083333333333335</v>
      </c>
      <c r="AL179" s="8">
        <f>(14+(54/60))*AH179</f>
        <v>624.60800000000006</v>
      </c>
    </row>
    <row r="180" spans="1:38" x14ac:dyDescent="0.2">
      <c r="A180" s="2">
        <v>167</v>
      </c>
      <c r="B180" s="2" t="s">
        <v>773</v>
      </c>
      <c r="C180" s="2">
        <v>291</v>
      </c>
      <c r="D180" t="s">
        <v>1348</v>
      </c>
      <c r="J180" s="15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C180" s="2">
        <v>156.5</v>
      </c>
      <c r="AD180" s="2" t="s">
        <v>773</v>
      </c>
      <c r="AE180" s="2" t="s">
        <v>773</v>
      </c>
      <c r="AF180" s="57" t="s">
        <v>773</v>
      </c>
      <c r="AG180" s="57" t="s">
        <v>773</v>
      </c>
      <c r="AH180" s="57" t="s">
        <v>773</v>
      </c>
      <c r="AI180" s="57" t="s">
        <v>773</v>
      </c>
      <c r="AJ180" s="57" t="s">
        <v>773</v>
      </c>
      <c r="AK180" s="19">
        <v>0.51111111111111107</v>
      </c>
      <c r="AL180" s="8">
        <f>(12+(16/60))*AC180</f>
        <v>1919.7333333333336</v>
      </c>
    </row>
    <row r="181" spans="1:38" x14ac:dyDescent="0.2">
      <c r="A181" s="2">
        <v>169</v>
      </c>
      <c r="B181" s="2">
        <v>153</v>
      </c>
      <c r="C181" s="2">
        <v>424</v>
      </c>
      <c r="D181" t="s">
        <v>245</v>
      </c>
      <c r="H181" s="2">
        <v>76.14</v>
      </c>
      <c r="I181" s="15">
        <v>2.7189999999999999</v>
      </c>
      <c r="J181" s="15">
        <v>2.0720000000000001</v>
      </c>
      <c r="AC181" s="2">
        <v>84.62</v>
      </c>
      <c r="AD181" s="2">
        <v>69.819999999999993</v>
      </c>
      <c r="AE181" s="2">
        <v>87.14</v>
      </c>
      <c r="AF181" s="57">
        <v>76.14</v>
      </c>
      <c r="AG181" s="57" t="s">
        <v>773</v>
      </c>
      <c r="AH181" s="57">
        <v>74.27</v>
      </c>
      <c r="AI181" s="57" t="s">
        <v>773</v>
      </c>
      <c r="AJ181" s="57" t="s">
        <v>773</v>
      </c>
      <c r="AK181" s="19">
        <v>0.22777777777777777</v>
      </c>
      <c r="AL181" s="8">
        <f>(5+(28/60))*AH181</f>
        <v>406.0093333333333</v>
      </c>
    </row>
    <row r="182" spans="1:38" x14ac:dyDescent="0.2">
      <c r="A182" s="2">
        <v>170</v>
      </c>
      <c r="B182" s="2">
        <v>210</v>
      </c>
      <c r="C182" s="2">
        <v>759</v>
      </c>
      <c r="D182" t="s">
        <v>244</v>
      </c>
      <c r="H182" s="2">
        <v>56.3</v>
      </c>
      <c r="I182" s="15">
        <v>2.0099999999999998</v>
      </c>
      <c r="J182" s="15">
        <v>1.59</v>
      </c>
      <c r="AC182" s="2">
        <v>54.76</v>
      </c>
      <c r="AD182" s="2">
        <v>49.92</v>
      </c>
      <c r="AE182" s="2">
        <v>49.82</v>
      </c>
      <c r="AF182" s="57">
        <v>56.3</v>
      </c>
      <c r="AG182" s="57" t="s">
        <v>773</v>
      </c>
      <c r="AH182" s="57">
        <v>52.39</v>
      </c>
      <c r="AI182" s="57" t="s">
        <v>773</v>
      </c>
      <c r="AJ182" s="57" t="s">
        <v>773</v>
      </c>
      <c r="AK182" s="19">
        <v>0.21111111111111111</v>
      </c>
      <c r="AL182" s="8">
        <f>(5+(4/60))*AH182</f>
        <v>265.44266666666664</v>
      </c>
    </row>
    <row r="183" spans="1:38" x14ac:dyDescent="0.2">
      <c r="A183" s="2">
        <v>171</v>
      </c>
      <c r="B183" s="2">
        <v>179</v>
      </c>
      <c r="C183" s="2">
        <v>885</v>
      </c>
      <c r="D183" t="s">
        <v>156</v>
      </c>
      <c r="E183" t="s">
        <v>534</v>
      </c>
      <c r="G183" s="2">
        <v>119970</v>
      </c>
      <c r="H183" s="2">
        <v>44.87</v>
      </c>
      <c r="I183" s="15">
        <v>1.6020000000000001</v>
      </c>
      <c r="J183" s="15">
        <v>1.3979999999999999</v>
      </c>
      <c r="AC183" s="2">
        <v>39.58</v>
      </c>
      <c r="AD183" s="2">
        <v>41.71</v>
      </c>
      <c r="AE183" s="2">
        <v>40.74</v>
      </c>
      <c r="AF183" s="2">
        <v>44.87</v>
      </c>
      <c r="AG183" s="14" t="s">
        <v>773</v>
      </c>
      <c r="AH183" s="2">
        <v>44.6</v>
      </c>
      <c r="AI183" s="14" t="s">
        <v>773</v>
      </c>
      <c r="AJ183" s="14" t="s">
        <v>773</v>
      </c>
      <c r="AK183" s="19">
        <v>0.11944444444444445</v>
      </c>
      <c r="AL183" s="8">
        <f>(2+(52/60))*AH183</f>
        <v>127.85333333333334</v>
      </c>
    </row>
    <row r="184" spans="1:38" x14ac:dyDescent="0.2">
      <c r="A184" s="2">
        <v>172</v>
      </c>
      <c r="B184" s="2">
        <v>202</v>
      </c>
      <c r="C184" s="2">
        <v>187</v>
      </c>
      <c r="D184" s="3" t="s">
        <v>217</v>
      </c>
      <c r="E184" t="s">
        <v>6</v>
      </c>
      <c r="F184" t="s">
        <v>1325</v>
      </c>
      <c r="G184" s="2">
        <v>1000</v>
      </c>
      <c r="H184" s="2">
        <v>187.2</v>
      </c>
      <c r="I184" s="15">
        <v>8.1509999999999998</v>
      </c>
      <c r="J184" s="14">
        <v>2.8319999999999999</v>
      </c>
      <c r="K184" s="2">
        <v>13.27</v>
      </c>
      <c r="L184" s="1" t="s">
        <v>11</v>
      </c>
      <c r="M184" s="1" t="s">
        <v>11</v>
      </c>
      <c r="N184" s="63"/>
      <c r="O184" s="4">
        <v>494</v>
      </c>
      <c r="P184" s="9">
        <v>471</v>
      </c>
      <c r="Q184" s="4">
        <v>479</v>
      </c>
      <c r="R184" s="4">
        <v>527</v>
      </c>
      <c r="S184" s="4">
        <v>503</v>
      </c>
      <c r="T184" s="4">
        <v>464</v>
      </c>
      <c r="U184" s="4">
        <v>563</v>
      </c>
      <c r="V184" s="4">
        <v>530</v>
      </c>
      <c r="W184" s="4">
        <v>882</v>
      </c>
      <c r="X184" s="4">
        <v>642</v>
      </c>
      <c r="Y184" s="4">
        <v>240</v>
      </c>
      <c r="Z184" s="4">
        <v>237</v>
      </c>
      <c r="AA184" s="4">
        <v>154</v>
      </c>
      <c r="AB184" s="4"/>
      <c r="AC184" s="4">
        <v>194.9</v>
      </c>
      <c r="AD184" s="4">
        <v>165</v>
      </c>
      <c r="AE184" s="2">
        <v>147.9</v>
      </c>
      <c r="AF184" s="2">
        <v>187.9</v>
      </c>
      <c r="AG184" s="2">
        <v>180.9</v>
      </c>
      <c r="AH184" s="2">
        <v>174.8</v>
      </c>
      <c r="AI184" s="2">
        <v>223.9</v>
      </c>
      <c r="AJ184" s="2">
        <v>228.2</v>
      </c>
      <c r="AK184" s="48" t="s">
        <v>767</v>
      </c>
      <c r="AL184" s="47">
        <f>(29+(20/60))*AF184</f>
        <v>5511.7333333333336</v>
      </c>
    </row>
    <row r="185" spans="1:38" x14ac:dyDescent="0.2">
      <c r="A185" s="2">
        <v>173</v>
      </c>
      <c r="B185" s="2">
        <v>195</v>
      </c>
      <c r="C185" s="2">
        <v>1036</v>
      </c>
      <c r="D185" t="s">
        <v>256</v>
      </c>
      <c r="E185" t="s">
        <v>1256</v>
      </c>
      <c r="F185" t="s">
        <v>1277</v>
      </c>
      <c r="G185" s="2">
        <v>9160</v>
      </c>
      <c r="H185" s="2">
        <v>45.16</v>
      </c>
      <c r="I185" s="15">
        <v>1.613</v>
      </c>
      <c r="J185" s="15">
        <v>1.3480000000000001</v>
      </c>
      <c r="AC185" s="2">
        <v>41.03</v>
      </c>
      <c r="AD185" s="2">
        <v>47.83</v>
      </c>
      <c r="AE185" s="2">
        <v>32.93</v>
      </c>
      <c r="AF185" s="57">
        <v>45.16</v>
      </c>
      <c r="AG185" s="57" t="s">
        <v>773</v>
      </c>
      <c r="AH185" s="57" t="s">
        <v>773</v>
      </c>
      <c r="AI185" s="57" t="s">
        <v>773</v>
      </c>
      <c r="AJ185" s="57" t="s">
        <v>773</v>
      </c>
      <c r="AK185" s="19">
        <v>0.12777777777777777</v>
      </c>
      <c r="AL185" s="8">
        <f>(3+(18/60))*AF185</f>
        <v>149.02799999999999</v>
      </c>
    </row>
    <row r="186" spans="1:38" x14ac:dyDescent="0.2">
      <c r="A186" s="2">
        <v>174</v>
      </c>
      <c r="B186" s="2">
        <v>247</v>
      </c>
      <c r="C186" s="2">
        <v>805</v>
      </c>
      <c r="D186" t="s">
        <v>171</v>
      </c>
      <c r="F186" t="s">
        <v>1237</v>
      </c>
      <c r="H186" s="2">
        <v>75.84</v>
      </c>
      <c r="I186" s="15">
        <v>2.7080000000000002</v>
      </c>
      <c r="J186" s="15">
        <v>2.3889999999999998</v>
      </c>
      <c r="O186" s="57">
        <v>100.63800000000001</v>
      </c>
      <c r="P186" s="57">
        <v>118.482</v>
      </c>
      <c r="Q186" s="57">
        <v>105.55</v>
      </c>
      <c r="R186" s="57">
        <v>92.981999999999999</v>
      </c>
      <c r="S186" s="57">
        <v>92.355000000000004</v>
      </c>
      <c r="T186" s="57">
        <v>90.665000000000006</v>
      </c>
      <c r="U186" s="57">
        <v>100.512</v>
      </c>
      <c r="V186" s="57">
        <v>96.25</v>
      </c>
      <c r="W186" s="57">
        <v>122.75</v>
      </c>
      <c r="X186" s="57">
        <v>121.893</v>
      </c>
      <c r="Y186" s="57">
        <v>137.47499999999999</v>
      </c>
      <c r="Z186" s="57">
        <v>127.738</v>
      </c>
      <c r="AA186" s="57">
        <v>135.14599999999999</v>
      </c>
      <c r="AC186" s="2">
        <v>94.97</v>
      </c>
      <c r="AD186" s="2">
        <v>81.790000000000006</v>
      </c>
      <c r="AE186" s="2">
        <v>70.459999999999994</v>
      </c>
      <c r="AF186" s="2">
        <v>75.84</v>
      </c>
      <c r="AG186" s="14" t="s">
        <v>773</v>
      </c>
      <c r="AH186" s="2">
        <v>70.790000000000006</v>
      </c>
      <c r="AI186" s="14" t="s">
        <v>773</v>
      </c>
      <c r="AJ186" s="14" t="s">
        <v>773</v>
      </c>
      <c r="AK186" s="19">
        <v>5.2083333333333336E-2</v>
      </c>
      <c r="AL186" s="8">
        <f>(1+(15/60))*AH186</f>
        <v>88.487500000000011</v>
      </c>
    </row>
    <row r="187" spans="1:38" x14ac:dyDescent="0.2">
      <c r="A187" s="2">
        <v>175</v>
      </c>
      <c r="B187" s="2">
        <v>236</v>
      </c>
      <c r="C187" s="2">
        <v>1223</v>
      </c>
      <c r="D187" t="s">
        <v>330</v>
      </c>
      <c r="E187" t="s">
        <v>6</v>
      </c>
      <c r="H187" s="2">
        <v>28.25</v>
      </c>
      <c r="I187" s="15">
        <v>1.008</v>
      </c>
      <c r="J187" s="16">
        <v>0.81794999999999995</v>
      </c>
      <c r="AC187" s="2">
        <v>37.409999999999997</v>
      </c>
      <c r="AD187" s="2">
        <v>36.89</v>
      </c>
      <c r="AE187" s="2">
        <v>28.25</v>
      </c>
      <c r="AF187" s="14" t="s">
        <v>773</v>
      </c>
      <c r="AG187" s="14" t="s">
        <v>773</v>
      </c>
      <c r="AH187" s="14" t="s">
        <v>773</v>
      </c>
      <c r="AI187" s="14" t="s">
        <v>773</v>
      </c>
      <c r="AJ187" s="14" t="s">
        <v>773</v>
      </c>
      <c r="AK187" s="19">
        <v>0.27847222222222223</v>
      </c>
      <c r="AL187" s="8">
        <f>(6+(41/60))*AE187</f>
        <v>188.80416666666667</v>
      </c>
    </row>
    <row r="188" spans="1:38" x14ac:dyDescent="0.2">
      <c r="A188" s="2">
        <v>176</v>
      </c>
      <c r="B188" s="2">
        <v>178</v>
      </c>
      <c r="C188" s="2">
        <v>793</v>
      </c>
      <c r="D188" t="s">
        <v>243</v>
      </c>
      <c r="F188" t="s">
        <v>1264</v>
      </c>
      <c r="H188" s="2">
        <v>50.29</v>
      </c>
      <c r="I188" s="15">
        <v>1.796</v>
      </c>
      <c r="J188" s="15">
        <v>1.2989999999999999</v>
      </c>
      <c r="AC188" s="2">
        <v>45.37</v>
      </c>
      <c r="AD188" s="2">
        <v>49.22</v>
      </c>
      <c r="AE188" s="2">
        <v>43.69</v>
      </c>
      <c r="AF188" s="57">
        <v>50.29</v>
      </c>
      <c r="AG188" s="57" t="s">
        <v>773</v>
      </c>
      <c r="AH188" s="57">
        <v>51.73</v>
      </c>
      <c r="AI188" s="57" t="s">
        <v>773</v>
      </c>
      <c r="AJ188" s="57" t="s">
        <v>773</v>
      </c>
      <c r="AK188" s="19">
        <v>0.26527777777777778</v>
      </c>
      <c r="AL188" s="8">
        <f>(6+(22/60))*AH188</f>
        <v>329.34766666666661</v>
      </c>
    </row>
    <row r="189" spans="1:38" x14ac:dyDescent="0.2">
      <c r="A189" s="2">
        <v>177</v>
      </c>
      <c r="B189" s="2">
        <v>203</v>
      </c>
      <c r="C189" s="2">
        <v>1055</v>
      </c>
      <c r="D189" t="s">
        <v>272</v>
      </c>
      <c r="E189" t="s">
        <v>518</v>
      </c>
      <c r="G189" s="2">
        <v>433560</v>
      </c>
      <c r="H189" s="2">
        <v>38.22</v>
      </c>
      <c r="I189" s="15">
        <v>1.365</v>
      </c>
      <c r="J189" s="15">
        <v>1.141</v>
      </c>
      <c r="AC189" s="2">
        <v>41.71</v>
      </c>
      <c r="AD189" s="2">
        <v>38.71</v>
      </c>
      <c r="AE189" s="2">
        <v>37</v>
      </c>
      <c r="AF189" s="2">
        <v>38.22</v>
      </c>
      <c r="AG189" s="14" t="s">
        <v>773</v>
      </c>
      <c r="AH189" s="14" t="s">
        <v>773</v>
      </c>
      <c r="AI189" s="14" t="s">
        <v>773</v>
      </c>
      <c r="AJ189" s="14" t="s">
        <v>773</v>
      </c>
      <c r="AK189" s="19">
        <v>0.18472222222222223</v>
      </c>
      <c r="AL189" s="8">
        <f>(4+(26/60))*AF189</f>
        <v>169.44200000000001</v>
      </c>
    </row>
    <row r="190" spans="1:38" x14ac:dyDescent="0.2">
      <c r="A190" s="2">
        <v>180</v>
      </c>
      <c r="B190" s="2">
        <v>178</v>
      </c>
      <c r="C190" s="2">
        <v>202</v>
      </c>
      <c r="D190" t="s">
        <v>497</v>
      </c>
      <c r="J190" s="15"/>
      <c r="AC190" s="2">
        <v>64.319999999999993</v>
      </c>
      <c r="AD190" s="2" t="s">
        <v>773</v>
      </c>
      <c r="AE190" s="2" t="s">
        <v>773</v>
      </c>
      <c r="AF190" s="2" t="s">
        <v>773</v>
      </c>
      <c r="AG190" s="14" t="s">
        <v>773</v>
      </c>
      <c r="AH190" s="14" t="s">
        <v>773</v>
      </c>
      <c r="AI190" s="14" t="s">
        <v>773</v>
      </c>
      <c r="AJ190" s="14" t="s">
        <v>773</v>
      </c>
      <c r="AK190" s="19">
        <v>0.44374999999999998</v>
      </c>
      <c r="AL190" s="8">
        <f>(10+(39/60))*AC190</f>
        <v>685.00799999999992</v>
      </c>
    </row>
    <row r="191" spans="1:38" x14ac:dyDescent="0.2">
      <c r="A191" s="2">
        <v>179</v>
      </c>
      <c r="B191" s="2">
        <v>231</v>
      </c>
      <c r="C191" s="2">
        <v>744</v>
      </c>
      <c r="D191" t="s">
        <v>253</v>
      </c>
      <c r="H191" s="2">
        <v>62.25</v>
      </c>
      <c r="I191" s="15">
        <v>2.2229999999999999</v>
      </c>
      <c r="J191" s="15">
        <v>1.978</v>
      </c>
      <c r="AC191" s="2">
        <v>71.930000000000007</v>
      </c>
      <c r="AD191" s="2">
        <v>88.27</v>
      </c>
      <c r="AE191" s="2">
        <v>68.06</v>
      </c>
      <c r="AF191" s="57">
        <v>62.25</v>
      </c>
      <c r="AG191" s="57" t="s">
        <v>773</v>
      </c>
      <c r="AH191" s="57">
        <v>60.97</v>
      </c>
      <c r="AI191" s="57" t="s">
        <v>773</v>
      </c>
      <c r="AJ191" s="57" t="s">
        <v>773</v>
      </c>
      <c r="AK191" s="19">
        <v>9.8611111111111108E-2</v>
      </c>
      <c r="AL191" s="8">
        <f>(2+(22/60))*AH191</f>
        <v>144.29566666666668</v>
      </c>
    </row>
    <row r="192" spans="1:38" x14ac:dyDescent="0.2">
      <c r="A192" s="2">
        <v>180</v>
      </c>
      <c r="B192" s="2">
        <v>164</v>
      </c>
      <c r="C192" s="2">
        <v>768</v>
      </c>
      <c r="D192" t="s">
        <v>320</v>
      </c>
      <c r="H192" s="2">
        <v>30.28</v>
      </c>
      <c r="I192" s="15">
        <v>1.081</v>
      </c>
      <c r="J192" s="15">
        <v>0.65577300000000005</v>
      </c>
      <c r="AC192" s="2">
        <v>24.65</v>
      </c>
      <c r="AD192" s="2">
        <v>28.82</v>
      </c>
      <c r="AE192" s="2">
        <v>27.41</v>
      </c>
      <c r="AF192" s="2">
        <v>30.28</v>
      </c>
      <c r="AG192" s="14" t="s">
        <v>773</v>
      </c>
      <c r="AH192" s="14" t="s">
        <v>773</v>
      </c>
      <c r="AI192" s="14" t="s">
        <v>773</v>
      </c>
      <c r="AJ192" s="14" t="s">
        <v>773</v>
      </c>
      <c r="AK192" s="19">
        <v>0.52986111111111112</v>
      </c>
      <c r="AL192" s="8">
        <f>(12+(43/60))*AF192</f>
        <v>385.06066666666669</v>
      </c>
    </row>
    <row r="193" spans="1:38" x14ac:dyDescent="0.2">
      <c r="A193" s="2">
        <v>181</v>
      </c>
      <c r="B193" s="2">
        <v>183</v>
      </c>
      <c r="C193" s="2">
        <v>883</v>
      </c>
      <c r="D193" t="s">
        <v>222</v>
      </c>
      <c r="H193" s="2">
        <v>47.06</v>
      </c>
      <c r="I193" s="15">
        <v>1.6120000000000001</v>
      </c>
      <c r="J193" s="15">
        <v>1.23</v>
      </c>
      <c r="K193" s="2">
        <v>17.84</v>
      </c>
      <c r="AC193" s="2">
        <v>42.94</v>
      </c>
      <c r="AD193" s="2">
        <v>41.25</v>
      </c>
      <c r="AE193" s="2">
        <v>44.97</v>
      </c>
      <c r="AF193" s="2">
        <v>45.78</v>
      </c>
      <c r="AG193" s="2" t="s">
        <v>773</v>
      </c>
      <c r="AH193" s="2">
        <v>43.96</v>
      </c>
      <c r="AI193" s="2" t="s">
        <v>773</v>
      </c>
      <c r="AJ193" s="2" t="s">
        <v>773</v>
      </c>
      <c r="AK193" s="19">
        <v>0.21944444444444444</v>
      </c>
      <c r="AL193" s="8">
        <f>(5+(16/60))*AH193</f>
        <v>231.52266666666668</v>
      </c>
    </row>
    <row r="194" spans="1:38" x14ac:dyDescent="0.2">
      <c r="A194" s="2">
        <v>182</v>
      </c>
      <c r="B194" s="2">
        <v>159</v>
      </c>
      <c r="C194" s="2">
        <v>132</v>
      </c>
      <c r="D194" t="s">
        <v>130</v>
      </c>
      <c r="E194" t="s">
        <v>692</v>
      </c>
      <c r="F194" t="s">
        <v>1237</v>
      </c>
      <c r="G194" s="2">
        <v>1000</v>
      </c>
      <c r="H194" s="2">
        <v>334.5</v>
      </c>
      <c r="I194" s="15">
        <v>11.56</v>
      </c>
      <c r="J194" s="15">
        <v>7.0970000000000004</v>
      </c>
      <c r="O194" s="1">
        <v>557</v>
      </c>
      <c r="P194" s="1">
        <v>565</v>
      </c>
      <c r="Q194" s="1">
        <v>550</v>
      </c>
      <c r="R194" s="1">
        <v>592</v>
      </c>
      <c r="S194" s="1">
        <v>532</v>
      </c>
      <c r="T194" s="1">
        <v>498</v>
      </c>
      <c r="U194" s="1">
        <v>589</v>
      </c>
      <c r="V194" s="1">
        <v>570</v>
      </c>
      <c r="W194" s="1">
        <v>635</v>
      </c>
      <c r="X194" s="1">
        <v>626</v>
      </c>
      <c r="Y194" s="1">
        <v>679</v>
      </c>
      <c r="Z194" s="1">
        <v>624</v>
      </c>
      <c r="AA194" s="1">
        <v>696</v>
      </c>
      <c r="AC194" s="2">
        <v>328.1</v>
      </c>
      <c r="AD194" s="2">
        <v>316.5</v>
      </c>
      <c r="AE194" s="2">
        <v>334.5</v>
      </c>
      <c r="AF194" s="2">
        <v>323.8</v>
      </c>
      <c r="AG194" s="14" t="s">
        <v>773</v>
      </c>
      <c r="AH194" s="2">
        <v>323.10000000000002</v>
      </c>
      <c r="AI194" s="2" t="s">
        <v>773</v>
      </c>
      <c r="AJ194" s="2" t="s">
        <v>773</v>
      </c>
      <c r="AK194" s="19">
        <v>0.19166666666666665</v>
      </c>
      <c r="AL194" s="60">
        <f>(4+(36/60))*AH194</f>
        <v>1486.26</v>
      </c>
    </row>
    <row r="195" spans="1:38" x14ac:dyDescent="0.2">
      <c r="A195" s="2">
        <v>183</v>
      </c>
      <c r="B195" s="2">
        <v>197</v>
      </c>
      <c r="C195" s="2">
        <v>1034</v>
      </c>
      <c r="D195" t="s">
        <v>371</v>
      </c>
      <c r="AC195" s="2">
        <v>29.4</v>
      </c>
      <c r="AD195" s="2" t="s">
        <v>773</v>
      </c>
      <c r="AE195" s="2" t="s">
        <v>773</v>
      </c>
      <c r="AF195" s="14" t="s">
        <v>773</v>
      </c>
      <c r="AG195" s="14" t="s">
        <v>773</v>
      </c>
      <c r="AH195" s="14" t="s">
        <v>773</v>
      </c>
      <c r="AI195" s="14" t="s">
        <v>773</v>
      </c>
      <c r="AJ195" s="57" t="s">
        <v>773</v>
      </c>
      <c r="AK195" s="19">
        <v>0.19722222222222222</v>
      </c>
      <c r="AL195" s="8">
        <f>(4+(44/60))*AC195</f>
        <v>139.16</v>
      </c>
    </row>
    <row r="196" spans="1:38" x14ac:dyDescent="0.2">
      <c r="A196" s="2">
        <v>184</v>
      </c>
      <c r="B196" s="2">
        <v>150</v>
      </c>
      <c r="C196" s="2">
        <v>736</v>
      </c>
      <c r="D196" t="s">
        <v>326</v>
      </c>
      <c r="F196" t="s">
        <v>1301</v>
      </c>
      <c r="H196" s="2">
        <v>36.590000000000003</v>
      </c>
      <c r="I196" s="15">
        <v>1.306</v>
      </c>
      <c r="J196" s="15">
        <v>1.0720000000000001</v>
      </c>
      <c r="AC196" s="2">
        <v>36.97</v>
      </c>
      <c r="AD196" s="2">
        <v>36.46</v>
      </c>
      <c r="AE196" s="2">
        <v>36.590000000000003</v>
      </c>
      <c r="AF196" s="14" t="s">
        <v>773</v>
      </c>
      <c r="AG196" s="14" t="s">
        <v>773</v>
      </c>
      <c r="AH196" s="14" t="s">
        <v>773</v>
      </c>
      <c r="AI196" s="14" t="s">
        <v>773</v>
      </c>
      <c r="AJ196" s="14" t="s">
        <v>773</v>
      </c>
      <c r="AK196" s="22" t="s">
        <v>1300</v>
      </c>
      <c r="AL196" s="8">
        <f>(6+(8/60))*AE196</f>
        <v>224.4186666666667</v>
      </c>
    </row>
    <row r="197" spans="1:38" x14ac:dyDescent="0.2">
      <c r="A197" s="2">
        <v>185</v>
      </c>
      <c r="B197" s="2">
        <v>301</v>
      </c>
      <c r="C197" s="2">
        <v>442</v>
      </c>
      <c r="D197" t="s">
        <v>259</v>
      </c>
      <c r="H197" s="2">
        <v>106.8</v>
      </c>
      <c r="I197" s="15">
        <v>3.8140000000000001</v>
      </c>
      <c r="J197" s="15">
        <v>2.1539999999999999</v>
      </c>
      <c r="AC197" s="2">
        <v>134</v>
      </c>
      <c r="AD197" s="2">
        <v>110</v>
      </c>
      <c r="AE197" s="2">
        <v>94.14</v>
      </c>
      <c r="AF197" s="2">
        <v>106.8</v>
      </c>
      <c r="AG197" s="14" t="s">
        <v>773</v>
      </c>
      <c r="AH197" s="14" t="s">
        <v>773</v>
      </c>
      <c r="AI197" s="14" t="s">
        <v>773</v>
      </c>
      <c r="AJ197" s="14" t="s">
        <v>773</v>
      </c>
      <c r="AK197" s="19">
        <v>0.4513888888888889</v>
      </c>
      <c r="AL197" s="8">
        <f>(10+(50/60))*AF197</f>
        <v>1157</v>
      </c>
    </row>
    <row r="198" spans="1:38" x14ac:dyDescent="0.2">
      <c r="A198" s="2">
        <v>186</v>
      </c>
      <c r="B198" s="2">
        <v>198</v>
      </c>
      <c r="C198" s="2">
        <v>346</v>
      </c>
      <c r="D198" t="s">
        <v>169</v>
      </c>
      <c r="E198" t="s">
        <v>697</v>
      </c>
      <c r="G198" s="2">
        <v>1000</v>
      </c>
      <c r="H198" s="2">
        <v>114.4</v>
      </c>
      <c r="I198" s="15">
        <v>4.0880000000000001</v>
      </c>
      <c r="J198" s="15">
        <v>3.202</v>
      </c>
      <c r="AC198" s="2">
        <v>97.96</v>
      </c>
      <c r="AD198" s="2">
        <v>120.5</v>
      </c>
      <c r="AE198" s="2">
        <v>100.5</v>
      </c>
      <c r="AF198" s="2">
        <v>114.4</v>
      </c>
      <c r="AG198" s="14" t="s">
        <v>773</v>
      </c>
      <c r="AH198" s="2">
        <v>124</v>
      </c>
      <c r="AI198" s="14" t="s">
        <v>773</v>
      </c>
      <c r="AJ198" s="14" t="s">
        <v>773</v>
      </c>
      <c r="AK198" s="19">
        <v>0.13958333333333334</v>
      </c>
      <c r="AL198" s="8">
        <f>(3+(21/60))*AH198</f>
        <v>415.40000000000003</v>
      </c>
    </row>
    <row r="199" spans="1:38" x14ac:dyDescent="0.2">
      <c r="A199" s="2">
        <v>187</v>
      </c>
      <c r="B199" s="2">
        <v>195</v>
      </c>
      <c r="C199" s="2">
        <v>926</v>
      </c>
      <c r="D199" t="s">
        <v>208</v>
      </c>
      <c r="E199" t="s">
        <v>764</v>
      </c>
      <c r="F199" t="s">
        <v>1279</v>
      </c>
      <c r="G199" s="2">
        <v>3130</v>
      </c>
      <c r="H199" s="2">
        <v>55.32</v>
      </c>
      <c r="I199" s="15">
        <v>1.9750000000000001</v>
      </c>
      <c r="J199" s="15">
        <v>1.6339999999999999</v>
      </c>
      <c r="AC199" s="2">
        <v>48.81</v>
      </c>
      <c r="AD199" s="2">
        <v>60.85</v>
      </c>
      <c r="AE199" s="2">
        <v>44.38</v>
      </c>
      <c r="AF199" s="2">
        <v>55.32</v>
      </c>
      <c r="AG199" s="14" t="s">
        <v>773</v>
      </c>
      <c r="AH199" s="2">
        <v>49.3</v>
      </c>
      <c r="AI199" s="14" t="s">
        <v>773</v>
      </c>
      <c r="AJ199" s="14" t="s">
        <v>773</v>
      </c>
      <c r="AK199" s="19">
        <v>0.15972222222222224</v>
      </c>
      <c r="AL199" s="8">
        <f>(3+(50/60))*AH199</f>
        <v>188.98333333333332</v>
      </c>
    </row>
    <row r="200" spans="1:38" x14ac:dyDescent="0.2">
      <c r="A200" s="2">
        <v>188</v>
      </c>
      <c r="B200" s="2">
        <v>260</v>
      </c>
      <c r="C200" s="2">
        <v>144</v>
      </c>
      <c r="D200" t="s">
        <v>354</v>
      </c>
      <c r="F200" t="s">
        <v>1322</v>
      </c>
      <c r="H200" s="2">
        <v>175.4</v>
      </c>
      <c r="I200" s="15">
        <v>6.266</v>
      </c>
      <c r="J200" s="15">
        <v>4.8339999999999996</v>
      </c>
      <c r="O200" s="8">
        <v>280.62660699999998</v>
      </c>
      <c r="P200" s="8">
        <v>274.49006600000001</v>
      </c>
      <c r="Q200" s="8">
        <v>288.77091899999999</v>
      </c>
      <c r="R200" s="8">
        <v>277.75673499999999</v>
      </c>
      <c r="S200" s="8">
        <v>250.98085499999999</v>
      </c>
      <c r="T200" s="8">
        <v>262.24222800000001</v>
      </c>
      <c r="U200" s="8">
        <v>261.917464</v>
      </c>
      <c r="V200" s="8">
        <v>230.457605</v>
      </c>
      <c r="W200" s="8">
        <v>256.11132300000003</v>
      </c>
      <c r="X200" s="8">
        <v>279.44894900000003</v>
      </c>
      <c r="Y200" s="8">
        <v>300.89097800000002</v>
      </c>
      <c r="Z200" s="8">
        <v>282.78737799999999</v>
      </c>
      <c r="AA200" s="8">
        <v>314.79237599999999</v>
      </c>
      <c r="AC200" s="2">
        <v>196.5</v>
      </c>
      <c r="AD200" s="2">
        <v>191</v>
      </c>
      <c r="AE200" s="2">
        <v>175.4</v>
      </c>
      <c r="AF200" s="14" t="s">
        <v>773</v>
      </c>
      <c r="AG200" s="14" t="s">
        <v>773</v>
      </c>
      <c r="AH200" s="14" t="s">
        <v>773</v>
      </c>
      <c r="AI200" s="14" t="s">
        <v>773</v>
      </c>
      <c r="AJ200" s="14" t="s">
        <v>773</v>
      </c>
      <c r="AK200" s="19">
        <v>0.23958333333333334</v>
      </c>
      <c r="AL200" s="8">
        <f>(5+(45/60))*AE200</f>
        <v>1008.5500000000001</v>
      </c>
    </row>
    <row r="201" spans="1:38" x14ac:dyDescent="0.2">
      <c r="A201" s="2">
        <v>189</v>
      </c>
      <c r="B201" s="2">
        <v>193</v>
      </c>
      <c r="C201" s="2">
        <v>673</v>
      </c>
      <c r="D201" t="s">
        <v>310</v>
      </c>
      <c r="H201" s="2">
        <v>44.68</v>
      </c>
      <c r="I201" s="15">
        <v>1.595</v>
      </c>
      <c r="J201" s="15">
        <v>1.0349999999999999</v>
      </c>
      <c r="AC201" s="2">
        <v>49.38</v>
      </c>
      <c r="AD201" s="2">
        <v>41.92</v>
      </c>
      <c r="AE201" s="2">
        <v>44.76</v>
      </c>
      <c r="AF201" s="2">
        <v>44.68</v>
      </c>
      <c r="AG201" s="14" t="s">
        <v>773</v>
      </c>
      <c r="AH201" s="14" t="s">
        <v>773</v>
      </c>
      <c r="AI201" s="14" t="s">
        <v>773</v>
      </c>
      <c r="AJ201" s="14" t="s">
        <v>773</v>
      </c>
      <c r="AK201" s="19">
        <v>0.3347222222222222</v>
      </c>
      <c r="AL201" s="8">
        <f>(8+(2/60))*AF201</f>
        <v>358.92933333333332</v>
      </c>
    </row>
    <row r="202" spans="1:38" x14ac:dyDescent="0.2">
      <c r="A202" s="2">
        <v>190</v>
      </c>
      <c r="B202" s="2">
        <v>187</v>
      </c>
      <c r="C202" s="2">
        <v>879</v>
      </c>
      <c r="D202" t="s">
        <v>185</v>
      </c>
      <c r="H202" s="2">
        <v>60.43</v>
      </c>
      <c r="I202" s="15">
        <v>2.1579999999999999</v>
      </c>
      <c r="J202" s="15">
        <v>1.2989999999999999</v>
      </c>
      <c r="AC202" s="2">
        <v>70.459999999999994</v>
      </c>
      <c r="AD202" s="2">
        <v>55.22</v>
      </c>
      <c r="AE202" s="2">
        <v>48.2</v>
      </c>
      <c r="AF202" s="2">
        <v>60.43</v>
      </c>
      <c r="AG202" s="14" t="s">
        <v>773</v>
      </c>
      <c r="AH202" s="2">
        <v>63.08</v>
      </c>
      <c r="AI202" s="14" t="s">
        <v>773</v>
      </c>
      <c r="AJ202" s="14" t="s">
        <v>773</v>
      </c>
      <c r="AK202" s="19">
        <v>0.13263888888888889</v>
      </c>
      <c r="AL202" s="8">
        <f>(3+(11/60))*AH202</f>
        <v>200.80466666666663</v>
      </c>
    </row>
    <row r="203" spans="1:38" s="3" customFormat="1" x14ac:dyDescent="0.2">
      <c r="A203" s="4">
        <v>191</v>
      </c>
      <c r="B203" s="4">
        <v>154</v>
      </c>
      <c r="C203" s="4">
        <v>607</v>
      </c>
      <c r="D203" s="3" t="s">
        <v>145</v>
      </c>
      <c r="E203" s="3" t="s">
        <v>675</v>
      </c>
      <c r="G203" s="4">
        <v>10490</v>
      </c>
      <c r="H203" s="4">
        <v>88.58</v>
      </c>
      <c r="I203" s="16">
        <v>3.1930000000000001</v>
      </c>
      <c r="J203" s="16">
        <v>2.23</v>
      </c>
      <c r="K203" s="4">
        <v>32.67</v>
      </c>
      <c r="L203" s="9"/>
      <c r="M203" s="9"/>
      <c r="N203" s="9"/>
      <c r="O203" s="58">
        <v>112.649511</v>
      </c>
      <c r="P203" s="58">
        <v>109.596</v>
      </c>
      <c r="Q203" s="58">
        <v>111.925</v>
      </c>
      <c r="R203" s="58">
        <v>122.821</v>
      </c>
      <c r="S203" s="58">
        <v>99.046999999999997</v>
      </c>
      <c r="T203" s="58">
        <v>93.566000000000003</v>
      </c>
      <c r="U203" s="58">
        <v>108.94</v>
      </c>
      <c r="V203" s="58">
        <v>113.532</v>
      </c>
      <c r="W203" s="58">
        <v>130.61699999999999</v>
      </c>
      <c r="X203" s="58">
        <v>132.834</v>
      </c>
      <c r="Y203" s="58">
        <v>148.345</v>
      </c>
      <c r="Z203" s="58">
        <v>128.23099999999999</v>
      </c>
      <c r="AA203" s="58">
        <v>137.738</v>
      </c>
      <c r="AB203" s="9"/>
      <c r="AC203" s="4">
        <v>81.150000000000006</v>
      </c>
      <c r="AD203" s="4">
        <v>81.42</v>
      </c>
      <c r="AE203" s="4">
        <v>89.42</v>
      </c>
      <c r="AF203" s="4">
        <v>78.86</v>
      </c>
      <c r="AG203" s="46" t="s">
        <v>773</v>
      </c>
      <c r="AH203" s="4">
        <v>80.77</v>
      </c>
      <c r="AI203" s="46" t="s">
        <v>773</v>
      </c>
      <c r="AJ203" s="46" t="s">
        <v>773</v>
      </c>
      <c r="AK203" s="23">
        <v>0.11527777777777777</v>
      </c>
      <c r="AL203" s="66">
        <f>(2+(45/60))*AH203</f>
        <v>222.11749999999998</v>
      </c>
    </row>
    <row r="204" spans="1:38" x14ac:dyDescent="0.2">
      <c r="A204" s="2">
        <v>192</v>
      </c>
      <c r="B204" s="2">
        <v>212</v>
      </c>
      <c r="C204" s="2">
        <v>1154</v>
      </c>
      <c r="D204" t="s">
        <v>268</v>
      </c>
      <c r="F204" t="s">
        <v>1268</v>
      </c>
      <c r="H204" s="2">
        <v>36.840000000000003</v>
      </c>
      <c r="I204" s="15">
        <v>1.3149999999999999</v>
      </c>
      <c r="J204" s="15">
        <v>1.085</v>
      </c>
      <c r="AC204" s="2">
        <v>41.95</v>
      </c>
      <c r="AD204" s="2">
        <v>41.06</v>
      </c>
      <c r="AE204" s="2">
        <v>35.119999999999997</v>
      </c>
      <c r="AF204" s="2">
        <v>36.840000000000003</v>
      </c>
      <c r="AG204" s="14" t="s">
        <v>773</v>
      </c>
      <c r="AH204" s="14" t="s">
        <v>773</v>
      </c>
      <c r="AI204" s="14" t="s">
        <v>773</v>
      </c>
      <c r="AJ204" s="14" t="s">
        <v>773</v>
      </c>
      <c r="AK204" s="19">
        <v>0.13750000000000001</v>
      </c>
      <c r="AL204" s="8">
        <f>(3+(18/60))*AF204</f>
        <v>121.572</v>
      </c>
    </row>
    <row r="205" spans="1:38" s="3" customFormat="1" x14ac:dyDescent="0.2">
      <c r="A205" s="4">
        <v>193</v>
      </c>
      <c r="B205" s="2">
        <v>583</v>
      </c>
      <c r="C205" s="4">
        <v>1139</v>
      </c>
      <c r="D205" s="3" t="s">
        <v>335</v>
      </c>
      <c r="E205" s="3" t="s">
        <v>6</v>
      </c>
      <c r="G205" s="4">
        <v>17000</v>
      </c>
      <c r="H205" s="4">
        <v>31.67</v>
      </c>
      <c r="I205" s="16">
        <v>1.131</v>
      </c>
      <c r="J205" s="16">
        <v>0.81256399999999995</v>
      </c>
      <c r="K205" s="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4">
        <v>32.43</v>
      </c>
      <c r="AD205" s="4">
        <v>29.81</v>
      </c>
      <c r="AE205" s="4">
        <v>31.67</v>
      </c>
      <c r="AF205" s="46" t="s">
        <v>773</v>
      </c>
      <c r="AG205" s="46" t="s">
        <v>773</v>
      </c>
      <c r="AH205" s="46" t="s">
        <v>773</v>
      </c>
      <c r="AI205" s="46" t="s">
        <v>773</v>
      </c>
      <c r="AJ205" s="46" t="s">
        <v>773</v>
      </c>
      <c r="AK205" s="23">
        <v>0.23611111111111113</v>
      </c>
      <c r="AL205" s="47">
        <f>(5+(40/60))*AE205</f>
        <v>179.46333333333334</v>
      </c>
    </row>
    <row r="206" spans="1:38" x14ac:dyDescent="0.2">
      <c r="A206" s="2">
        <v>194</v>
      </c>
      <c r="B206" s="2">
        <v>80</v>
      </c>
      <c r="C206" s="2">
        <v>229</v>
      </c>
      <c r="D206" t="s">
        <v>109</v>
      </c>
      <c r="E206" t="s">
        <v>6</v>
      </c>
      <c r="G206" s="2">
        <v>1000</v>
      </c>
      <c r="H206" s="2">
        <v>59.52</v>
      </c>
      <c r="I206" s="15">
        <v>2.125</v>
      </c>
      <c r="J206" s="15">
        <v>1.4730000000000001</v>
      </c>
      <c r="O206" s="8">
        <v>194.63430299999999</v>
      </c>
      <c r="P206" s="8">
        <v>156.99919600000001</v>
      </c>
      <c r="Q206" s="8">
        <v>190.84485799999999</v>
      </c>
      <c r="R206" s="8">
        <v>224.53801300000001</v>
      </c>
      <c r="S206" s="8">
        <v>202.888891</v>
      </c>
      <c r="T206" s="8">
        <v>93.772175000000004</v>
      </c>
      <c r="U206" s="8">
        <v>95.385189999999994</v>
      </c>
      <c r="V206" s="8">
        <v>128.06653600000001</v>
      </c>
      <c r="W206" s="8">
        <v>205.10315499999999</v>
      </c>
      <c r="X206" s="8">
        <v>239.91977399999999</v>
      </c>
      <c r="Y206" s="8">
        <v>268.90763399999997</v>
      </c>
      <c r="Z206" s="8">
        <v>268.52858300000003</v>
      </c>
      <c r="AA206" s="8">
        <v>183.174117</v>
      </c>
      <c r="AC206" s="2">
        <v>54.21</v>
      </c>
      <c r="AD206" s="2">
        <v>67.78</v>
      </c>
      <c r="AE206" s="2">
        <v>152</v>
      </c>
      <c r="AF206" s="2">
        <v>59.52</v>
      </c>
      <c r="AG206" s="14" t="s">
        <v>773</v>
      </c>
      <c r="AH206" s="2">
        <v>66.430000000000007</v>
      </c>
      <c r="AI206" s="2" t="s">
        <v>773</v>
      </c>
      <c r="AJ206" s="2" t="s">
        <v>773</v>
      </c>
      <c r="AK206" s="19">
        <v>0.31944444444444448</v>
      </c>
      <c r="AL206" s="8">
        <f>(7+(40/60))*AH206</f>
        <v>509.29666666666674</v>
      </c>
    </row>
    <row r="207" spans="1:38" x14ac:dyDescent="0.2">
      <c r="A207" s="2">
        <v>195</v>
      </c>
      <c r="B207" s="2">
        <v>355</v>
      </c>
      <c r="C207" s="2">
        <v>528</v>
      </c>
      <c r="D207" t="s">
        <v>305</v>
      </c>
      <c r="E207" t="s">
        <v>535</v>
      </c>
      <c r="F207" t="s">
        <v>1292</v>
      </c>
      <c r="G207" s="2">
        <v>3000000</v>
      </c>
      <c r="H207" s="2">
        <v>87.47</v>
      </c>
      <c r="I207" s="15">
        <v>3.1240000000000001</v>
      </c>
      <c r="J207" s="15">
        <v>2.1869999999999998</v>
      </c>
      <c r="AC207" s="2">
        <v>96.09</v>
      </c>
      <c r="AD207" s="2">
        <v>87.04</v>
      </c>
      <c r="AE207" s="2">
        <v>87.26</v>
      </c>
      <c r="AF207" s="2">
        <v>87.47</v>
      </c>
      <c r="AG207" s="14" t="s">
        <v>773</v>
      </c>
      <c r="AH207" s="14" t="s">
        <v>773</v>
      </c>
      <c r="AI207" s="14" t="s">
        <v>773</v>
      </c>
      <c r="AJ207" s="14" t="s">
        <v>773</v>
      </c>
      <c r="AK207" s="19">
        <v>0.17013888888888887</v>
      </c>
      <c r="AL207" s="8">
        <f>(4+(5/60))*AF207</f>
        <v>357.16916666666663</v>
      </c>
    </row>
    <row r="208" spans="1:38" x14ac:dyDescent="0.2">
      <c r="A208" s="2">
        <v>196</v>
      </c>
      <c r="B208" s="2">
        <v>200</v>
      </c>
      <c r="C208" s="2">
        <v>1012</v>
      </c>
      <c r="D208" t="s">
        <v>108</v>
      </c>
      <c r="E208" t="s">
        <v>540</v>
      </c>
      <c r="G208" s="2">
        <v>0</v>
      </c>
      <c r="H208" s="2">
        <v>35.979999999999997</v>
      </c>
      <c r="I208" s="15">
        <v>1.2849999999999999</v>
      </c>
      <c r="J208" s="15">
        <v>1.077</v>
      </c>
      <c r="M208" s="1" t="s">
        <v>11</v>
      </c>
      <c r="AC208" s="2">
        <v>31.23</v>
      </c>
      <c r="AD208" s="2">
        <v>43.42</v>
      </c>
      <c r="AE208" s="2">
        <v>39.200000000000003</v>
      </c>
      <c r="AF208" s="2">
        <v>35.979999999999997</v>
      </c>
      <c r="AG208" s="14" t="s">
        <v>773</v>
      </c>
      <c r="AH208" s="2">
        <v>37.85</v>
      </c>
      <c r="AI208" s="2" t="s">
        <v>773</v>
      </c>
      <c r="AJ208" s="2" t="s">
        <v>773</v>
      </c>
      <c r="AK208" s="19">
        <v>0.19791666666666666</v>
      </c>
      <c r="AL208" s="8">
        <f>(4+(45/60))*AH208</f>
        <v>179.78749999999999</v>
      </c>
    </row>
    <row r="209" spans="1:45" x14ac:dyDescent="0.2">
      <c r="A209" s="2">
        <v>197</v>
      </c>
      <c r="B209" s="2">
        <v>218</v>
      </c>
      <c r="C209" s="2">
        <v>1077</v>
      </c>
      <c r="D209" t="s">
        <v>281</v>
      </c>
      <c r="H209" s="2">
        <v>38.11</v>
      </c>
      <c r="I209" s="15">
        <v>1.361</v>
      </c>
      <c r="J209" s="15">
        <v>0.98093799999999998</v>
      </c>
      <c r="AC209" s="2">
        <v>35.15</v>
      </c>
      <c r="AD209" s="2">
        <v>42.43</v>
      </c>
      <c r="AE209" s="2">
        <v>39.71</v>
      </c>
      <c r="AF209" s="2">
        <v>38.11</v>
      </c>
      <c r="AG209" s="14" t="s">
        <v>773</v>
      </c>
      <c r="AH209" s="14" t="s">
        <v>773</v>
      </c>
      <c r="AI209" s="14" t="s">
        <v>773</v>
      </c>
      <c r="AJ209" s="14" t="s">
        <v>773</v>
      </c>
      <c r="AK209" s="19">
        <v>0.31388888888888888</v>
      </c>
      <c r="AL209" s="8">
        <f>(7+(32/60))*AF209</f>
        <v>287.09533333333331</v>
      </c>
    </row>
    <row r="210" spans="1:45" x14ac:dyDescent="0.2">
      <c r="A210" s="2">
        <v>198</v>
      </c>
      <c r="B210" s="2">
        <v>214</v>
      </c>
      <c r="C210" s="2">
        <v>406</v>
      </c>
      <c r="D210" t="s">
        <v>209</v>
      </c>
      <c r="E210" t="s">
        <v>2</v>
      </c>
      <c r="G210" s="2">
        <v>1000000</v>
      </c>
      <c r="H210" s="2">
        <v>95.83</v>
      </c>
      <c r="I210" s="15">
        <v>3.4220000000000002</v>
      </c>
      <c r="J210" s="15">
        <v>2.5750000000000002</v>
      </c>
      <c r="AC210" s="2">
        <v>79.900000000000006</v>
      </c>
      <c r="AD210" s="2">
        <v>112.4</v>
      </c>
      <c r="AE210" s="2">
        <v>87.02</v>
      </c>
      <c r="AF210" s="2">
        <v>95.83</v>
      </c>
      <c r="AG210" s="2" t="s">
        <v>773</v>
      </c>
      <c r="AH210" s="2">
        <v>100.3</v>
      </c>
      <c r="AI210" s="2" t="s">
        <v>773</v>
      </c>
      <c r="AJ210" s="2" t="s">
        <v>773</v>
      </c>
      <c r="AK210" s="19">
        <v>0.18472222222222223</v>
      </c>
      <c r="AL210" s="8">
        <f>(4+(26/60))*AH210</f>
        <v>444.66333333333336</v>
      </c>
    </row>
    <row r="211" spans="1:45" x14ac:dyDescent="0.2">
      <c r="A211" s="2">
        <v>199</v>
      </c>
      <c r="B211" s="2">
        <v>248</v>
      </c>
      <c r="C211" s="2">
        <v>465</v>
      </c>
      <c r="D211" t="s">
        <v>288</v>
      </c>
      <c r="E211" t="s">
        <v>563</v>
      </c>
      <c r="F211" t="s">
        <v>1276</v>
      </c>
      <c r="G211" s="2">
        <v>200000</v>
      </c>
      <c r="H211" s="2">
        <v>80.180000000000007</v>
      </c>
      <c r="I211" s="15">
        <v>2.863</v>
      </c>
      <c r="J211" s="15">
        <v>1.5289999999999999</v>
      </c>
      <c r="AC211" s="2">
        <v>101.1</v>
      </c>
      <c r="AD211" s="2">
        <v>66.75</v>
      </c>
      <c r="AE211" s="2">
        <v>80.61</v>
      </c>
      <c r="AF211" s="2">
        <v>80.180000000000007</v>
      </c>
      <c r="AG211" s="14" t="s">
        <v>773</v>
      </c>
      <c r="AH211" s="14" t="s">
        <v>773</v>
      </c>
      <c r="AI211" s="14" t="s">
        <v>773</v>
      </c>
      <c r="AJ211" s="14" t="s">
        <v>773</v>
      </c>
      <c r="AK211" s="19">
        <v>0.2902777777777778</v>
      </c>
      <c r="AL211" s="8">
        <f>(6+(58/60))*AF211</f>
        <v>558.58733333333339</v>
      </c>
    </row>
    <row r="212" spans="1:45" x14ac:dyDescent="0.2">
      <c r="A212" s="2">
        <v>205</v>
      </c>
      <c r="B212" s="2">
        <v>200</v>
      </c>
      <c r="C212" s="2">
        <v>159</v>
      </c>
      <c r="D212" t="s">
        <v>140</v>
      </c>
      <c r="E212" t="s">
        <v>1234</v>
      </c>
      <c r="J212" s="15"/>
      <c r="AC212" s="2">
        <v>271.8</v>
      </c>
      <c r="AD212" s="2" t="s">
        <v>773</v>
      </c>
      <c r="AE212" s="2" t="s">
        <v>773</v>
      </c>
      <c r="AF212" s="2" t="s">
        <v>773</v>
      </c>
      <c r="AG212" s="14" t="s">
        <v>773</v>
      </c>
      <c r="AH212" s="14" t="s">
        <v>773</v>
      </c>
      <c r="AI212" s="14" t="s">
        <v>773</v>
      </c>
      <c r="AJ212" s="14" t="s">
        <v>773</v>
      </c>
      <c r="AK212" s="19">
        <v>7.8472222222222221E-2</v>
      </c>
      <c r="AL212" s="8">
        <f>(1+(53/60))*AC212</f>
        <v>511.89</v>
      </c>
    </row>
    <row r="213" spans="1:45" x14ac:dyDescent="0.2">
      <c r="A213" s="2">
        <v>201</v>
      </c>
      <c r="B213" s="2">
        <v>205</v>
      </c>
      <c r="C213" s="2">
        <v>1016</v>
      </c>
      <c r="D213" t="s">
        <v>324</v>
      </c>
      <c r="E213" t="s">
        <v>545</v>
      </c>
      <c r="H213" s="2">
        <v>38.71</v>
      </c>
      <c r="I213" s="15">
        <v>1.3819999999999999</v>
      </c>
      <c r="J213" s="15">
        <v>1.046</v>
      </c>
      <c r="AC213" s="2">
        <v>42.17</v>
      </c>
      <c r="AD213" s="2">
        <v>31.85</v>
      </c>
      <c r="AE213" s="2">
        <v>32.020000000000003</v>
      </c>
      <c r="AF213" s="2">
        <v>38.71</v>
      </c>
      <c r="AG213" s="14" t="s">
        <v>773</v>
      </c>
      <c r="AH213" s="14" t="s">
        <v>773</v>
      </c>
      <c r="AI213" s="14" t="s">
        <v>773</v>
      </c>
      <c r="AJ213" s="14" t="s">
        <v>773</v>
      </c>
      <c r="AK213" s="19">
        <v>0.20555555555555555</v>
      </c>
      <c r="AL213" s="8">
        <f>(5+(25/60))*AF213</f>
        <v>209.67916666666667</v>
      </c>
    </row>
    <row r="214" spans="1:45" x14ac:dyDescent="0.2">
      <c r="A214" s="2">
        <v>202</v>
      </c>
      <c r="B214" s="2">
        <v>202</v>
      </c>
      <c r="C214" s="2">
        <v>1099</v>
      </c>
      <c r="D214" t="s">
        <v>339</v>
      </c>
      <c r="H214" s="2">
        <v>32.26</v>
      </c>
      <c r="I214" s="15">
        <v>1.1519999999999999</v>
      </c>
      <c r="J214" s="16">
        <v>0.90941300000000003</v>
      </c>
      <c r="AC214" s="2">
        <v>38.619999999999997</v>
      </c>
      <c r="AD214" s="2">
        <v>34.799999999999997</v>
      </c>
      <c r="AE214" s="2">
        <v>32.26</v>
      </c>
      <c r="AF214" s="14" t="s">
        <v>773</v>
      </c>
      <c r="AG214" s="14" t="s">
        <v>773</v>
      </c>
      <c r="AH214" s="14" t="s">
        <v>773</v>
      </c>
      <c r="AI214" s="14" t="s">
        <v>773</v>
      </c>
      <c r="AJ214" s="14" t="s">
        <v>773</v>
      </c>
      <c r="AK214" s="19">
        <v>0.17222222222222222</v>
      </c>
      <c r="AL214" s="8">
        <f>(4+(38/60))*AE214</f>
        <v>149.47133333333332</v>
      </c>
    </row>
    <row r="215" spans="1:45" x14ac:dyDescent="0.2">
      <c r="A215" s="2">
        <v>175</v>
      </c>
      <c r="B215" s="2">
        <v>203</v>
      </c>
      <c r="C215" s="2">
        <v>198</v>
      </c>
      <c r="D215" t="s">
        <v>1349</v>
      </c>
      <c r="E215" t="s">
        <v>696</v>
      </c>
      <c r="AC215" s="2">
        <v>179.5</v>
      </c>
      <c r="AD215" s="2" t="s">
        <v>773</v>
      </c>
      <c r="AE215" s="2" t="s">
        <v>773</v>
      </c>
      <c r="AF215" s="14" t="s">
        <v>773</v>
      </c>
      <c r="AG215" s="14" t="s">
        <v>773</v>
      </c>
      <c r="AH215" s="14" t="s">
        <v>773</v>
      </c>
      <c r="AI215" s="14" t="s">
        <v>773</v>
      </c>
      <c r="AJ215" s="14" t="s">
        <v>773</v>
      </c>
      <c r="AK215" s="19">
        <v>0.64930555555555558</v>
      </c>
      <c r="AL215" s="8">
        <f>(15+(35/60))*AC215</f>
        <v>2797.2083333333335</v>
      </c>
    </row>
    <row r="216" spans="1:45" x14ac:dyDescent="0.2">
      <c r="A216" s="2">
        <v>204</v>
      </c>
      <c r="B216" s="2">
        <v>207</v>
      </c>
      <c r="C216" s="2">
        <v>1075</v>
      </c>
      <c r="D216" t="s">
        <v>274</v>
      </c>
      <c r="H216" s="2">
        <v>38.06</v>
      </c>
      <c r="I216" s="15">
        <v>1.359</v>
      </c>
      <c r="J216" s="15">
        <v>1.143</v>
      </c>
      <c r="AC216" s="2">
        <v>35.25</v>
      </c>
      <c r="AD216" s="2">
        <v>35.729999999999997</v>
      </c>
      <c r="AE216" s="2">
        <v>36.17</v>
      </c>
      <c r="AF216" s="2">
        <v>38.06</v>
      </c>
      <c r="AG216" s="14" t="s">
        <v>773</v>
      </c>
      <c r="AH216" s="14" t="s">
        <v>773</v>
      </c>
      <c r="AI216" s="14" t="s">
        <v>773</v>
      </c>
      <c r="AJ216" s="14" t="s">
        <v>773</v>
      </c>
      <c r="AK216" s="19">
        <v>0.13055555555555556</v>
      </c>
      <c r="AL216" s="8">
        <f>(3+(8/60))*AF216</f>
        <v>119.25466666666668</v>
      </c>
    </row>
    <row r="217" spans="1:45" x14ac:dyDescent="0.2">
      <c r="A217" s="2">
        <v>205</v>
      </c>
      <c r="B217" s="2">
        <v>290</v>
      </c>
      <c r="C217" s="2">
        <v>1167</v>
      </c>
      <c r="D217" t="s">
        <v>337</v>
      </c>
      <c r="H217" s="2">
        <v>34.409999999999997</v>
      </c>
      <c r="I217" s="15">
        <v>1.2290000000000001</v>
      </c>
      <c r="J217" s="15">
        <v>1.0049999999999999</v>
      </c>
      <c r="AC217" s="2">
        <v>47.02</v>
      </c>
      <c r="AD217" s="2">
        <v>44.17</v>
      </c>
      <c r="AE217" s="2">
        <v>34.409999999999997</v>
      </c>
      <c r="AF217" s="14" t="s">
        <v>773</v>
      </c>
      <c r="AG217" s="14" t="s">
        <v>773</v>
      </c>
      <c r="AH217" s="14" t="s">
        <v>773</v>
      </c>
      <c r="AI217" s="14" t="s">
        <v>773</v>
      </c>
      <c r="AJ217" s="14" t="s">
        <v>773</v>
      </c>
      <c r="AK217" s="19">
        <v>0.19652777777777777</v>
      </c>
      <c r="AL217" s="8">
        <f>(4+(43/60))*AE217</f>
        <v>162.3005</v>
      </c>
    </row>
    <row r="218" spans="1:45" x14ac:dyDescent="0.2">
      <c r="A218" s="2">
        <v>206</v>
      </c>
      <c r="B218" s="2">
        <v>285</v>
      </c>
      <c r="C218" s="2">
        <v>524</v>
      </c>
      <c r="D218" t="s">
        <v>219</v>
      </c>
      <c r="E218" t="s">
        <v>1253</v>
      </c>
      <c r="F218" t="s">
        <v>1258</v>
      </c>
      <c r="G218" s="2">
        <v>3040</v>
      </c>
      <c r="H218" s="2">
        <v>111.5</v>
      </c>
      <c r="I218" s="15">
        <v>3.9830000000000001</v>
      </c>
      <c r="J218" s="15">
        <v>2.97</v>
      </c>
      <c r="AC218" s="2">
        <v>122.5</v>
      </c>
      <c r="AD218" s="2">
        <v>123</v>
      </c>
      <c r="AE218" s="2">
        <v>109.6</v>
      </c>
      <c r="AF218" s="2">
        <v>111.5</v>
      </c>
      <c r="AG218" s="2" t="s">
        <v>773</v>
      </c>
      <c r="AH218" s="2">
        <v>111.1</v>
      </c>
      <c r="AI218" s="2" t="s">
        <v>773</v>
      </c>
      <c r="AJ218" s="2" t="s">
        <v>773</v>
      </c>
      <c r="AK218" s="19">
        <v>9.930555555555555E-2</v>
      </c>
      <c r="AL218" s="8">
        <f>(2+(23/60))*AH218</f>
        <v>264.7883333333333</v>
      </c>
    </row>
    <row r="219" spans="1:45" x14ac:dyDescent="0.2">
      <c r="A219" s="2">
        <v>216</v>
      </c>
      <c r="B219" s="2">
        <v>207</v>
      </c>
      <c r="C219" s="2">
        <v>1147</v>
      </c>
      <c r="D219" t="s">
        <v>394</v>
      </c>
      <c r="AC219" s="2">
        <v>30.41</v>
      </c>
      <c r="AD219" s="2" t="s">
        <v>773</v>
      </c>
      <c r="AE219" s="1" t="s">
        <v>773</v>
      </c>
      <c r="AF219" s="14" t="s">
        <v>773</v>
      </c>
      <c r="AG219" s="14" t="s">
        <v>773</v>
      </c>
      <c r="AH219" s="14" t="s">
        <v>773</v>
      </c>
      <c r="AI219" s="14" t="s">
        <v>773</v>
      </c>
      <c r="AJ219" s="2" t="s">
        <v>773</v>
      </c>
      <c r="AK219" s="19">
        <v>0.22152777777777777</v>
      </c>
      <c r="AL219" s="8">
        <f>(5+(19/60))*AC219</f>
        <v>161.67983333333333</v>
      </c>
    </row>
    <row r="220" spans="1:45" x14ac:dyDescent="0.2">
      <c r="A220" s="2">
        <v>208</v>
      </c>
      <c r="B220" s="2">
        <v>147</v>
      </c>
      <c r="C220" s="2">
        <v>645</v>
      </c>
      <c r="D220" t="s">
        <v>114</v>
      </c>
      <c r="E220" t="s">
        <v>5</v>
      </c>
      <c r="G220" s="2">
        <v>0</v>
      </c>
      <c r="H220" s="2">
        <v>97.06</v>
      </c>
      <c r="I220" s="15">
        <v>3.4660000000000002</v>
      </c>
      <c r="J220" s="15">
        <v>2.6070000000000002</v>
      </c>
      <c r="O220" s="8">
        <v>155.394812</v>
      </c>
      <c r="P220" s="8">
        <v>148.810687</v>
      </c>
      <c r="Q220" s="8">
        <v>155.030731</v>
      </c>
      <c r="R220" s="8">
        <v>154.231956</v>
      </c>
      <c r="S220" s="8">
        <v>160.28258199999999</v>
      </c>
      <c r="T220" s="8">
        <v>147.89075</v>
      </c>
      <c r="U220" s="8">
        <v>162.34909200000001</v>
      </c>
      <c r="V220" s="8">
        <v>162.23882499999999</v>
      </c>
      <c r="W220" s="8">
        <v>194.17859799999999</v>
      </c>
      <c r="X220" s="8">
        <v>205.50739200000001</v>
      </c>
      <c r="Y220" s="8">
        <v>201.854917</v>
      </c>
      <c r="Z220" s="8">
        <v>171.82154600000001</v>
      </c>
      <c r="AA220" s="8">
        <v>172.94190399999999</v>
      </c>
      <c r="AC220" s="2">
        <v>79.64</v>
      </c>
      <c r="AD220" s="2">
        <v>80.77</v>
      </c>
      <c r="AE220" s="2">
        <v>93.24</v>
      </c>
      <c r="AF220" s="2">
        <v>97.06</v>
      </c>
      <c r="AG220" s="14" t="s">
        <v>773</v>
      </c>
      <c r="AH220" s="2">
        <v>90.26</v>
      </c>
      <c r="AI220" s="2" t="s">
        <v>773</v>
      </c>
      <c r="AJ220" s="2" t="s">
        <v>773</v>
      </c>
      <c r="AK220" s="19">
        <v>8.5416666666666655E-2</v>
      </c>
      <c r="AL220" s="60">
        <f>(2+(3/60))*AH220</f>
        <v>185.03299999999999</v>
      </c>
      <c r="AQ220" s="51" t="s">
        <v>687</v>
      </c>
    </row>
    <row r="221" spans="1:45" x14ac:dyDescent="0.2">
      <c r="A221" s="2">
        <v>209</v>
      </c>
      <c r="B221" s="2">
        <v>455</v>
      </c>
      <c r="C221" s="2">
        <v>1240</v>
      </c>
      <c r="D221" t="s">
        <v>348</v>
      </c>
      <c r="E221" t="s">
        <v>6</v>
      </c>
      <c r="H221" s="2">
        <v>42.91</v>
      </c>
      <c r="I221" s="15">
        <v>1.532</v>
      </c>
      <c r="J221" s="15">
        <v>1.175</v>
      </c>
      <c r="AC221" s="2">
        <v>76.44</v>
      </c>
      <c r="AD221" s="2">
        <v>52.03</v>
      </c>
      <c r="AE221" s="2">
        <v>42.91</v>
      </c>
      <c r="AF221" s="14" t="s">
        <v>773</v>
      </c>
      <c r="AG221" s="14" t="s">
        <v>773</v>
      </c>
      <c r="AH221" s="14" t="s">
        <v>773</v>
      </c>
      <c r="AI221" s="14" t="s">
        <v>773</v>
      </c>
      <c r="AJ221" s="14" t="s">
        <v>773</v>
      </c>
      <c r="AK221" s="19">
        <v>0.1111111111111111</v>
      </c>
      <c r="AL221" s="8">
        <f>(2+(40/60))*AE221</f>
        <v>114.42666666666665</v>
      </c>
    </row>
    <row r="222" spans="1:45" x14ac:dyDescent="0.2">
      <c r="A222" s="2">
        <v>210</v>
      </c>
      <c r="B222" s="2">
        <v>308</v>
      </c>
      <c r="C222" s="2">
        <v>496</v>
      </c>
      <c r="D222" t="s">
        <v>278</v>
      </c>
      <c r="H222" s="2">
        <v>97.58</v>
      </c>
      <c r="I222" s="15">
        <v>3.4849999999999999</v>
      </c>
      <c r="J222" s="15">
        <v>2.532</v>
      </c>
      <c r="AC222" s="2">
        <v>97.37</v>
      </c>
      <c r="AD222" s="2">
        <v>96.47</v>
      </c>
      <c r="AE222" s="2">
        <v>90.59</v>
      </c>
      <c r="AF222" s="2">
        <v>97.58</v>
      </c>
      <c r="AG222" s="14" t="s">
        <v>773</v>
      </c>
      <c r="AH222" s="14" t="s">
        <v>773</v>
      </c>
      <c r="AI222" s="14" t="s">
        <v>773</v>
      </c>
      <c r="AJ222" s="14" t="s">
        <v>773</v>
      </c>
      <c r="AK222" s="19">
        <v>0.14930555555555555</v>
      </c>
      <c r="AL222" s="8">
        <f>(3+(35/60))*AF222</f>
        <v>349.66166666666669</v>
      </c>
    </row>
    <row r="223" spans="1:45" s="3" customFormat="1" x14ac:dyDescent="0.2">
      <c r="A223" s="4">
        <v>211</v>
      </c>
      <c r="B223" s="4">
        <v>228</v>
      </c>
      <c r="C223" s="4">
        <v>659</v>
      </c>
      <c r="D223" s="3" t="s">
        <v>164</v>
      </c>
      <c r="E223" s="3" t="s">
        <v>6</v>
      </c>
      <c r="G223" s="4">
        <v>3000</v>
      </c>
      <c r="H223" s="4">
        <v>101.6</v>
      </c>
      <c r="I223" s="16">
        <v>3.1469999999999998</v>
      </c>
      <c r="J223" s="16">
        <v>2.859</v>
      </c>
      <c r="K223" s="4">
        <v>66.12</v>
      </c>
      <c r="L223" s="9"/>
      <c r="M223" s="9"/>
      <c r="N223" s="9"/>
      <c r="O223" s="58">
        <v>121.4641</v>
      </c>
      <c r="P223" s="58">
        <v>129.02500000000001</v>
      </c>
      <c r="Q223" s="58">
        <v>117.991</v>
      </c>
      <c r="R223" s="58">
        <v>126.262</v>
      </c>
      <c r="S223" s="58">
        <v>132.57300000000001</v>
      </c>
      <c r="T223" s="58">
        <v>113.565</v>
      </c>
      <c r="U223" s="58">
        <v>124.88</v>
      </c>
      <c r="V223" s="58">
        <v>121.36199999999999</v>
      </c>
      <c r="W223" s="58">
        <v>143.792</v>
      </c>
      <c r="X223" s="58">
        <v>155.15700000000001</v>
      </c>
      <c r="Y223" s="58">
        <v>172.96899999999999</v>
      </c>
      <c r="Z223" s="58">
        <v>149.38399999999999</v>
      </c>
      <c r="AA223" s="58">
        <v>162.55199999999999</v>
      </c>
      <c r="AB223" s="9"/>
      <c r="AC223" s="4">
        <v>94.38</v>
      </c>
      <c r="AD223" s="4">
        <v>87.79</v>
      </c>
      <c r="AE223" s="4">
        <v>91.05</v>
      </c>
      <c r="AF223" s="4">
        <v>86.9</v>
      </c>
      <c r="AG223" s="46" t="s">
        <v>773</v>
      </c>
      <c r="AH223" s="4">
        <v>86.18</v>
      </c>
      <c r="AI223" s="46" t="s">
        <v>773</v>
      </c>
      <c r="AJ223" s="46" t="s">
        <v>773</v>
      </c>
      <c r="AK223" s="21" t="s">
        <v>747</v>
      </c>
      <c r="AL223" s="47">
        <f>(1+(27/60))*AH223</f>
        <v>124.96100000000001</v>
      </c>
      <c r="AQ223"/>
      <c r="AR223"/>
      <c r="AS223"/>
    </row>
    <row r="224" spans="1:45" x14ac:dyDescent="0.2">
      <c r="A224" s="2">
        <v>213</v>
      </c>
      <c r="B224" s="2">
        <v>201</v>
      </c>
      <c r="C224" s="2">
        <v>930</v>
      </c>
      <c r="D224" t="s">
        <v>220</v>
      </c>
      <c r="E224" t="s">
        <v>1254</v>
      </c>
      <c r="F224" t="s">
        <v>1237</v>
      </c>
      <c r="G224" s="2">
        <v>40</v>
      </c>
      <c r="H224" s="2">
        <v>46.84</v>
      </c>
      <c r="I224" s="15">
        <v>1.6719999999999999</v>
      </c>
      <c r="J224" s="15">
        <v>1.04</v>
      </c>
      <c r="O224" s="9">
        <v>185.33199999999999</v>
      </c>
      <c r="P224" s="9">
        <v>155.34200000000001</v>
      </c>
      <c r="Q224" s="9">
        <v>191.495</v>
      </c>
      <c r="R224" s="9">
        <v>185.88499999999999</v>
      </c>
      <c r="S224" s="9">
        <v>155.24700000000001</v>
      </c>
      <c r="T224" s="9">
        <v>172.38200000000001</v>
      </c>
      <c r="U224" s="9">
        <v>161.80799999999999</v>
      </c>
      <c r="V224" s="9">
        <v>158.024</v>
      </c>
      <c r="W224" s="9">
        <v>206.68299999999999</v>
      </c>
      <c r="X224" s="9">
        <v>203.40600000000001</v>
      </c>
      <c r="Y224" s="9">
        <v>217.90700000000001</v>
      </c>
      <c r="Z224" s="9">
        <v>181.34899999999999</v>
      </c>
      <c r="AA224" s="9">
        <v>213.672</v>
      </c>
      <c r="AC224" s="2">
        <v>67.52</v>
      </c>
      <c r="AD224" s="2">
        <v>46.95</v>
      </c>
      <c r="AE224" s="2">
        <v>49.32</v>
      </c>
      <c r="AF224" s="2">
        <v>46.84</v>
      </c>
      <c r="AG224" s="2" t="s">
        <v>773</v>
      </c>
      <c r="AH224" s="2">
        <v>46.4</v>
      </c>
      <c r="AI224" s="2" t="s">
        <v>773</v>
      </c>
      <c r="AJ224" s="2" t="s">
        <v>773</v>
      </c>
      <c r="AK224" s="19">
        <v>0.12361111111111112</v>
      </c>
      <c r="AL224" s="8">
        <f>(3+(11/60))*AH224</f>
        <v>147.70666666666665</v>
      </c>
    </row>
    <row r="225" spans="1:38" x14ac:dyDescent="0.2">
      <c r="A225" s="2">
        <v>214</v>
      </c>
      <c r="B225" s="2">
        <v>242</v>
      </c>
      <c r="C225" s="2">
        <v>1285</v>
      </c>
      <c r="D225" t="s">
        <v>297</v>
      </c>
      <c r="E225" t="s">
        <v>1241</v>
      </c>
      <c r="F225" t="s">
        <v>1282</v>
      </c>
      <c r="G225" s="2">
        <v>13870</v>
      </c>
      <c r="H225" s="2">
        <v>35.15</v>
      </c>
      <c r="I225" s="15">
        <v>1.2549999999999999</v>
      </c>
      <c r="J225" s="15">
        <v>1.111</v>
      </c>
      <c r="AC225" s="2">
        <v>38.86</v>
      </c>
      <c r="AD225" s="2">
        <v>39.520000000000003</v>
      </c>
      <c r="AE225" s="2">
        <v>34.79</v>
      </c>
      <c r="AF225" s="2">
        <v>35.15</v>
      </c>
      <c r="AG225" s="14" t="s">
        <v>773</v>
      </c>
      <c r="AH225" s="14" t="s">
        <v>773</v>
      </c>
      <c r="AI225" s="14" t="s">
        <v>773</v>
      </c>
      <c r="AJ225" s="14" t="s">
        <v>773</v>
      </c>
      <c r="AK225" s="19">
        <v>0.15069444444444444</v>
      </c>
      <c r="AL225" s="8">
        <f>(3+(37/60))*AF225</f>
        <v>127.12583333333333</v>
      </c>
    </row>
    <row r="226" spans="1:38" x14ac:dyDescent="0.2">
      <c r="A226" s="2">
        <v>215</v>
      </c>
      <c r="B226" s="2">
        <v>186</v>
      </c>
      <c r="C226" s="2">
        <v>945</v>
      </c>
      <c r="D226" t="s">
        <v>321</v>
      </c>
      <c r="F226" t="s">
        <v>1299</v>
      </c>
      <c r="H226" s="2">
        <v>29.19</v>
      </c>
      <c r="I226" s="15">
        <v>1.042</v>
      </c>
      <c r="J226" s="15">
        <v>0.866672</v>
      </c>
      <c r="AC226" s="2">
        <v>27.88</v>
      </c>
      <c r="AD226" s="2">
        <v>32.9</v>
      </c>
      <c r="AE226" s="2">
        <v>34.020000000000003</v>
      </c>
      <c r="AF226" s="2">
        <v>29.19</v>
      </c>
      <c r="AG226" s="14" t="s">
        <v>773</v>
      </c>
      <c r="AH226" s="14" t="s">
        <v>773</v>
      </c>
      <c r="AI226" s="14" t="s">
        <v>773</v>
      </c>
      <c r="AJ226" s="14" t="s">
        <v>773</v>
      </c>
      <c r="AK226" s="19">
        <v>0.31111111111111112</v>
      </c>
      <c r="AL226" s="8">
        <f>(7+(28/60))*AF226</f>
        <v>217.95200000000003</v>
      </c>
    </row>
    <row r="227" spans="1:38" x14ac:dyDescent="0.2">
      <c r="A227" s="2">
        <v>152</v>
      </c>
      <c r="B227" s="2">
        <v>216</v>
      </c>
      <c r="C227" s="2">
        <v>735</v>
      </c>
      <c r="D227" t="s">
        <v>1350</v>
      </c>
      <c r="J227" s="15"/>
      <c r="AC227" s="2">
        <v>45.34</v>
      </c>
      <c r="AD227" s="2" t="s">
        <v>773</v>
      </c>
      <c r="AE227" s="2" t="s">
        <v>773</v>
      </c>
      <c r="AF227" s="2" t="s">
        <v>773</v>
      </c>
      <c r="AG227" s="14" t="s">
        <v>773</v>
      </c>
      <c r="AH227" s="14" t="s">
        <v>773</v>
      </c>
      <c r="AI227" s="14" t="s">
        <v>773</v>
      </c>
      <c r="AJ227" s="14" t="s">
        <v>773</v>
      </c>
      <c r="AK227" s="19">
        <v>0.54374999999999996</v>
      </c>
      <c r="AL227" s="8">
        <f>(13+(3/60))*AC227</f>
        <v>591.68700000000013</v>
      </c>
    </row>
    <row r="228" spans="1:38" x14ac:dyDescent="0.2">
      <c r="A228" s="2">
        <v>217</v>
      </c>
      <c r="B228" s="2">
        <v>174</v>
      </c>
      <c r="C228" s="2">
        <v>482</v>
      </c>
      <c r="D228" t="s">
        <v>186</v>
      </c>
      <c r="H228" s="2">
        <v>87.64</v>
      </c>
      <c r="I228" s="15">
        <v>3.13</v>
      </c>
      <c r="J228" s="15">
        <v>2.7440000000000002</v>
      </c>
      <c r="AC228" s="2">
        <v>91.61</v>
      </c>
      <c r="AD228" s="2">
        <v>118.2</v>
      </c>
      <c r="AE228" s="2">
        <v>93.88</v>
      </c>
      <c r="AF228" s="2">
        <v>87.64</v>
      </c>
      <c r="AG228" s="14" t="s">
        <v>773</v>
      </c>
      <c r="AH228" s="2">
        <v>85.18</v>
      </c>
      <c r="AI228" s="14" t="s">
        <v>773</v>
      </c>
      <c r="AJ228" s="14" t="s">
        <v>773</v>
      </c>
      <c r="AK228" s="19">
        <v>7.5694444444444439E-2</v>
      </c>
      <c r="AL228" s="8">
        <f>(1+(49/60))*AH228</f>
        <v>154.74366666666668</v>
      </c>
    </row>
    <row r="229" spans="1:38" x14ac:dyDescent="0.2">
      <c r="A229" s="2">
        <v>243</v>
      </c>
      <c r="B229" s="2">
        <v>218</v>
      </c>
      <c r="C229" s="2">
        <v>1401</v>
      </c>
      <c r="D229" t="s">
        <v>427</v>
      </c>
      <c r="AC229" s="2">
        <v>26.99</v>
      </c>
      <c r="AD229" s="2" t="s">
        <v>773</v>
      </c>
      <c r="AE229" s="1" t="s">
        <v>773</v>
      </c>
      <c r="AF229" s="14" t="s">
        <v>773</v>
      </c>
      <c r="AG229" s="14" t="s">
        <v>773</v>
      </c>
      <c r="AH229" s="14" t="s">
        <v>773</v>
      </c>
      <c r="AI229" s="14" t="s">
        <v>773</v>
      </c>
      <c r="AJ229" s="14" t="s">
        <v>773</v>
      </c>
      <c r="AK229" s="19">
        <v>0.21458333333333332</v>
      </c>
      <c r="AL229" s="8">
        <f>(5+(9/60))*AC229</f>
        <v>138.99850000000001</v>
      </c>
    </row>
    <row r="230" spans="1:38" x14ac:dyDescent="0.2">
      <c r="A230" s="2">
        <v>219</v>
      </c>
      <c r="B230" s="2">
        <v>217</v>
      </c>
      <c r="C230" s="2">
        <v>1223</v>
      </c>
      <c r="D230" t="s">
        <v>292</v>
      </c>
      <c r="E230" t="s">
        <v>1241</v>
      </c>
      <c r="F230" t="s">
        <v>1282</v>
      </c>
      <c r="G230" s="2">
        <v>13870</v>
      </c>
      <c r="H230" s="2">
        <v>35.340000000000003</v>
      </c>
      <c r="I230" s="15">
        <v>1.262</v>
      </c>
      <c r="J230" s="15">
        <v>1.125</v>
      </c>
      <c r="AC230" s="2">
        <v>38.950000000000003</v>
      </c>
      <c r="AD230" s="2">
        <v>34.78</v>
      </c>
      <c r="AE230" s="2">
        <v>32.85</v>
      </c>
      <c r="AF230" s="2">
        <v>35.340000000000003</v>
      </c>
      <c r="AG230" s="14" t="s">
        <v>773</v>
      </c>
      <c r="AH230" s="14" t="s">
        <v>773</v>
      </c>
      <c r="AI230" s="14" t="s">
        <v>773</v>
      </c>
      <c r="AJ230" s="14" t="s">
        <v>773</v>
      </c>
      <c r="AK230" s="19">
        <v>8.8888888888888892E-2</v>
      </c>
      <c r="AL230" s="8">
        <f>(2+(55/60))*AF230</f>
        <v>103.075</v>
      </c>
    </row>
    <row r="231" spans="1:38" x14ac:dyDescent="0.2">
      <c r="A231" s="2">
        <v>220</v>
      </c>
      <c r="B231" s="2">
        <v>265</v>
      </c>
      <c r="C231" s="2">
        <v>365</v>
      </c>
      <c r="D231" t="s">
        <v>276</v>
      </c>
      <c r="E231" t="s">
        <v>563</v>
      </c>
      <c r="F231" t="s">
        <v>1317</v>
      </c>
      <c r="H231" s="2">
        <v>109.3</v>
      </c>
      <c r="I231" s="15">
        <v>3.907</v>
      </c>
      <c r="J231" s="15">
        <v>1.6970000000000001</v>
      </c>
      <c r="AC231" s="2">
        <v>125.2</v>
      </c>
      <c r="AD231" s="2">
        <v>82.37</v>
      </c>
      <c r="AE231" s="2">
        <v>107.6</v>
      </c>
      <c r="AF231" s="2">
        <v>109.3</v>
      </c>
      <c r="AG231" s="14" t="s">
        <v>773</v>
      </c>
      <c r="AH231" s="14" t="s">
        <v>773</v>
      </c>
      <c r="AI231" s="14" t="s">
        <v>773</v>
      </c>
      <c r="AJ231" s="14" t="s">
        <v>773</v>
      </c>
      <c r="AK231" s="19">
        <v>0.59513888888888888</v>
      </c>
      <c r="AL231" s="8">
        <f>(14+(17/60))*AF231</f>
        <v>1561.1683333333333</v>
      </c>
    </row>
    <row r="232" spans="1:38" x14ac:dyDescent="0.2">
      <c r="A232" s="2">
        <v>221</v>
      </c>
      <c r="B232" s="2">
        <v>263</v>
      </c>
      <c r="C232" s="2">
        <v>1130</v>
      </c>
      <c r="D232" t="s">
        <v>315</v>
      </c>
      <c r="E232" t="s">
        <v>1297</v>
      </c>
      <c r="F232" t="s">
        <v>1298</v>
      </c>
      <c r="G232" s="2">
        <v>27120</v>
      </c>
      <c r="H232" s="2">
        <v>37.24</v>
      </c>
      <c r="I232" s="15">
        <v>1.33</v>
      </c>
      <c r="J232" s="15">
        <v>1.0329999999999999</v>
      </c>
      <c r="AC232" s="2">
        <v>42.22</v>
      </c>
      <c r="AD232" s="2">
        <v>34.67</v>
      </c>
      <c r="AE232" s="2">
        <v>38.119999999999997</v>
      </c>
      <c r="AF232" s="2">
        <v>37.24</v>
      </c>
      <c r="AG232" s="14" t="s">
        <v>773</v>
      </c>
      <c r="AH232" s="14" t="s">
        <v>773</v>
      </c>
      <c r="AI232" s="14" t="s">
        <v>773</v>
      </c>
      <c r="AJ232" s="14" t="s">
        <v>773</v>
      </c>
      <c r="AK232" s="19">
        <v>0.18402777777777779</v>
      </c>
      <c r="AL232" s="8">
        <f>(4+(25/60))*AF232</f>
        <v>164.47666666666669</v>
      </c>
    </row>
    <row r="233" spans="1:38" s="5" customFormat="1" x14ac:dyDescent="0.2">
      <c r="A233" s="6">
        <v>222</v>
      </c>
      <c r="B233" s="2">
        <v>152</v>
      </c>
      <c r="C233" s="6">
        <v>745</v>
      </c>
      <c r="D233" s="5" t="s">
        <v>110</v>
      </c>
      <c r="E233" s="5" t="s">
        <v>541</v>
      </c>
      <c r="F233" s="5" t="s">
        <v>1291</v>
      </c>
      <c r="G233" s="6">
        <v>121750</v>
      </c>
      <c r="H233" s="6">
        <v>93.36</v>
      </c>
      <c r="I233" s="17">
        <v>3.3340000000000001</v>
      </c>
      <c r="J233" s="17">
        <v>2.0459999999999998</v>
      </c>
      <c r="K233" s="6"/>
      <c r="L233" s="7"/>
      <c r="M233" s="7"/>
      <c r="N233" s="7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7"/>
      <c r="AC233" s="6">
        <v>56.07</v>
      </c>
      <c r="AD233" s="6">
        <v>84.46</v>
      </c>
      <c r="AE233" s="6">
        <v>87.26</v>
      </c>
      <c r="AF233" s="6">
        <v>93.36</v>
      </c>
      <c r="AG233" s="50" t="s">
        <v>773</v>
      </c>
      <c r="AH233" s="6">
        <v>93.72</v>
      </c>
      <c r="AI233" s="6" t="s">
        <v>773</v>
      </c>
      <c r="AJ233" s="6" t="s">
        <v>773</v>
      </c>
      <c r="AK233" s="53">
        <v>0.12569444444444444</v>
      </c>
      <c r="AL233" s="54">
        <f>(3+(1/60))*AH233</f>
        <v>282.72199999999998</v>
      </c>
    </row>
    <row r="234" spans="1:38" x14ac:dyDescent="0.2">
      <c r="A234" s="2">
        <v>223</v>
      </c>
      <c r="B234" s="2">
        <v>238</v>
      </c>
      <c r="C234" s="2">
        <v>1264</v>
      </c>
      <c r="D234" t="s">
        <v>216</v>
      </c>
      <c r="H234" s="2">
        <v>48.05</v>
      </c>
      <c r="I234" s="15">
        <v>1.716</v>
      </c>
      <c r="J234" s="15">
        <v>1.4850000000000001</v>
      </c>
      <c r="AC234" s="2">
        <v>43.46</v>
      </c>
      <c r="AD234" s="2">
        <v>46.11</v>
      </c>
      <c r="AE234" s="2">
        <v>42.87</v>
      </c>
      <c r="AF234" s="2">
        <v>48.05</v>
      </c>
      <c r="AG234" s="2" t="s">
        <v>773</v>
      </c>
      <c r="AH234" s="2">
        <v>47.57</v>
      </c>
      <c r="AI234" s="2" t="s">
        <v>773</v>
      </c>
      <c r="AJ234" s="2" t="s">
        <v>773</v>
      </c>
      <c r="AK234" s="19">
        <v>8.611111111111111E-2</v>
      </c>
      <c r="AL234" s="8">
        <f>(2+(2/60))*AH234</f>
        <v>96.725666666666655</v>
      </c>
    </row>
    <row r="235" spans="1:38" x14ac:dyDescent="0.2">
      <c r="A235" s="2">
        <v>226</v>
      </c>
      <c r="B235" s="2">
        <v>224</v>
      </c>
      <c r="C235" s="2">
        <v>525</v>
      </c>
      <c r="D235" t="s">
        <v>472</v>
      </c>
      <c r="J235" s="15"/>
      <c r="AC235" s="2">
        <v>39.770000000000003</v>
      </c>
      <c r="AD235" s="2" t="s">
        <v>773</v>
      </c>
      <c r="AE235" s="2" t="s">
        <v>773</v>
      </c>
      <c r="AF235" s="2" t="s">
        <v>773</v>
      </c>
      <c r="AG235" s="2" t="s">
        <v>773</v>
      </c>
      <c r="AH235" s="2" t="s">
        <v>773</v>
      </c>
      <c r="AI235" s="2" t="s">
        <v>773</v>
      </c>
      <c r="AJ235" s="2" t="s">
        <v>773</v>
      </c>
      <c r="AK235" s="19">
        <v>0.37222222222222223</v>
      </c>
      <c r="AL235" s="8">
        <f>(8+(56/60))*AC235</f>
        <v>355.27866666666671</v>
      </c>
    </row>
    <row r="236" spans="1:38" x14ac:dyDescent="0.2">
      <c r="A236" s="2">
        <v>270</v>
      </c>
      <c r="B236" s="2">
        <v>225</v>
      </c>
      <c r="C236" s="2">
        <v>68</v>
      </c>
      <c r="D236" t="s">
        <v>1351</v>
      </c>
      <c r="J236" s="15"/>
      <c r="AC236" s="2">
        <v>649.6</v>
      </c>
      <c r="AD236" s="2" t="s">
        <v>773</v>
      </c>
      <c r="AE236" s="2" t="s">
        <v>773</v>
      </c>
      <c r="AF236" s="2" t="s">
        <v>773</v>
      </c>
      <c r="AG236" s="2" t="s">
        <v>773</v>
      </c>
      <c r="AH236" s="2" t="s">
        <v>773</v>
      </c>
      <c r="AI236" s="2" t="s">
        <v>773</v>
      </c>
      <c r="AJ236" s="2" t="s">
        <v>773</v>
      </c>
      <c r="AK236" s="19">
        <v>0.13819444444444445</v>
      </c>
      <c r="AL236" s="8">
        <f>(3+(19/60))*AC236</f>
        <v>2154.5066666666667</v>
      </c>
    </row>
    <row r="237" spans="1:38" x14ac:dyDescent="0.2">
      <c r="A237" s="2">
        <v>226</v>
      </c>
      <c r="B237" s="2">
        <v>286</v>
      </c>
      <c r="C237" s="2">
        <v>1604</v>
      </c>
      <c r="D237" t="s">
        <v>367</v>
      </c>
      <c r="AC237" s="2">
        <v>26.49</v>
      </c>
      <c r="AD237" s="2" t="s">
        <v>773</v>
      </c>
      <c r="AE237" s="2" t="s">
        <v>773</v>
      </c>
      <c r="AF237" s="14" t="s">
        <v>773</v>
      </c>
      <c r="AG237" s="14" t="s">
        <v>773</v>
      </c>
      <c r="AH237" s="14" t="s">
        <v>773</v>
      </c>
      <c r="AI237" s="14" t="s">
        <v>773</v>
      </c>
      <c r="AJ237" s="57" t="s">
        <v>773</v>
      </c>
      <c r="AK237" s="19">
        <v>0.14166666666666666</v>
      </c>
      <c r="AL237" s="8">
        <f>(3+(24/60))*AC237</f>
        <v>90.065999999999988</v>
      </c>
    </row>
    <row r="238" spans="1:38" x14ac:dyDescent="0.2">
      <c r="A238" s="2">
        <v>227</v>
      </c>
      <c r="B238" s="2">
        <v>220</v>
      </c>
      <c r="C238" s="2">
        <v>639</v>
      </c>
      <c r="D238" t="s">
        <v>170</v>
      </c>
      <c r="E238" t="s">
        <v>1254</v>
      </c>
      <c r="G238" s="2">
        <v>0</v>
      </c>
      <c r="H238" s="2">
        <v>96.86</v>
      </c>
      <c r="I238" s="15">
        <v>3.0830000000000002</v>
      </c>
      <c r="J238" s="15">
        <v>2.3540000000000001</v>
      </c>
      <c r="K238" s="2">
        <v>38.869999999999997</v>
      </c>
      <c r="O238" s="58">
        <v>158.82499999999999</v>
      </c>
      <c r="P238" s="58">
        <v>162.19999999999999</v>
      </c>
      <c r="Q238" s="58">
        <v>166.50200000000001</v>
      </c>
      <c r="R238" s="58">
        <v>152.6</v>
      </c>
      <c r="S238" s="58">
        <v>141.18799999999999</v>
      </c>
      <c r="T238" s="58">
        <v>129.07</v>
      </c>
      <c r="U238" s="58">
        <v>148.69999999999999</v>
      </c>
      <c r="V238" s="58">
        <v>133.55600000000001</v>
      </c>
      <c r="W238" s="58">
        <v>162.1</v>
      </c>
      <c r="X238" s="58">
        <v>170.2</v>
      </c>
      <c r="Y238" s="58">
        <v>184.26</v>
      </c>
      <c r="Z238" s="58">
        <v>157.715</v>
      </c>
      <c r="AA238" s="58">
        <v>192.28</v>
      </c>
      <c r="AC238" s="2">
        <v>83.29</v>
      </c>
      <c r="AD238" s="2">
        <v>79.61</v>
      </c>
      <c r="AE238" s="2">
        <v>81.37</v>
      </c>
      <c r="AF238" s="2">
        <v>82.16</v>
      </c>
      <c r="AG238" s="14" t="s">
        <v>773</v>
      </c>
      <c r="AH238" s="2">
        <v>90.13</v>
      </c>
      <c r="AI238" s="14" t="s">
        <v>773</v>
      </c>
      <c r="AJ238" s="14" t="s">
        <v>773</v>
      </c>
      <c r="AK238" s="19">
        <v>0.12569444444444444</v>
      </c>
      <c r="AL238" s="8">
        <f>(3+(1/60))*AH238</f>
        <v>271.89216666666664</v>
      </c>
    </row>
    <row r="239" spans="1:38" x14ac:dyDescent="0.2">
      <c r="A239" s="2">
        <v>228</v>
      </c>
      <c r="B239" s="2">
        <v>371</v>
      </c>
      <c r="C239" s="2">
        <v>69</v>
      </c>
      <c r="D239" t="s">
        <v>295</v>
      </c>
      <c r="E239" t="s">
        <v>717</v>
      </c>
      <c r="F239" t="s">
        <v>1280</v>
      </c>
      <c r="H239" s="2">
        <v>429.5</v>
      </c>
      <c r="I239" s="15">
        <v>15.34</v>
      </c>
      <c r="J239" s="15">
        <v>11.46</v>
      </c>
      <c r="O239" s="8">
        <v>1094.784895</v>
      </c>
      <c r="P239" s="8">
        <v>960.43197699999996</v>
      </c>
      <c r="Q239" s="8">
        <v>1214.078391</v>
      </c>
      <c r="R239" s="8">
        <v>940.98224400000004</v>
      </c>
      <c r="S239" s="8">
        <v>896.66917899999999</v>
      </c>
      <c r="T239" s="8">
        <v>834.08874600000001</v>
      </c>
      <c r="U239" s="8">
        <v>886.58929799999999</v>
      </c>
      <c r="V239" s="8">
        <v>831.39114400000005</v>
      </c>
      <c r="W239" s="8">
        <v>867.04938700000002</v>
      </c>
      <c r="X239" s="8">
        <v>916.61299399999996</v>
      </c>
      <c r="Y239" s="8">
        <v>1007.941341</v>
      </c>
      <c r="Z239" s="8">
        <v>922.19362899999999</v>
      </c>
      <c r="AA239" s="8">
        <v>934.82968400000004</v>
      </c>
      <c r="AC239" s="2">
        <v>548.4</v>
      </c>
      <c r="AD239" s="2">
        <v>424.2</v>
      </c>
      <c r="AE239" s="2">
        <v>405.2</v>
      </c>
      <c r="AF239" s="2">
        <v>429.5</v>
      </c>
      <c r="AG239" s="14" t="s">
        <v>773</v>
      </c>
      <c r="AH239" s="14" t="s">
        <v>773</v>
      </c>
      <c r="AI239" s="14" t="s">
        <v>773</v>
      </c>
      <c r="AJ239" s="14" t="s">
        <v>773</v>
      </c>
      <c r="AK239" s="19">
        <v>0.26041666666666669</v>
      </c>
      <c r="AL239" s="8">
        <f>(6+(15/60))*AF239</f>
        <v>2684.375</v>
      </c>
    </row>
    <row r="240" spans="1:38" x14ac:dyDescent="0.2">
      <c r="A240" s="2">
        <v>229</v>
      </c>
      <c r="B240" s="2">
        <v>375</v>
      </c>
      <c r="C240" s="2">
        <v>211</v>
      </c>
      <c r="D240" t="s">
        <v>355</v>
      </c>
      <c r="E240" t="s">
        <v>1330</v>
      </c>
      <c r="F240" s="2" t="s">
        <v>1331</v>
      </c>
      <c r="G240" s="2">
        <v>10000</v>
      </c>
      <c r="H240" s="2">
        <v>152</v>
      </c>
      <c r="I240" s="15">
        <v>5.431</v>
      </c>
      <c r="J240" s="15">
        <v>4.2359999999999998</v>
      </c>
      <c r="O240" s="8">
        <v>411.07084800000001</v>
      </c>
      <c r="P240" s="8">
        <v>459.58200399999998</v>
      </c>
      <c r="Q240" s="8">
        <v>419.069322</v>
      </c>
      <c r="R240" s="8">
        <v>396.94697400000001</v>
      </c>
      <c r="S240" s="8">
        <v>413.21765900000003</v>
      </c>
      <c r="T240" s="8">
        <v>365.75069100000002</v>
      </c>
      <c r="U240" s="8">
        <v>426.117816</v>
      </c>
      <c r="V240" s="8">
        <v>384.07556899999997</v>
      </c>
      <c r="W240" s="8">
        <v>411.72316499999999</v>
      </c>
      <c r="X240" s="8">
        <v>468.02974599999999</v>
      </c>
      <c r="Y240" s="8">
        <v>429.69635</v>
      </c>
      <c r="Z240" s="8">
        <v>376.91881999999998</v>
      </c>
      <c r="AA240" s="8">
        <v>432.51700499999998</v>
      </c>
      <c r="AC240" s="2">
        <v>188.2</v>
      </c>
      <c r="AD240" s="2">
        <v>191.1</v>
      </c>
      <c r="AE240" s="2">
        <v>152</v>
      </c>
      <c r="AF240" s="14" t="s">
        <v>773</v>
      </c>
      <c r="AG240" s="14" t="s">
        <v>773</v>
      </c>
      <c r="AH240" s="14" t="s">
        <v>773</v>
      </c>
      <c r="AI240" s="14" t="s">
        <v>773</v>
      </c>
      <c r="AJ240" s="14" t="s">
        <v>773</v>
      </c>
      <c r="AK240" s="19">
        <v>0.13333333333333333</v>
      </c>
      <c r="AL240" s="8">
        <f>(3+(12/60))*AE240</f>
        <v>486.40000000000003</v>
      </c>
    </row>
    <row r="241" spans="1:38" x14ac:dyDescent="0.2">
      <c r="A241" s="2">
        <v>230</v>
      </c>
      <c r="B241" s="2">
        <v>189</v>
      </c>
      <c r="C241" s="2">
        <v>505</v>
      </c>
      <c r="D241" t="s">
        <v>188</v>
      </c>
      <c r="F241" t="s">
        <v>1313</v>
      </c>
      <c r="H241" s="2">
        <v>84.14</v>
      </c>
      <c r="I241" s="15">
        <v>3.0049999999999999</v>
      </c>
      <c r="J241" s="15">
        <v>2.2240000000000002</v>
      </c>
      <c r="AC241" s="2">
        <v>75.89</v>
      </c>
      <c r="AD241" s="2">
        <v>82.45</v>
      </c>
      <c r="AE241" s="2">
        <v>92.11</v>
      </c>
      <c r="AF241" s="2">
        <v>84.14</v>
      </c>
      <c r="AG241" s="14" t="s">
        <v>773</v>
      </c>
      <c r="AH241" s="2">
        <v>83.61</v>
      </c>
      <c r="AI241" s="14" t="s">
        <v>773</v>
      </c>
      <c r="AJ241" s="14" t="s">
        <v>773</v>
      </c>
      <c r="AK241" s="19">
        <v>0.18472222222222223</v>
      </c>
      <c r="AL241" s="8">
        <f>(4+(26/60))*AH241</f>
        <v>370.67099999999999</v>
      </c>
    </row>
    <row r="242" spans="1:38" x14ac:dyDescent="0.2">
      <c r="A242" s="2">
        <v>231</v>
      </c>
      <c r="B242" s="2">
        <v>272</v>
      </c>
      <c r="C242" s="2">
        <v>376</v>
      </c>
      <c r="D242" t="s">
        <v>474</v>
      </c>
      <c r="E242" t="s">
        <v>2</v>
      </c>
      <c r="G242" s="2">
        <v>1000000</v>
      </c>
      <c r="H242" s="2">
        <v>61.21</v>
      </c>
      <c r="AC242" s="57">
        <v>61.59</v>
      </c>
      <c r="AD242" s="57" t="s">
        <v>773</v>
      </c>
      <c r="AE242" s="57" t="s">
        <v>773</v>
      </c>
      <c r="AF242" s="57" t="s">
        <v>773</v>
      </c>
      <c r="AG242" s="57">
        <v>61.21</v>
      </c>
      <c r="AH242" s="14" t="s">
        <v>773</v>
      </c>
      <c r="AI242" s="14" t="s">
        <v>773</v>
      </c>
      <c r="AJ242" s="14" t="s">
        <v>773</v>
      </c>
      <c r="AK242" s="19">
        <v>0.4777777777777778</v>
      </c>
      <c r="AL242" s="8">
        <f>(11+(28/60))*AC242</f>
        <v>706.23200000000008</v>
      </c>
    </row>
    <row r="243" spans="1:38" x14ac:dyDescent="0.2">
      <c r="A243" s="2">
        <v>232</v>
      </c>
      <c r="B243" s="2">
        <v>230</v>
      </c>
      <c r="C243" s="2">
        <v>1169</v>
      </c>
      <c r="D243" t="s">
        <v>303</v>
      </c>
      <c r="E243" t="s">
        <v>540</v>
      </c>
      <c r="G243" s="2">
        <v>0</v>
      </c>
      <c r="H243" s="2">
        <v>34.33</v>
      </c>
      <c r="I243" s="15">
        <v>1.226</v>
      </c>
      <c r="J243" s="15">
        <v>0.92829899999999999</v>
      </c>
      <c r="AC243" s="2">
        <v>26.69</v>
      </c>
      <c r="AD243" s="2">
        <v>32.58</v>
      </c>
      <c r="AE243" s="2">
        <v>31.84</v>
      </c>
      <c r="AF243" s="2">
        <v>34.33</v>
      </c>
      <c r="AG243" s="14" t="s">
        <v>773</v>
      </c>
      <c r="AH243" s="14" t="s">
        <v>773</v>
      </c>
      <c r="AI243" s="14" t="s">
        <v>773</v>
      </c>
      <c r="AJ243" s="14" t="s">
        <v>773</v>
      </c>
      <c r="AK243" s="19">
        <v>0.17777777777777778</v>
      </c>
      <c r="AL243" s="8">
        <f>(4+(16/60))*AF243</f>
        <v>146.47466666666665</v>
      </c>
    </row>
    <row r="244" spans="1:38" x14ac:dyDescent="0.2">
      <c r="A244" s="2">
        <v>233</v>
      </c>
      <c r="B244" s="2">
        <v>194</v>
      </c>
      <c r="C244" s="2">
        <v>100</v>
      </c>
      <c r="D244" t="s">
        <v>180</v>
      </c>
      <c r="E244" t="s">
        <v>1</v>
      </c>
      <c r="F244" t="s">
        <v>1324</v>
      </c>
      <c r="G244" s="2">
        <v>600000</v>
      </c>
      <c r="H244" s="2">
        <v>290.39999999999998</v>
      </c>
      <c r="I244" s="15">
        <v>10.37</v>
      </c>
      <c r="J244" s="15">
        <v>4.38</v>
      </c>
      <c r="O244" s="8">
        <v>213.69058000000001</v>
      </c>
      <c r="P244" s="8">
        <v>211.95619099999999</v>
      </c>
      <c r="Q244" s="8">
        <v>217.436294</v>
      </c>
      <c r="R244" s="8">
        <v>215.78026399999999</v>
      </c>
      <c r="S244" s="8">
        <v>201.72606400000001</v>
      </c>
      <c r="T244" s="8">
        <v>176.75501800000001</v>
      </c>
      <c r="U244" s="8">
        <v>196.698543</v>
      </c>
      <c r="V244" s="8">
        <v>208.743413</v>
      </c>
      <c r="W244" s="8">
        <v>236.95119399999999</v>
      </c>
      <c r="X244" s="8">
        <v>235.04380699999999</v>
      </c>
      <c r="Y244" s="8">
        <v>276.31141400000001</v>
      </c>
      <c r="Z244" s="8">
        <v>237.92314999999999</v>
      </c>
      <c r="AA244" s="8">
        <v>249.195031</v>
      </c>
      <c r="AC244" s="2">
        <v>242.4</v>
      </c>
      <c r="AD244" s="2">
        <v>298.5</v>
      </c>
      <c r="AE244" s="2">
        <v>315.7</v>
      </c>
      <c r="AF244" s="2">
        <v>290.39999999999998</v>
      </c>
      <c r="AG244" s="14" t="s">
        <v>773</v>
      </c>
      <c r="AH244" s="2">
        <v>299.10000000000002</v>
      </c>
      <c r="AI244" s="14" t="s">
        <v>773</v>
      </c>
      <c r="AJ244" s="14" t="s">
        <v>773</v>
      </c>
      <c r="AK244" s="19">
        <v>0.56736111111111109</v>
      </c>
      <c r="AL244" s="60">
        <f>(14+(3/60))*AH244</f>
        <v>4202.3550000000005</v>
      </c>
    </row>
    <row r="245" spans="1:38" x14ac:dyDescent="0.2">
      <c r="A245" s="2">
        <v>234</v>
      </c>
      <c r="B245" s="2">
        <v>228</v>
      </c>
      <c r="C245" s="2">
        <v>1284</v>
      </c>
      <c r="D245" t="s">
        <v>365</v>
      </c>
      <c r="E245" t="s">
        <v>713</v>
      </c>
      <c r="G245" s="2">
        <v>45450</v>
      </c>
      <c r="AC245" s="2">
        <v>26.38</v>
      </c>
      <c r="AD245" s="2" t="s">
        <v>773</v>
      </c>
      <c r="AE245" s="2" t="s">
        <v>773</v>
      </c>
      <c r="AF245" s="14" t="s">
        <v>773</v>
      </c>
      <c r="AG245" s="14" t="s">
        <v>773</v>
      </c>
      <c r="AH245" s="14" t="s">
        <v>773</v>
      </c>
      <c r="AI245" s="14" t="s">
        <v>773</v>
      </c>
      <c r="AJ245" s="57" t="s">
        <v>773</v>
      </c>
      <c r="AK245" s="19">
        <v>0.23749999999999999</v>
      </c>
      <c r="AL245" s="8">
        <f>(5+(42/60))*AC245</f>
        <v>150.36599999999999</v>
      </c>
    </row>
    <row r="246" spans="1:38" s="3" customFormat="1" x14ac:dyDescent="0.2">
      <c r="A246" s="4">
        <v>235</v>
      </c>
      <c r="B246" s="4">
        <v>229</v>
      </c>
      <c r="C246" s="4">
        <v>453</v>
      </c>
      <c r="D246" s="3" t="s">
        <v>150</v>
      </c>
      <c r="E246" s="3" t="s">
        <v>5</v>
      </c>
      <c r="F246" s="3" t="s">
        <v>1284</v>
      </c>
      <c r="G246" s="4">
        <v>0</v>
      </c>
      <c r="H246" s="4">
        <v>153.19999999999999</v>
      </c>
      <c r="I246" s="16">
        <v>4.7300000000000004</v>
      </c>
      <c r="J246" s="16">
        <v>4.2839999999999998</v>
      </c>
      <c r="K246" s="4">
        <v>101.9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4">
        <v>107</v>
      </c>
      <c r="AD246" s="4">
        <v>118.4</v>
      </c>
      <c r="AE246" s="4">
        <v>121.3</v>
      </c>
      <c r="AF246" s="4">
        <v>123.5</v>
      </c>
      <c r="AG246" s="46" t="s">
        <v>773</v>
      </c>
      <c r="AH246" s="4">
        <v>125.3</v>
      </c>
      <c r="AI246" s="46" t="s">
        <v>773</v>
      </c>
      <c r="AJ246" s="46" t="s">
        <v>773</v>
      </c>
      <c r="AK246" s="23">
        <v>5.0694444444444452E-2</v>
      </c>
      <c r="AL246" s="47">
        <f>(1+(13/60))*AH246</f>
        <v>152.44833333333335</v>
      </c>
    </row>
    <row r="247" spans="1:38" x14ac:dyDescent="0.2">
      <c r="A247" s="2">
        <v>236</v>
      </c>
      <c r="B247" s="2">
        <v>279</v>
      </c>
      <c r="C247" s="2">
        <v>1031</v>
      </c>
      <c r="D247" t="s">
        <v>318</v>
      </c>
      <c r="H247" s="2">
        <v>42.6</v>
      </c>
      <c r="I247" s="15">
        <v>1.5209999999999999</v>
      </c>
      <c r="J247" s="15">
        <v>1.2549999999999999</v>
      </c>
      <c r="AC247" s="2">
        <v>36.5</v>
      </c>
      <c r="AD247" s="2">
        <v>35.01</v>
      </c>
      <c r="AE247" s="2">
        <v>34.99</v>
      </c>
      <c r="AF247" s="2">
        <v>42.6</v>
      </c>
      <c r="AG247" s="14" t="s">
        <v>773</v>
      </c>
      <c r="AH247" s="14" t="s">
        <v>773</v>
      </c>
      <c r="AI247" s="14" t="s">
        <v>773</v>
      </c>
      <c r="AJ247" s="14" t="s">
        <v>773</v>
      </c>
      <c r="AK247" s="19">
        <v>0.1763888888888889</v>
      </c>
      <c r="AL247" s="8">
        <f>(4+(14/60))*AF247</f>
        <v>180.34</v>
      </c>
    </row>
    <row r="248" spans="1:38" x14ac:dyDescent="0.2">
      <c r="A248" s="2">
        <v>238</v>
      </c>
      <c r="B248" s="2">
        <v>255</v>
      </c>
      <c r="C248" s="2">
        <v>289</v>
      </c>
      <c r="D248" t="s">
        <v>193</v>
      </c>
      <c r="H248" s="2">
        <v>180.8</v>
      </c>
      <c r="I248" s="15">
        <v>6.4589999999999996</v>
      </c>
      <c r="J248" s="15">
        <v>5.5869999999999997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>
        <v>180.7</v>
      </c>
      <c r="AD248" s="2">
        <v>184.9</v>
      </c>
      <c r="AE248" s="2">
        <v>175.5</v>
      </c>
      <c r="AF248" s="2">
        <v>180.8</v>
      </c>
      <c r="AG248" s="14" t="s">
        <v>773</v>
      </c>
      <c r="AH248" s="2">
        <v>179.9</v>
      </c>
      <c r="AI248" s="14" t="s">
        <v>773</v>
      </c>
      <c r="AJ248" s="14" t="s">
        <v>773</v>
      </c>
      <c r="AK248" s="19">
        <v>7.7777777777777779E-2</v>
      </c>
      <c r="AL248" s="8">
        <f>(1+(52/60))*AH248</f>
        <v>335.81333333333333</v>
      </c>
    </row>
    <row r="249" spans="1:38" x14ac:dyDescent="0.2">
      <c r="A249" s="2">
        <v>239</v>
      </c>
      <c r="B249" s="2">
        <v>223</v>
      </c>
      <c r="C249" s="2">
        <v>923</v>
      </c>
      <c r="D249" t="s">
        <v>215</v>
      </c>
      <c r="E249" t="s">
        <v>706</v>
      </c>
      <c r="G249" s="2">
        <v>708</v>
      </c>
      <c r="H249" s="2">
        <v>48.09</v>
      </c>
      <c r="I249" s="15">
        <v>1.7170000000000001</v>
      </c>
      <c r="J249" s="15">
        <v>1.4350000000000001</v>
      </c>
      <c r="AC249" s="2">
        <v>42.27</v>
      </c>
      <c r="AD249" s="2">
        <v>34.94</v>
      </c>
      <c r="AE249" s="2">
        <v>56</v>
      </c>
      <c r="AF249" s="2">
        <v>48.09</v>
      </c>
      <c r="AG249" s="2" t="s">
        <v>773</v>
      </c>
      <c r="AH249" s="2">
        <v>48.61</v>
      </c>
      <c r="AI249" s="2" t="s">
        <v>773</v>
      </c>
      <c r="AJ249" s="2" t="s">
        <v>773</v>
      </c>
      <c r="AK249" s="19">
        <v>9.5138888888888884E-2</v>
      </c>
      <c r="AL249" s="8">
        <f>(2+(17/60))*AH249</f>
        <v>110.99283333333332</v>
      </c>
    </row>
    <row r="250" spans="1:38" x14ac:dyDescent="0.2">
      <c r="A250" s="2">
        <v>240</v>
      </c>
      <c r="B250" s="2">
        <v>236</v>
      </c>
      <c r="C250" s="2">
        <v>1324</v>
      </c>
      <c r="D250" t="s">
        <v>349</v>
      </c>
      <c r="F250" t="s">
        <v>1280</v>
      </c>
      <c r="H250" s="2">
        <v>24.73</v>
      </c>
      <c r="I250" s="15">
        <v>0.88332299999999997</v>
      </c>
      <c r="J250" s="15">
        <v>0.69935199999999997</v>
      </c>
      <c r="AC250" s="2">
        <v>29.58</v>
      </c>
      <c r="AD250" s="2">
        <v>24.03</v>
      </c>
      <c r="AE250" s="2">
        <v>24.73</v>
      </c>
      <c r="AF250" s="14" t="s">
        <v>773</v>
      </c>
      <c r="AG250" s="14" t="s">
        <v>773</v>
      </c>
      <c r="AH250" s="14" t="s">
        <v>773</v>
      </c>
      <c r="AI250" s="14" t="s">
        <v>773</v>
      </c>
      <c r="AJ250" s="14" t="s">
        <v>773</v>
      </c>
      <c r="AK250" s="19">
        <v>0.23472222222222222</v>
      </c>
      <c r="AL250" s="8">
        <f>(5+(23/60))*AE250</f>
        <v>133.12983333333335</v>
      </c>
    </row>
    <row r="251" spans="1:38" x14ac:dyDescent="0.2">
      <c r="A251" s="2">
        <v>228</v>
      </c>
      <c r="B251" s="2">
        <v>241</v>
      </c>
      <c r="C251" s="2">
        <v>1302</v>
      </c>
      <c r="D251" t="s">
        <v>505</v>
      </c>
      <c r="AC251" s="57">
        <v>29.29</v>
      </c>
      <c r="AD251" s="2" t="s">
        <v>773</v>
      </c>
      <c r="AE251" s="1" t="s">
        <v>773</v>
      </c>
      <c r="AF251" s="14" t="s">
        <v>773</v>
      </c>
      <c r="AG251" s="14" t="s">
        <v>773</v>
      </c>
      <c r="AH251" s="14" t="s">
        <v>773</v>
      </c>
      <c r="AI251" s="14" t="s">
        <v>773</v>
      </c>
      <c r="AJ251" s="14" t="s">
        <v>773</v>
      </c>
      <c r="AK251" s="19">
        <v>0.16388888888888889</v>
      </c>
      <c r="AL251" s="8">
        <f>(3+(56/60))*AC251</f>
        <v>115.20733333333334</v>
      </c>
    </row>
    <row r="252" spans="1:38" x14ac:dyDescent="0.2">
      <c r="A252" s="2">
        <v>242</v>
      </c>
      <c r="B252" s="2">
        <v>126</v>
      </c>
      <c r="C252" s="2">
        <v>464</v>
      </c>
      <c r="D252" t="s">
        <v>149</v>
      </c>
      <c r="E252" t="s">
        <v>682</v>
      </c>
      <c r="G252" s="2">
        <v>5000</v>
      </c>
      <c r="H252" s="2">
        <v>103.8</v>
      </c>
      <c r="I252" s="15">
        <v>3.71</v>
      </c>
      <c r="J252" s="15">
        <v>3.1349999999999998</v>
      </c>
      <c r="AC252" s="2">
        <v>61.02</v>
      </c>
      <c r="AD252" s="2">
        <v>129.4</v>
      </c>
      <c r="AE252" s="2">
        <v>111</v>
      </c>
      <c r="AF252" s="2">
        <v>103.8</v>
      </c>
      <c r="AG252" s="14" t="s">
        <v>773</v>
      </c>
      <c r="AH252" s="2">
        <v>89.5</v>
      </c>
      <c r="AI252" s="14" t="s">
        <v>773</v>
      </c>
      <c r="AJ252" s="14" t="s">
        <v>773</v>
      </c>
      <c r="AK252" s="19">
        <v>5.9722222222222225E-2</v>
      </c>
      <c r="AL252" s="8">
        <f>(1+(26/60))*AH252</f>
        <v>128.28333333333333</v>
      </c>
    </row>
    <row r="253" spans="1:38" x14ac:dyDescent="0.2">
      <c r="A253" s="2">
        <v>234</v>
      </c>
      <c r="B253" s="2">
        <v>243</v>
      </c>
      <c r="C253" s="2">
        <v>363</v>
      </c>
      <c r="D253" t="s">
        <v>1352</v>
      </c>
      <c r="J253" s="15"/>
      <c r="AC253" s="2">
        <v>72.319999999999993</v>
      </c>
      <c r="AD253" s="2" t="s">
        <v>773</v>
      </c>
      <c r="AE253" s="2" t="s">
        <v>773</v>
      </c>
      <c r="AF253" s="2" t="s">
        <v>773</v>
      </c>
      <c r="AG253" s="14" t="s">
        <v>773</v>
      </c>
      <c r="AH253" s="2" t="s">
        <v>773</v>
      </c>
      <c r="AI253" s="14" t="s">
        <v>773</v>
      </c>
      <c r="AJ253" s="14" t="s">
        <v>773</v>
      </c>
      <c r="AK253" s="19">
        <v>0.32916666666666666</v>
      </c>
      <c r="AL253" s="8">
        <f>(7+(54/60))*AC253</f>
        <v>571.32799999999997</v>
      </c>
    </row>
    <row r="254" spans="1:38" x14ac:dyDescent="0.2">
      <c r="A254" s="2">
        <v>301</v>
      </c>
      <c r="B254" s="2">
        <v>244</v>
      </c>
      <c r="C254" s="2">
        <v>1637</v>
      </c>
      <c r="D254" t="s">
        <v>421</v>
      </c>
      <c r="AC254" s="2">
        <v>26.83</v>
      </c>
      <c r="AD254" s="2" t="s">
        <v>773</v>
      </c>
      <c r="AE254" s="2" t="s">
        <v>773</v>
      </c>
      <c r="AF254" s="2" t="s">
        <v>773</v>
      </c>
      <c r="AG254" s="14" t="s">
        <v>773</v>
      </c>
      <c r="AH254" s="2" t="s">
        <v>773</v>
      </c>
      <c r="AI254" s="14" t="s">
        <v>773</v>
      </c>
      <c r="AJ254" s="14" t="s">
        <v>773</v>
      </c>
      <c r="AK254" s="19">
        <v>0.15277777777777779</v>
      </c>
      <c r="AL254" s="8">
        <f>(3+(40/60))*AC254</f>
        <v>98.376666666666651</v>
      </c>
    </row>
    <row r="255" spans="1:38" s="3" customFormat="1" x14ac:dyDescent="0.2">
      <c r="A255" s="4">
        <v>245</v>
      </c>
      <c r="B255" s="4">
        <v>286</v>
      </c>
      <c r="C255" s="4">
        <v>822</v>
      </c>
      <c r="D255" s="3" t="s">
        <v>233</v>
      </c>
      <c r="E255" s="3" t="s">
        <v>5</v>
      </c>
      <c r="F255" s="3" t="s">
        <v>1262</v>
      </c>
      <c r="G255" s="4">
        <v>0</v>
      </c>
      <c r="H255" s="4">
        <v>73.849999999999994</v>
      </c>
      <c r="I255" s="16">
        <v>2.637</v>
      </c>
      <c r="J255" s="16">
        <v>2.3660000000000001</v>
      </c>
      <c r="K255" s="4"/>
      <c r="L255" s="9" t="s">
        <v>1251</v>
      </c>
      <c r="M255" s="9" t="s">
        <v>1251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4">
        <v>74.959999999999994</v>
      </c>
      <c r="AD255" s="4">
        <v>64.709999999999994</v>
      </c>
      <c r="AE255" s="4">
        <v>70.709999999999994</v>
      </c>
      <c r="AF255" s="4">
        <v>73.849999999999994</v>
      </c>
      <c r="AG255" s="4" t="s">
        <v>773</v>
      </c>
      <c r="AH255" s="4">
        <v>68.88</v>
      </c>
      <c r="AI255" s="4" t="s">
        <v>773</v>
      </c>
      <c r="AJ255" s="4" t="s">
        <v>773</v>
      </c>
      <c r="AK255" s="23">
        <v>5.6944444444444443E-2</v>
      </c>
      <c r="AL255" s="47">
        <f>(1+(22/60))*AH255</f>
        <v>94.135999999999996</v>
      </c>
    </row>
    <row r="256" spans="1:38" x14ac:dyDescent="0.2">
      <c r="A256" s="2">
        <v>251</v>
      </c>
      <c r="B256" s="2">
        <v>246</v>
      </c>
      <c r="C256" s="2">
        <v>292</v>
      </c>
      <c r="D256" t="s">
        <v>406</v>
      </c>
      <c r="E256" t="s">
        <v>566</v>
      </c>
      <c r="AC256" s="2">
        <v>127.6</v>
      </c>
      <c r="AD256" s="2" t="s">
        <v>773</v>
      </c>
      <c r="AE256" s="2" t="s">
        <v>773</v>
      </c>
      <c r="AF256" s="14" t="s">
        <v>773</v>
      </c>
      <c r="AG256" s="14" t="s">
        <v>773</v>
      </c>
      <c r="AH256" s="14" t="s">
        <v>773</v>
      </c>
      <c r="AI256" s="14" t="s">
        <v>773</v>
      </c>
      <c r="AJ256" s="57" t="s">
        <v>773</v>
      </c>
      <c r="AK256" s="19">
        <v>0.5</v>
      </c>
      <c r="AL256" s="79">
        <f>(12+(0/60))*AC256</f>
        <v>1531.1999999999998</v>
      </c>
    </row>
    <row r="257" spans="1:38" x14ac:dyDescent="0.2">
      <c r="A257" s="2">
        <v>247</v>
      </c>
      <c r="B257" s="2">
        <v>253</v>
      </c>
      <c r="C257" s="2">
        <v>1443</v>
      </c>
      <c r="D257" s="3" t="s">
        <v>363</v>
      </c>
      <c r="E257" s="3"/>
      <c r="F257" t="s">
        <v>1284</v>
      </c>
      <c r="AC257" s="2">
        <v>26.51</v>
      </c>
      <c r="AD257" s="2" t="s">
        <v>773</v>
      </c>
      <c r="AE257" s="2" t="s">
        <v>773</v>
      </c>
      <c r="AF257" s="14" t="s">
        <v>773</v>
      </c>
      <c r="AG257" s="14" t="s">
        <v>773</v>
      </c>
      <c r="AH257" s="14" t="s">
        <v>773</v>
      </c>
      <c r="AI257" s="14" t="s">
        <v>773</v>
      </c>
      <c r="AJ257" s="57" t="s">
        <v>773</v>
      </c>
      <c r="AK257" s="19">
        <v>0.23958333333333334</v>
      </c>
      <c r="AL257" s="8">
        <f>(5+(45/60))*AC257</f>
        <v>152.4325</v>
      </c>
    </row>
    <row r="258" spans="1:38" x14ac:dyDescent="0.2">
      <c r="A258" s="2">
        <v>248</v>
      </c>
      <c r="B258" s="2">
        <v>494</v>
      </c>
      <c r="C258" s="2">
        <v>2344</v>
      </c>
      <c r="D258" t="s">
        <v>500</v>
      </c>
      <c r="AC258" s="2">
        <v>25.5</v>
      </c>
      <c r="AD258" s="2" t="s">
        <v>773</v>
      </c>
      <c r="AE258" s="2" t="s">
        <v>773</v>
      </c>
      <c r="AF258" s="14" t="s">
        <v>773</v>
      </c>
      <c r="AG258" s="14" t="s">
        <v>773</v>
      </c>
      <c r="AH258" s="14" t="s">
        <v>773</v>
      </c>
      <c r="AI258" s="14" t="s">
        <v>773</v>
      </c>
      <c r="AJ258" s="57" t="s">
        <v>773</v>
      </c>
      <c r="AK258" s="19">
        <v>0.13541666666666666</v>
      </c>
      <c r="AL258" s="8">
        <f>(5+(45/60))*AC258</f>
        <v>146.625</v>
      </c>
    </row>
    <row r="259" spans="1:38" x14ac:dyDescent="0.2">
      <c r="A259" s="2">
        <v>249</v>
      </c>
      <c r="B259" s="2">
        <v>231</v>
      </c>
      <c r="C259" s="2">
        <v>1261</v>
      </c>
      <c r="D259" t="s">
        <v>602</v>
      </c>
      <c r="F259" t="s">
        <v>1306</v>
      </c>
      <c r="H259" s="2">
        <v>17.149999999999999</v>
      </c>
      <c r="I259" s="15">
        <v>0.61261299999999996</v>
      </c>
      <c r="J259" s="15">
        <v>0.50042799999999998</v>
      </c>
      <c r="AC259" s="2">
        <v>23.67</v>
      </c>
      <c r="AD259" s="2">
        <v>25.97</v>
      </c>
      <c r="AE259" s="2">
        <v>17.149999999999999</v>
      </c>
      <c r="AF259" s="14" t="s">
        <v>773</v>
      </c>
      <c r="AG259" s="14" t="s">
        <v>773</v>
      </c>
      <c r="AH259" s="14" t="s">
        <v>773</v>
      </c>
      <c r="AI259" s="14" t="s">
        <v>773</v>
      </c>
      <c r="AJ259" s="14" t="s">
        <v>773</v>
      </c>
      <c r="AK259" s="19">
        <v>0.3</v>
      </c>
      <c r="AL259" s="8">
        <f>(6+(50/60))*AE259</f>
        <v>117.19166666666665</v>
      </c>
    </row>
    <row r="260" spans="1:38" x14ac:dyDescent="0.2">
      <c r="A260" s="2">
        <v>251</v>
      </c>
      <c r="B260" s="2">
        <v>238</v>
      </c>
      <c r="C260" s="2">
        <v>1225</v>
      </c>
      <c r="D260" t="s">
        <v>301</v>
      </c>
      <c r="H260" s="2">
        <v>31.27</v>
      </c>
      <c r="I260" s="15">
        <v>1.1160000000000001</v>
      </c>
      <c r="J260" s="15">
        <v>0.93360100000000001</v>
      </c>
      <c r="AC260" s="2">
        <v>30.55</v>
      </c>
      <c r="AD260" s="2">
        <v>43.66</v>
      </c>
      <c r="AE260" s="2">
        <v>32.11</v>
      </c>
      <c r="AF260" s="2">
        <v>31.27</v>
      </c>
      <c r="AG260" s="14" t="s">
        <v>773</v>
      </c>
      <c r="AH260" s="14" t="s">
        <v>773</v>
      </c>
      <c r="AI260" s="14" t="s">
        <v>773</v>
      </c>
      <c r="AJ260" s="14" t="s">
        <v>773</v>
      </c>
      <c r="AK260" s="19">
        <v>0.16666666666666666</v>
      </c>
      <c r="AL260" s="8">
        <f>(4)*AF260</f>
        <v>125.08</v>
      </c>
    </row>
    <row r="261" spans="1:38" x14ac:dyDescent="0.2">
      <c r="A261" s="2">
        <v>252</v>
      </c>
      <c r="B261" s="2">
        <v>244</v>
      </c>
      <c r="C261" s="2">
        <v>236</v>
      </c>
      <c r="D261" t="s">
        <v>342</v>
      </c>
      <c r="H261" s="2">
        <v>124.6</v>
      </c>
      <c r="I261" s="15">
        <v>4.452</v>
      </c>
      <c r="J261" s="15">
        <v>2.9169999999999998</v>
      </c>
      <c r="O261" s="8">
        <v>124.553496</v>
      </c>
      <c r="P261" s="8">
        <v>132.06855200000001</v>
      </c>
      <c r="Q261" s="8">
        <v>123.128394</v>
      </c>
      <c r="R261" s="8">
        <v>129.86456899999999</v>
      </c>
      <c r="S261" s="8">
        <v>125.507152</v>
      </c>
      <c r="T261" s="8">
        <v>114.69023199999999</v>
      </c>
      <c r="U261" s="8">
        <v>117.055716</v>
      </c>
      <c r="V261" s="8">
        <v>122.11156200000001</v>
      </c>
      <c r="W261" s="8">
        <v>122.053264</v>
      </c>
      <c r="X261" s="8">
        <v>124.919713</v>
      </c>
      <c r="Y261" s="8">
        <v>141.44098600000001</v>
      </c>
      <c r="Z261" s="8">
        <v>113.148484</v>
      </c>
      <c r="AA261" s="8">
        <v>114.674632</v>
      </c>
      <c r="AC261" s="2">
        <v>129.19999999999999</v>
      </c>
      <c r="AD261" s="2">
        <v>129.4</v>
      </c>
      <c r="AE261" s="2">
        <v>124.6</v>
      </c>
      <c r="AF261" s="14" t="s">
        <v>773</v>
      </c>
      <c r="AG261" s="14" t="s">
        <v>773</v>
      </c>
      <c r="AH261" s="14" t="s">
        <v>773</v>
      </c>
      <c r="AI261" s="14" t="s">
        <v>773</v>
      </c>
      <c r="AJ261" s="14" t="s">
        <v>773</v>
      </c>
      <c r="AK261" s="19">
        <v>0.30624999999999997</v>
      </c>
      <c r="AL261" s="8">
        <f>(7+(21/60))*AE261</f>
        <v>915.81</v>
      </c>
    </row>
    <row r="262" spans="1:38" x14ac:dyDescent="0.2">
      <c r="A262" s="2">
        <v>253</v>
      </c>
      <c r="B262" s="2">
        <v>311</v>
      </c>
      <c r="C262" s="2">
        <v>1691</v>
      </c>
      <c r="D262" t="s">
        <v>225</v>
      </c>
      <c r="H262" s="2">
        <v>36.369999999999997</v>
      </c>
      <c r="I262" s="15">
        <v>1.2989999999999999</v>
      </c>
      <c r="J262" s="15">
        <v>1.1279999999999999</v>
      </c>
      <c r="AC262" s="2">
        <v>35.07</v>
      </c>
      <c r="AD262" s="2">
        <v>58.36</v>
      </c>
      <c r="AE262" s="2">
        <v>42.94</v>
      </c>
      <c r="AF262" s="2">
        <v>36.369999999999997</v>
      </c>
      <c r="AG262" s="2" t="s">
        <v>773</v>
      </c>
      <c r="AH262" s="2">
        <v>38.79</v>
      </c>
      <c r="AI262" s="2" t="s">
        <v>773</v>
      </c>
      <c r="AJ262" s="2" t="s">
        <v>773</v>
      </c>
      <c r="AK262" s="19">
        <v>9.6527777777777782E-2</v>
      </c>
      <c r="AL262" s="8">
        <f>(2+(1/60))*AH262</f>
        <v>78.226500000000001</v>
      </c>
    </row>
    <row r="263" spans="1:38" x14ac:dyDescent="0.2">
      <c r="A263" s="2">
        <v>254</v>
      </c>
      <c r="B263" s="2">
        <v>265</v>
      </c>
      <c r="C263" s="2">
        <v>646</v>
      </c>
      <c r="D263" t="s">
        <v>379</v>
      </c>
      <c r="AC263" s="2">
        <v>45.77</v>
      </c>
      <c r="AD263" s="2" t="s">
        <v>773</v>
      </c>
      <c r="AE263" s="2" t="s">
        <v>773</v>
      </c>
      <c r="AF263" s="14" t="s">
        <v>773</v>
      </c>
      <c r="AG263" s="14" t="s">
        <v>773</v>
      </c>
      <c r="AH263" s="14" t="s">
        <v>773</v>
      </c>
      <c r="AI263" s="14" t="s">
        <v>773</v>
      </c>
      <c r="AJ263" s="57" t="s">
        <v>773</v>
      </c>
      <c r="AK263" s="19">
        <v>0.21805555555555556</v>
      </c>
      <c r="AL263" s="8">
        <f>(5+(14/60))*AC263</f>
        <v>239.52966666666669</v>
      </c>
    </row>
    <row r="264" spans="1:38" x14ac:dyDescent="0.2">
      <c r="A264" s="2">
        <v>264</v>
      </c>
      <c r="B264" s="2">
        <v>255</v>
      </c>
      <c r="C264" s="2">
        <v>1497</v>
      </c>
      <c r="D264" t="s">
        <v>483</v>
      </c>
      <c r="AC264" s="2">
        <v>19.52</v>
      </c>
      <c r="AD264" s="2" t="s">
        <v>773</v>
      </c>
      <c r="AE264" s="2" t="s">
        <v>773</v>
      </c>
      <c r="AF264" s="2" t="s">
        <v>773</v>
      </c>
      <c r="AG264" s="2" t="s">
        <v>773</v>
      </c>
      <c r="AH264" s="2" t="s">
        <v>773</v>
      </c>
      <c r="AI264" s="2" t="s">
        <v>773</v>
      </c>
      <c r="AJ264" s="2" t="s">
        <v>773</v>
      </c>
      <c r="AK264" s="19">
        <v>0.48541666666666666</v>
      </c>
      <c r="AL264" s="8">
        <f>(11+(39/60))*AC264</f>
        <v>227.40800000000002</v>
      </c>
    </row>
    <row r="265" spans="1:38" x14ac:dyDescent="0.2">
      <c r="A265" s="2">
        <v>256</v>
      </c>
      <c r="B265" s="2">
        <v>205</v>
      </c>
      <c r="C265" s="2">
        <v>1074</v>
      </c>
      <c r="D265" t="s">
        <v>144</v>
      </c>
      <c r="E265" t="s">
        <v>6</v>
      </c>
      <c r="G265" s="2">
        <v>6900</v>
      </c>
      <c r="H265" s="2">
        <v>62.95</v>
      </c>
      <c r="I265" s="15">
        <v>2.3940000000000001</v>
      </c>
      <c r="J265" s="15">
        <v>2.17</v>
      </c>
      <c r="AC265" s="2">
        <v>50.18</v>
      </c>
      <c r="AD265" s="2">
        <v>71.83</v>
      </c>
      <c r="AE265" s="2">
        <v>67.03</v>
      </c>
      <c r="AF265" s="2">
        <v>62.95</v>
      </c>
      <c r="AG265" s="14" t="s">
        <v>773</v>
      </c>
      <c r="AH265" s="2">
        <v>65.540000000000006</v>
      </c>
      <c r="AI265" s="14" t="s">
        <v>773</v>
      </c>
      <c r="AJ265" s="14" t="s">
        <v>773</v>
      </c>
      <c r="AK265" s="19">
        <v>1.5277777777777777E-2</v>
      </c>
      <c r="AL265" s="8">
        <f>(21/60)*AH265</f>
        <v>22.939</v>
      </c>
    </row>
    <row r="266" spans="1:38" x14ac:dyDescent="0.2">
      <c r="A266" s="2">
        <v>257</v>
      </c>
      <c r="B266" s="2">
        <v>293</v>
      </c>
      <c r="C266" s="2">
        <v>391</v>
      </c>
      <c r="D266" t="s">
        <v>317</v>
      </c>
      <c r="H266" s="2">
        <v>79.09</v>
      </c>
      <c r="I266" s="15">
        <v>2.8239999999999998</v>
      </c>
      <c r="J266" s="15">
        <v>2.2389999999999999</v>
      </c>
      <c r="AC266" s="2">
        <v>69.25</v>
      </c>
      <c r="AD266" s="2">
        <v>74.260000000000005</v>
      </c>
      <c r="AE266" s="2">
        <v>74.75</v>
      </c>
      <c r="AF266" s="2">
        <v>79.09</v>
      </c>
      <c r="AG266" s="14" t="s">
        <v>773</v>
      </c>
      <c r="AH266" s="14" t="s">
        <v>773</v>
      </c>
      <c r="AI266" s="14" t="s">
        <v>773</v>
      </c>
      <c r="AJ266" s="14" t="s">
        <v>773</v>
      </c>
      <c r="AK266" s="19">
        <v>0.30833333333333335</v>
      </c>
      <c r="AL266" s="8">
        <f>(7+(24/60))*AF266</f>
        <v>585.26600000000008</v>
      </c>
    </row>
    <row r="267" spans="1:38" x14ac:dyDescent="0.2">
      <c r="A267" s="2">
        <v>258</v>
      </c>
      <c r="B267" s="2">
        <v>263</v>
      </c>
      <c r="C267" s="2">
        <v>1426</v>
      </c>
      <c r="D267" t="s">
        <v>300</v>
      </c>
      <c r="H267" s="2">
        <v>35.950000000000003</v>
      </c>
      <c r="I267" s="15">
        <v>1.2050000000000001</v>
      </c>
      <c r="J267" s="15">
        <v>0.98501499999999997</v>
      </c>
      <c r="K267" s="2">
        <v>17.52</v>
      </c>
      <c r="AC267" s="2">
        <v>28.97</v>
      </c>
      <c r="AD267" s="2">
        <v>30.18</v>
      </c>
      <c r="AE267" s="2">
        <v>28.01</v>
      </c>
      <c r="AF267" s="2">
        <v>34.200000000000003</v>
      </c>
      <c r="AG267" s="14" t="s">
        <v>773</v>
      </c>
      <c r="AH267" s="14" t="s">
        <v>773</v>
      </c>
      <c r="AI267" s="14" t="s">
        <v>773</v>
      </c>
      <c r="AJ267" s="14" t="s">
        <v>773</v>
      </c>
      <c r="AK267" s="19">
        <v>0.1763888888888889</v>
      </c>
      <c r="AL267" s="8">
        <f>(4+(14/60))*AF267</f>
        <v>144.78</v>
      </c>
    </row>
    <row r="268" spans="1:38" x14ac:dyDescent="0.2">
      <c r="A268" s="2">
        <v>259</v>
      </c>
      <c r="B268" s="2">
        <v>1110</v>
      </c>
      <c r="C268" s="2">
        <v>1350</v>
      </c>
      <c r="D268" t="s">
        <v>296</v>
      </c>
      <c r="E268" t="s">
        <v>1242</v>
      </c>
      <c r="G268" s="2">
        <v>1620</v>
      </c>
      <c r="H268" s="2">
        <v>39.200000000000003</v>
      </c>
      <c r="I268" s="15">
        <v>1.4</v>
      </c>
      <c r="J268" s="15">
        <v>1.141</v>
      </c>
      <c r="AC268" s="2">
        <v>31.58</v>
      </c>
      <c r="AD268" s="2">
        <v>35.049999999999997</v>
      </c>
      <c r="AE268" s="2">
        <v>32.99</v>
      </c>
      <c r="AF268" s="2">
        <v>39.200000000000003</v>
      </c>
      <c r="AG268" s="14" t="s">
        <v>773</v>
      </c>
      <c r="AH268" s="14" t="s">
        <v>773</v>
      </c>
      <c r="AI268" s="14" t="s">
        <v>773</v>
      </c>
      <c r="AJ268" s="14" t="s">
        <v>773</v>
      </c>
      <c r="AK268" s="19">
        <v>0.16805555555555557</v>
      </c>
      <c r="AL268" s="8">
        <f>(3+(59/60))*AF268</f>
        <v>156.14666666666668</v>
      </c>
    </row>
    <row r="269" spans="1:38" s="3" customFormat="1" x14ac:dyDescent="0.2">
      <c r="A269" s="4">
        <v>260</v>
      </c>
      <c r="B269" s="4">
        <v>289</v>
      </c>
      <c r="C269" s="4">
        <v>1607</v>
      </c>
      <c r="D269" s="3" t="s">
        <v>228</v>
      </c>
      <c r="E269" s="3" t="s">
        <v>675</v>
      </c>
      <c r="F269" s="3" t="s">
        <v>1270</v>
      </c>
      <c r="G269" s="4">
        <v>12550</v>
      </c>
      <c r="H269" s="4">
        <v>44.53</v>
      </c>
      <c r="I269" s="16">
        <v>1.59</v>
      </c>
      <c r="J269" s="16">
        <v>1.3240000000000001</v>
      </c>
      <c r="K269" s="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2">
        <v>43.13</v>
      </c>
      <c r="AD269" s="2">
        <v>43.93</v>
      </c>
      <c r="AE269" s="4">
        <v>36.67</v>
      </c>
      <c r="AF269" s="4">
        <v>44.53</v>
      </c>
      <c r="AG269" s="4" t="s">
        <v>773</v>
      </c>
      <c r="AH269" s="4">
        <v>47.95</v>
      </c>
      <c r="AI269" s="4" t="s">
        <v>773</v>
      </c>
      <c r="AJ269" s="4" t="s">
        <v>773</v>
      </c>
      <c r="AK269" s="23">
        <v>9.7916666666666666E-2</v>
      </c>
      <c r="AL269" s="47">
        <f>(2+(36/60))*AH269</f>
        <v>124.67000000000002</v>
      </c>
    </row>
    <row r="270" spans="1:38" x14ac:dyDescent="0.2">
      <c r="A270" s="2">
        <v>261</v>
      </c>
      <c r="B270" s="2">
        <v>139</v>
      </c>
      <c r="C270" s="2">
        <v>583</v>
      </c>
      <c r="D270" t="s">
        <v>147</v>
      </c>
      <c r="E270" t="s">
        <v>694</v>
      </c>
      <c r="G270" s="2">
        <v>9800</v>
      </c>
      <c r="H270" s="2">
        <v>54.88</v>
      </c>
      <c r="I270" s="15">
        <v>1.96</v>
      </c>
      <c r="J270" s="15">
        <v>1.377</v>
      </c>
      <c r="O270" s="58">
        <v>83.173000000000002</v>
      </c>
      <c r="P270" s="58">
        <v>89.24</v>
      </c>
      <c r="Q270" s="58">
        <v>83.326999999999998</v>
      </c>
      <c r="R270" s="58">
        <v>90.872</v>
      </c>
      <c r="S270" s="58">
        <v>82.153999999999996</v>
      </c>
      <c r="T270" s="58">
        <v>53.988999999999997</v>
      </c>
      <c r="U270" s="58">
        <v>49.668999999999997</v>
      </c>
      <c r="V270" s="58">
        <v>51.853000000000002</v>
      </c>
      <c r="W270" s="58">
        <v>69.387</v>
      </c>
      <c r="X270" s="58">
        <v>92.251000000000005</v>
      </c>
      <c r="Y270" s="58">
        <v>112.85599999999999</v>
      </c>
      <c r="Z270" s="58">
        <v>67.028000000000006</v>
      </c>
      <c r="AA270" s="58">
        <v>90.855000000000004</v>
      </c>
      <c r="AC270" s="2">
        <v>43.48</v>
      </c>
      <c r="AD270" s="2">
        <v>86.06</v>
      </c>
      <c r="AE270" s="2">
        <v>93.26</v>
      </c>
      <c r="AF270" s="2">
        <v>54.88</v>
      </c>
      <c r="AG270" s="14" t="s">
        <v>773</v>
      </c>
      <c r="AH270" s="2">
        <v>47.59</v>
      </c>
      <c r="AI270" s="14" t="s">
        <v>773</v>
      </c>
      <c r="AJ270" s="14" t="s">
        <v>773</v>
      </c>
      <c r="AK270" s="19">
        <v>0.17361111111111113</v>
      </c>
      <c r="AL270" s="8">
        <f>(4+(10/60))*AH270</f>
        <v>198.29166666666669</v>
      </c>
    </row>
    <row r="271" spans="1:38" x14ac:dyDescent="0.2">
      <c r="A271" s="2">
        <v>246</v>
      </c>
      <c r="B271" s="2">
        <v>262</v>
      </c>
      <c r="C271" s="2">
        <v>592</v>
      </c>
      <c r="D271" t="s">
        <v>443</v>
      </c>
      <c r="E271" t="s">
        <v>6</v>
      </c>
      <c r="AC271" s="2">
        <v>53.02</v>
      </c>
      <c r="AD271" s="2" t="s">
        <v>773</v>
      </c>
      <c r="AE271" s="1" t="s">
        <v>773</v>
      </c>
      <c r="AF271" s="14" t="s">
        <v>773</v>
      </c>
      <c r="AG271" s="14" t="s">
        <v>773</v>
      </c>
      <c r="AH271" s="14" t="s">
        <v>773</v>
      </c>
      <c r="AI271" s="14" t="s">
        <v>773</v>
      </c>
      <c r="AJ271" s="14" t="s">
        <v>773</v>
      </c>
      <c r="AK271" s="19">
        <v>0.46597222222222223</v>
      </c>
      <c r="AL271" s="8">
        <f>(11+(11/60))*AC271</f>
        <v>592.94033333333334</v>
      </c>
    </row>
    <row r="272" spans="1:38" x14ac:dyDescent="0.2">
      <c r="A272" s="2">
        <v>263</v>
      </c>
      <c r="B272" s="2">
        <v>199</v>
      </c>
      <c r="C272" s="2">
        <v>151</v>
      </c>
      <c r="D272" t="s">
        <v>183</v>
      </c>
      <c r="H272" s="2">
        <v>233.9</v>
      </c>
      <c r="I272" s="15">
        <v>8.3539999999999992</v>
      </c>
      <c r="J272" s="15">
        <v>6.7990000000000004</v>
      </c>
      <c r="O272" s="8">
        <v>613.91418599999997</v>
      </c>
      <c r="P272" s="8">
        <v>629.29451800000004</v>
      </c>
      <c r="Q272" s="8">
        <v>630.77027099999998</v>
      </c>
      <c r="R272" s="8">
        <v>634.08689000000004</v>
      </c>
      <c r="S272" s="8">
        <v>517.75634200000002</v>
      </c>
      <c r="T272" s="8">
        <v>483.45908200000002</v>
      </c>
      <c r="U272" s="8">
        <v>608.92287899999997</v>
      </c>
      <c r="V272" s="8">
        <v>513.29728299999999</v>
      </c>
      <c r="W272" s="8">
        <v>609.92774499999996</v>
      </c>
      <c r="X272" s="8">
        <v>631.61351300000001</v>
      </c>
      <c r="Y272" s="8">
        <v>579.74111300000004</v>
      </c>
      <c r="Z272" s="8">
        <v>589.06264699999997</v>
      </c>
      <c r="AA272" s="8">
        <v>543.30282099999999</v>
      </c>
      <c r="AC272" s="2">
        <v>172.5</v>
      </c>
      <c r="AD272" s="2">
        <v>239.2</v>
      </c>
      <c r="AE272" s="2">
        <v>255.6</v>
      </c>
      <c r="AF272" s="2">
        <v>233.9</v>
      </c>
      <c r="AG272" s="14" t="s">
        <v>773</v>
      </c>
      <c r="AH272" s="2">
        <v>237.5</v>
      </c>
      <c r="AI272" s="14" t="s">
        <v>773</v>
      </c>
      <c r="AJ272" s="14" t="s">
        <v>773</v>
      </c>
      <c r="AK272" s="19">
        <v>0.15416666666666667</v>
      </c>
      <c r="AL272" s="8">
        <f>(3+(42/60))*AH272</f>
        <v>878.75</v>
      </c>
    </row>
    <row r="273" spans="1:45" x14ac:dyDescent="0.2">
      <c r="A273" s="2">
        <v>264</v>
      </c>
      <c r="B273" s="2">
        <v>252</v>
      </c>
      <c r="C273" s="2">
        <v>1153</v>
      </c>
      <c r="D273" t="s">
        <v>203</v>
      </c>
      <c r="E273" t="s">
        <v>675</v>
      </c>
      <c r="F273" t="s">
        <v>1287</v>
      </c>
      <c r="G273" s="2">
        <v>10830</v>
      </c>
      <c r="H273" s="2">
        <v>53.81</v>
      </c>
      <c r="I273" s="15">
        <v>1.921</v>
      </c>
      <c r="J273" s="15">
        <v>1.359</v>
      </c>
      <c r="AC273" s="2">
        <v>55.64</v>
      </c>
      <c r="AD273" s="2">
        <v>50.32</v>
      </c>
      <c r="AE273" s="2">
        <v>47.02</v>
      </c>
      <c r="AF273" s="2">
        <v>53.81</v>
      </c>
      <c r="AG273" s="14" t="s">
        <v>773</v>
      </c>
      <c r="AH273" s="2">
        <v>51.65</v>
      </c>
      <c r="AI273" s="14" t="s">
        <v>773</v>
      </c>
      <c r="AJ273" s="14" t="s">
        <v>773</v>
      </c>
      <c r="AK273" s="19">
        <v>9.2361111111111116E-2</v>
      </c>
      <c r="AL273" s="8">
        <f>(2+(10/60))*AH273</f>
        <v>111.90833333333332</v>
      </c>
    </row>
    <row r="274" spans="1:45" x14ac:dyDescent="0.2">
      <c r="A274" s="2">
        <v>265</v>
      </c>
      <c r="B274" s="2">
        <v>276</v>
      </c>
      <c r="C274" s="2">
        <v>1548</v>
      </c>
      <c r="D274" t="s">
        <v>334</v>
      </c>
      <c r="E274" t="s">
        <v>711</v>
      </c>
      <c r="F274" s="12" t="s">
        <v>1280</v>
      </c>
      <c r="G274" s="2">
        <v>49790</v>
      </c>
      <c r="H274" s="2">
        <v>32.18</v>
      </c>
      <c r="I274" s="15">
        <v>1.149</v>
      </c>
      <c r="J274" s="15">
        <v>0.96315499999999998</v>
      </c>
      <c r="AC274" s="2">
        <v>31.42</v>
      </c>
      <c r="AD274" s="2">
        <v>29.2</v>
      </c>
      <c r="AE274" s="2">
        <v>32.18</v>
      </c>
      <c r="AF274" s="14" t="s">
        <v>773</v>
      </c>
      <c r="AG274" s="14" t="s">
        <v>773</v>
      </c>
      <c r="AH274" s="14" t="s">
        <v>773</v>
      </c>
      <c r="AI274" s="14" t="s">
        <v>773</v>
      </c>
      <c r="AJ274" s="14" t="s">
        <v>773</v>
      </c>
      <c r="AK274" s="19">
        <v>0.14027777777777778</v>
      </c>
      <c r="AL274" s="8">
        <f>(3+(30/60))*AE274</f>
        <v>112.63</v>
      </c>
    </row>
    <row r="275" spans="1:45" x14ac:dyDescent="0.2">
      <c r="A275" s="2">
        <v>266</v>
      </c>
      <c r="B275" s="2">
        <v>295</v>
      </c>
      <c r="C275" s="2">
        <v>1241</v>
      </c>
      <c r="D275" t="s">
        <v>248</v>
      </c>
      <c r="E275" t="s">
        <v>9</v>
      </c>
      <c r="F275" t="s">
        <v>1237</v>
      </c>
      <c r="G275" s="2">
        <v>152660</v>
      </c>
      <c r="H275" s="2">
        <v>41.13</v>
      </c>
      <c r="I275" s="15">
        <v>1.4690000000000001</v>
      </c>
      <c r="J275" s="15">
        <v>1.2549999999999999</v>
      </c>
      <c r="AC275" s="2">
        <v>84.76</v>
      </c>
      <c r="AD275" s="2">
        <v>47.72</v>
      </c>
      <c r="AE275" s="2">
        <v>52.81</v>
      </c>
      <c r="AF275" s="57">
        <v>41.13</v>
      </c>
      <c r="AG275" s="57" t="s">
        <v>773</v>
      </c>
      <c r="AH275" s="57">
        <v>44.68</v>
      </c>
      <c r="AI275" s="57" t="s">
        <v>773</v>
      </c>
      <c r="AJ275" s="57" t="s">
        <v>773</v>
      </c>
      <c r="AK275" s="19">
        <v>0.125</v>
      </c>
      <c r="AL275" s="8">
        <f>3*AH275</f>
        <v>134.04</v>
      </c>
      <c r="AQ275" s="3"/>
      <c r="AR275" s="3"/>
      <c r="AS275" s="3"/>
    </row>
    <row r="276" spans="1:45" x14ac:dyDescent="0.2">
      <c r="A276" s="2">
        <v>267</v>
      </c>
      <c r="B276" s="2">
        <v>196</v>
      </c>
      <c r="C276" s="2">
        <v>1010</v>
      </c>
      <c r="D276" t="s">
        <v>290</v>
      </c>
      <c r="E276" t="s">
        <v>710</v>
      </c>
      <c r="F276" t="s">
        <v>1277</v>
      </c>
      <c r="G276" s="2">
        <v>2000</v>
      </c>
      <c r="H276" s="2">
        <v>34.619999999999997</v>
      </c>
      <c r="I276" s="15">
        <v>1.236</v>
      </c>
      <c r="J276" s="15">
        <v>1.016</v>
      </c>
      <c r="AC276" s="2">
        <v>25.14</v>
      </c>
      <c r="AD276" s="2">
        <v>39.28</v>
      </c>
      <c r="AE276" s="2">
        <v>36.799999999999997</v>
      </c>
      <c r="AF276" s="2">
        <v>34.619999999999997</v>
      </c>
      <c r="AG276" s="14" t="s">
        <v>773</v>
      </c>
      <c r="AH276" s="14" t="s">
        <v>773</v>
      </c>
      <c r="AI276" s="14" t="s">
        <v>773</v>
      </c>
      <c r="AJ276" s="14" t="s">
        <v>773</v>
      </c>
      <c r="AK276" s="19">
        <v>0.20416666666666669</v>
      </c>
      <c r="AL276" s="8">
        <f>(4+(54/60))*AF276</f>
        <v>169.63800000000001</v>
      </c>
    </row>
    <row r="277" spans="1:45" x14ac:dyDescent="0.2">
      <c r="A277" s="2">
        <v>268</v>
      </c>
      <c r="B277" s="2">
        <v>208</v>
      </c>
      <c r="C277" s="2">
        <v>948</v>
      </c>
      <c r="D277" t="s">
        <v>221</v>
      </c>
      <c r="F277" t="s">
        <v>1260</v>
      </c>
      <c r="H277" s="2">
        <v>55.63</v>
      </c>
      <c r="I277" s="15">
        <v>1.986</v>
      </c>
      <c r="J277" s="15">
        <v>1.5409999999999999</v>
      </c>
      <c r="AC277" s="2">
        <v>61.86</v>
      </c>
      <c r="AD277" s="2">
        <v>47.82</v>
      </c>
      <c r="AE277" s="2">
        <v>55.48</v>
      </c>
      <c r="AF277" s="2">
        <v>55.63</v>
      </c>
      <c r="AG277" s="2" t="s">
        <v>773</v>
      </c>
      <c r="AH277" s="2">
        <v>52.93</v>
      </c>
      <c r="AI277" s="2" t="s">
        <v>773</v>
      </c>
      <c r="AJ277" s="2" t="s">
        <v>773</v>
      </c>
      <c r="AK277" s="19">
        <v>0.19305555555555554</v>
      </c>
      <c r="AL277" s="8">
        <f>(4+(38/60))*AH277</f>
        <v>245.24233333333331</v>
      </c>
    </row>
    <row r="278" spans="1:45" x14ac:dyDescent="0.2">
      <c r="A278" s="2">
        <v>305</v>
      </c>
      <c r="B278" s="2">
        <v>269</v>
      </c>
      <c r="C278" s="2">
        <v>313</v>
      </c>
      <c r="D278" t="s">
        <v>1353</v>
      </c>
      <c r="J278" s="15"/>
      <c r="AC278" s="2">
        <v>160.6</v>
      </c>
      <c r="AD278" s="2" t="s">
        <v>773</v>
      </c>
      <c r="AE278" s="2" t="s">
        <v>773</v>
      </c>
      <c r="AF278" s="2" t="s">
        <v>773</v>
      </c>
      <c r="AG278" s="2" t="s">
        <v>773</v>
      </c>
      <c r="AH278" s="2" t="s">
        <v>773</v>
      </c>
      <c r="AI278" s="2" t="s">
        <v>773</v>
      </c>
      <c r="AJ278" s="2" t="s">
        <v>773</v>
      </c>
      <c r="AK278" s="19">
        <v>0.49930555555555556</v>
      </c>
      <c r="AL278" s="8">
        <f>(11+(59/60))*AC278</f>
        <v>1924.5233333333331</v>
      </c>
    </row>
    <row r="279" spans="1:45" x14ac:dyDescent="0.2">
      <c r="A279" s="2">
        <v>270</v>
      </c>
      <c r="B279" s="2">
        <v>257</v>
      </c>
      <c r="C279" s="2">
        <v>1236</v>
      </c>
      <c r="D279" t="s">
        <v>279</v>
      </c>
      <c r="H279" s="2">
        <v>43.17</v>
      </c>
      <c r="I279" s="15">
        <v>1.5409999999999999</v>
      </c>
      <c r="J279" s="15">
        <v>1.27</v>
      </c>
      <c r="AC279" s="2">
        <v>30.22</v>
      </c>
      <c r="AD279" s="2">
        <v>47.42</v>
      </c>
      <c r="AE279" s="2">
        <v>38.26</v>
      </c>
      <c r="AF279" s="2">
        <v>43.17</v>
      </c>
      <c r="AG279" s="14" t="s">
        <v>773</v>
      </c>
      <c r="AH279" s="14" t="s">
        <v>773</v>
      </c>
      <c r="AI279" s="14" t="s">
        <v>773</v>
      </c>
      <c r="AJ279" s="14" t="s">
        <v>773</v>
      </c>
      <c r="AK279" s="19">
        <v>0.11875000000000001</v>
      </c>
      <c r="AL279" s="8">
        <f>(2+(51/60))*AF279</f>
        <v>123.03450000000001</v>
      </c>
    </row>
    <row r="280" spans="1:45" x14ac:dyDescent="0.2">
      <c r="A280" s="2">
        <v>282</v>
      </c>
      <c r="B280" s="2">
        <v>271</v>
      </c>
      <c r="C280" s="2">
        <v>1661</v>
      </c>
      <c r="D280" t="s">
        <v>477</v>
      </c>
      <c r="AC280" s="2">
        <v>21.72</v>
      </c>
      <c r="AD280" s="2" t="s">
        <v>773</v>
      </c>
      <c r="AE280" s="1" t="s">
        <v>773</v>
      </c>
      <c r="AF280" s="14" t="s">
        <v>773</v>
      </c>
      <c r="AG280" s="14" t="s">
        <v>773</v>
      </c>
      <c r="AH280" s="14" t="s">
        <v>773</v>
      </c>
      <c r="AI280" s="14" t="s">
        <v>773</v>
      </c>
      <c r="AJ280" s="14" t="s">
        <v>773</v>
      </c>
      <c r="AK280" s="19">
        <v>0.27361111111111114</v>
      </c>
      <c r="AL280" s="8">
        <f>(6+(34/60))*AC280</f>
        <v>142.62799999999999</v>
      </c>
    </row>
    <row r="281" spans="1:45" x14ac:dyDescent="0.2">
      <c r="A281" s="2">
        <v>265</v>
      </c>
      <c r="B281" s="2">
        <v>272</v>
      </c>
      <c r="C281" s="2">
        <v>516</v>
      </c>
      <c r="D281" t="s">
        <v>1354</v>
      </c>
      <c r="AC281" s="2">
        <v>63.02</v>
      </c>
      <c r="AD281" s="2" t="s">
        <v>773</v>
      </c>
      <c r="AE281" s="1" t="s">
        <v>773</v>
      </c>
      <c r="AF281" s="14" t="s">
        <v>773</v>
      </c>
      <c r="AG281" s="14" t="s">
        <v>773</v>
      </c>
      <c r="AH281" s="14" t="s">
        <v>773</v>
      </c>
      <c r="AI281" s="14" t="s">
        <v>773</v>
      </c>
      <c r="AJ281" s="14" t="s">
        <v>773</v>
      </c>
      <c r="AK281" s="19">
        <v>0.31388888888888888</v>
      </c>
      <c r="AL281" s="8">
        <f>(7+(32/60))*AC281</f>
        <v>474.75066666666669</v>
      </c>
    </row>
    <row r="282" spans="1:45" x14ac:dyDescent="0.2">
      <c r="A282" s="2">
        <v>273</v>
      </c>
      <c r="B282" s="2">
        <v>315</v>
      </c>
      <c r="C282" s="2">
        <v>760</v>
      </c>
      <c r="D282" t="s">
        <v>223</v>
      </c>
      <c r="H282" s="2">
        <v>79.67</v>
      </c>
      <c r="I282" s="15">
        <v>2.8450000000000002</v>
      </c>
      <c r="J282" s="15">
        <v>2.4009999999999998</v>
      </c>
      <c r="AC282" s="2">
        <v>67.599999999999994</v>
      </c>
      <c r="AD282" s="2">
        <v>81.61</v>
      </c>
      <c r="AE282" s="2">
        <v>65.819999999999993</v>
      </c>
      <c r="AF282" s="2">
        <v>79.67</v>
      </c>
      <c r="AG282" s="2" t="s">
        <v>773</v>
      </c>
      <c r="AH282" s="2">
        <v>81.89</v>
      </c>
      <c r="AI282" s="2" t="s">
        <v>773</v>
      </c>
      <c r="AJ282" s="2" t="s">
        <v>773</v>
      </c>
      <c r="AK282" s="19">
        <v>8.4722222222222213E-2</v>
      </c>
      <c r="AL282" s="8">
        <f>(2+(2/60))*AH282</f>
        <v>166.50966666666665</v>
      </c>
    </row>
    <row r="283" spans="1:45" x14ac:dyDescent="0.2">
      <c r="A283" s="2">
        <v>274</v>
      </c>
      <c r="B283" s="2">
        <v>167</v>
      </c>
      <c r="C283" s="2">
        <v>178</v>
      </c>
      <c r="D283" t="s">
        <v>213</v>
      </c>
      <c r="E283" t="s">
        <v>561</v>
      </c>
      <c r="F283" t="s">
        <v>1324</v>
      </c>
      <c r="G283" s="2">
        <v>13940</v>
      </c>
      <c r="H283" s="2">
        <v>167.6</v>
      </c>
      <c r="I283" s="15">
        <v>5.9859999999999998</v>
      </c>
      <c r="J283" s="15">
        <v>4.1870000000000003</v>
      </c>
      <c r="O283" s="8">
        <v>148.98464899999999</v>
      </c>
      <c r="P283" s="8">
        <v>154.08130700000001</v>
      </c>
      <c r="Q283" s="8">
        <v>148.92765700000001</v>
      </c>
      <c r="R283" s="8">
        <v>149.744878</v>
      </c>
      <c r="S283" s="8">
        <v>144.41755499999999</v>
      </c>
      <c r="T283" s="8">
        <v>150.68867299999999</v>
      </c>
      <c r="U283" s="8">
        <v>158.50585699999999</v>
      </c>
      <c r="V283" s="8">
        <v>149.96788699999999</v>
      </c>
      <c r="W283" s="8">
        <v>167.21868699999999</v>
      </c>
      <c r="X283" s="8">
        <v>185.71258800000001</v>
      </c>
      <c r="Y283" s="8">
        <v>145.02757700000001</v>
      </c>
      <c r="Z283" s="8">
        <v>124.92747</v>
      </c>
      <c r="AA283" s="8">
        <v>125.25693699999999</v>
      </c>
      <c r="AC283" s="2">
        <v>104</v>
      </c>
      <c r="AD283" s="2">
        <v>189.1</v>
      </c>
      <c r="AE283" s="2">
        <v>178.1</v>
      </c>
      <c r="AF283" s="2">
        <v>167.6</v>
      </c>
      <c r="AG283" s="2" t="s">
        <v>773</v>
      </c>
      <c r="AH283" s="2">
        <v>170.8</v>
      </c>
      <c r="AI283" s="2" t="s">
        <v>773</v>
      </c>
      <c r="AJ283" s="2" t="s">
        <v>773</v>
      </c>
      <c r="AK283" s="19">
        <v>0.23541666666666669</v>
      </c>
      <c r="AL283" s="8">
        <f>(5+(39/60))*AH283</f>
        <v>965.0200000000001</v>
      </c>
    </row>
    <row r="284" spans="1:45" x14ac:dyDescent="0.2">
      <c r="A284" s="2">
        <v>275</v>
      </c>
      <c r="B284" s="2">
        <v>269</v>
      </c>
      <c r="C284" s="2">
        <v>1151</v>
      </c>
      <c r="D284" t="s">
        <v>226</v>
      </c>
      <c r="F284" t="s">
        <v>1237</v>
      </c>
      <c r="H284" s="2">
        <v>44.66</v>
      </c>
      <c r="I284" s="15">
        <v>1.595</v>
      </c>
      <c r="J284" s="15">
        <v>1.4430000000000001</v>
      </c>
      <c r="K284" s="4"/>
      <c r="AC284" s="2">
        <v>41.15</v>
      </c>
      <c r="AD284" s="2">
        <v>43.4</v>
      </c>
      <c r="AE284" s="2">
        <v>45.44</v>
      </c>
      <c r="AF284" s="2">
        <v>44.66</v>
      </c>
      <c r="AG284" s="2" t="s">
        <v>773</v>
      </c>
      <c r="AH284" s="2">
        <v>44.62</v>
      </c>
      <c r="AI284" s="2" t="s">
        <v>773</v>
      </c>
      <c r="AJ284" s="2" t="s">
        <v>773</v>
      </c>
      <c r="AK284" s="19">
        <v>8.4722222222222213E-2</v>
      </c>
      <c r="AL284" s="8">
        <f>(2+(2/60))*AH284</f>
        <v>90.72733333333332</v>
      </c>
    </row>
    <row r="285" spans="1:45" x14ac:dyDescent="0.2">
      <c r="A285" s="2">
        <v>296</v>
      </c>
      <c r="B285" s="2">
        <v>276</v>
      </c>
      <c r="C285" s="2">
        <v>1657</v>
      </c>
      <c r="D285" t="s">
        <v>601</v>
      </c>
      <c r="E285" t="s">
        <v>623</v>
      </c>
      <c r="H285" s="2">
        <v>19.38</v>
      </c>
      <c r="AC285" s="2">
        <v>28.05</v>
      </c>
      <c r="AD285" s="2" t="s">
        <v>773</v>
      </c>
      <c r="AE285" s="1" t="s">
        <v>773</v>
      </c>
      <c r="AF285" s="14" t="s">
        <v>773</v>
      </c>
      <c r="AG285" s="14" t="s">
        <v>773</v>
      </c>
      <c r="AH285" s="14" t="s">
        <v>773</v>
      </c>
      <c r="AI285" s="14" t="s">
        <v>773</v>
      </c>
      <c r="AJ285" s="2" t="s">
        <v>773</v>
      </c>
      <c r="AK285" s="19">
        <v>0.31805555555555554</v>
      </c>
      <c r="AL285" s="8">
        <f>(7+(38/60))*AC285</f>
        <v>214.11499999999998</v>
      </c>
    </row>
    <row r="286" spans="1:45" x14ac:dyDescent="0.2">
      <c r="A286" s="2">
        <v>277</v>
      </c>
      <c r="C286" s="2">
        <v>128</v>
      </c>
      <c r="D286" t="s">
        <v>1355</v>
      </c>
      <c r="AC286" s="2">
        <v>13.05</v>
      </c>
      <c r="AD286" s="2" t="s">
        <v>773</v>
      </c>
      <c r="AE286" s="2" t="s">
        <v>773</v>
      </c>
      <c r="AF286" s="2" t="s">
        <v>773</v>
      </c>
      <c r="AG286" s="2" t="s">
        <v>773</v>
      </c>
      <c r="AH286" s="2" t="s">
        <v>773</v>
      </c>
      <c r="AI286" s="2" t="s">
        <v>773</v>
      </c>
      <c r="AJ286" s="2" t="s">
        <v>773</v>
      </c>
      <c r="AK286" s="19">
        <v>0.19513888888888889</v>
      </c>
      <c r="AL286" s="8">
        <f>(4+(41/60))*AC286</f>
        <v>61.117500000000007</v>
      </c>
    </row>
    <row r="287" spans="1:45" x14ac:dyDescent="0.2">
      <c r="A287" s="2">
        <v>278</v>
      </c>
      <c r="B287" s="4">
        <v>256</v>
      </c>
      <c r="C287" s="2">
        <v>1319</v>
      </c>
      <c r="D287" t="s">
        <v>364</v>
      </c>
      <c r="F287" t="s">
        <v>540</v>
      </c>
      <c r="AC287" s="2">
        <v>26.06</v>
      </c>
      <c r="AD287" s="2" t="s">
        <v>773</v>
      </c>
      <c r="AE287" s="2" t="s">
        <v>773</v>
      </c>
      <c r="AF287" s="14" t="s">
        <v>773</v>
      </c>
      <c r="AG287" s="14" t="s">
        <v>773</v>
      </c>
      <c r="AH287" s="14" t="s">
        <v>773</v>
      </c>
      <c r="AI287" s="14" t="s">
        <v>773</v>
      </c>
      <c r="AJ287" s="57" t="s">
        <v>773</v>
      </c>
      <c r="AK287" s="19">
        <v>0.34027777777777779</v>
      </c>
      <c r="AL287" s="8">
        <f>(8+(10/60))*AC287</f>
        <v>212.8233333333333</v>
      </c>
    </row>
    <row r="288" spans="1:45" x14ac:dyDescent="0.2">
      <c r="A288" s="2">
        <v>279</v>
      </c>
      <c r="B288" s="2">
        <v>361</v>
      </c>
      <c r="C288" s="2">
        <v>270</v>
      </c>
      <c r="D288" t="s">
        <v>311</v>
      </c>
      <c r="H288" s="2">
        <v>147.5</v>
      </c>
      <c r="I288" s="15">
        <v>5.2679999999999998</v>
      </c>
      <c r="J288" s="15">
        <v>3.7149999999999999</v>
      </c>
      <c r="O288" s="8">
        <v>411.07084800000001</v>
      </c>
      <c r="P288" s="8">
        <v>459.58200399999998</v>
      </c>
      <c r="Q288" s="8">
        <v>419.069322</v>
      </c>
      <c r="R288" s="8">
        <v>396.94697400000001</v>
      </c>
      <c r="S288" s="8">
        <v>413.21765900000003</v>
      </c>
      <c r="T288" s="8">
        <v>365.75069100000002</v>
      </c>
      <c r="U288" s="8">
        <v>426.117816</v>
      </c>
      <c r="V288" s="8">
        <v>384.07556899999997</v>
      </c>
      <c r="W288" s="8">
        <v>411.72316499999999</v>
      </c>
      <c r="X288" s="8">
        <v>468.02974599999999</v>
      </c>
      <c r="Y288" s="8">
        <v>429.69635</v>
      </c>
      <c r="Z288" s="8">
        <v>376.91881999999998</v>
      </c>
      <c r="AA288" s="8">
        <v>432.51700499999998</v>
      </c>
      <c r="AC288" s="2">
        <v>164.7</v>
      </c>
      <c r="AD288" s="2">
        <v>157</v>
      </c>
      <c r="AE288" s="2">
        <v>133.19999999999999</v>
      </c>
      <c r="AF288" s="2">
        <v>147.5</v>
      </c>
      <c r="AG288" s="14" t="s">
        <v>773</v>
      </c>
      <c r="AH288" s="14" t="s">
        <v>773</v>
      </c>
      <c r="AI288" s="14" t="s">
        <v>773</v>
      </c>
      <c r="AJ288" s="14" t="s">
        <v>773</v>
      </c>
      <c r="AK288" s="19">
        <v>0.17361111111111113</v>
      </c>
      <c r="AL288" s="8">
        <f>(4+(10/60))*AF288</f>
        <v>614.58333333333337</v>
      </c>
    </row>
    <row r="289" spans="1:46" x14ac:dyDescent="0.2">
      <c r="A289" s="2">
        <v>280</v>
      </c>
      <c r="B289" s="2">
        <v>311</v>
      </c>
      <c r="C289" s="2">
        <v>344</v>
      </c>
      <c r="D289" t="s">
        <v>298</v>
      </c>
      <c r="E289" t="s">
        <v>6</v>
      </c>
      <c r="F289" t="s">
        <v>1286</v>
      </c>
      <c r="G289" s="2">
        <v>800</v>
      </c>
      <c r="H289" s="2">
        <v>114.4</v>
      </c>
      <c r="I289" s="15">
        <v>4.0880000000000001</v>
      </c>
      <c r="J289" s="15">
        <v>2.7330000000000001</v>
      </c>
      <c r="AC289" s="2">
        <v>106.6</v>
      </c>
      <c r="AD289" s="2">
        <v>110.1</v>
      </c>
      <c r="AE289" s="2">
        <v>108.3</v>
      </c>
      <c r="AF289" s="2">
        <v>114.4</v>
      </c>
      <c r="AG289" s="14" t="s">
        <v>773</v>
      </c>
      <c r="AH289" s="14" t="s">
        <v>773</v>
      </c>
      <c r="AI289" s="14" t="s">
        <v>773</v>
      </c>
      <c r="AJ289" s="14" t="s">
        <v>773</v>
      </c>
      <c r="AK289" s="19">
        <v>0.29930555555555555</v>
      </c>
      <c r="AL289" s="8">
        <f>(7+(11/60))*AF289</f>
        <v>821.77333333333343</v>
      </c>
    </row>
    <row r="290" spans="1:46" x14ac:dyDescent="0.2">
      <c r="A290" s="2">
        <v>282</v>
      </c>
      <c r="B290" s="2">
        <v>288</v>
      </c>
      <c r="C290" s="2">
        <v>971</v>
      </c>
      <c r="D290" t="s">
        <v>254</v>
      </c>
      <c r="E290" t="s">
        <v>709</v>
      </c>
      <c r="F290" t="s">
        <v>1272</v>
      </c>
      <c r="G290" s="2">
        <v>10340</v>
      </c>
      <c r="H290" s="2">
        <v>54.58</v>
      </c>
      <c r="I290" s="15">
        <v>1.9490000000000001</v>
      </c>
      <c r="J290" s="15">
        <v>1.575</v>
      </c>
      <c r="AC290" s="2">
        <v>49.29</v>
      </c>
      <c r="AD290" s="2">
        <v>45.02</v>
      </c>
      <c r="AE290" s="2">
        <v>51.87</v>
      </c>
      <c r="AF290" s="57">
        <v>54.58</v>
      </c>
      <c r="AG290" s="57" t="s">
        <v>773</v>
      </c>
      <c r="AH290" s="57">
        <v>52.91</v>
      </c>
      <c r="AI290" s="57" t="s">
        <v>773</v>
      </c>
      <c r="AJ290" s="57" t="s">
        <v>773</v>
      </c>
      <c r="AK290" s="19">
        <v>0.17222222222222225</v>
      </c>
      <c r="AL290" s="8">
        <f>(4+(8/60))*AH290</f>
        <v>218.69466666666668</v>
      </c>
    </row>
    <row r="291" spans="1:46" x14ac:dyDescent="0.2">
      <c r="A291" s="2">
        <v>302</v>
      </c>
      <c r="B291" s="2">
        <v>307</v>
      </c>
      <c r="C291" s="2">
        <v>1060</v>
      </c>
      <c r="D291" t="s">
        <v>473</v>
      </c>
      <c r="E291" t="s">
        <v>709</v>
      </c>
      <c r="F291" t="s">
        <v>1272</v>
      </c>
      <c r="G291" s="2">
        <v>10340</v>
      </c>
      <c r="AC291" s="2">
        <v>34.549999999999997</v>
      </c>
      <c r="AD291" s="2" t="s">
        <v>773</v>
      </c>
      <c r="AE291" s="1" t="s">
        <v>773</v>
      </c>
      <c r="AF291" s="14" t="s">
        <v>773</v>
      </c>
      <c r="AG291" s="14" t="s">
        <v>773</v>
      </c>
      <c r="AH291" s="14" t="s">
        <v>773</v>
      </c>
      <c r="AI291" s="57" t="s">
        <v>773</v>
      </c>
      <c r="AJ291" s="57" t="s">
        <v>773</v>
      </c>
      <c r="AK291" s="19">
        <v>0.27777777777777779</v>
      </c>
      <c r="AL291" s="8">
        <f>(6+(40/60))*AC291</f>
        <v>230.33333333333331</v>
      </c>
    </row>
    <row r="292" spans="1:46" x14ac:dyDescent="0.2">
      <c r="A292" s="2">
        <v>300</v>
      </c>
      <c r="B292" s="2">
        <v>283</v>
      </c>
      <c r="C292" s="2">
        <v>1713</v>
      </c>
      <c r="D292" t="s">
        <v>432</v>
      </c>
      <c r="AC292" s="2">
        <v>39.65</v>
      </c>
      <c r="AD292" s="2" t="s">
        <v>773</v>
      </c>
      <c r="AE292" s="1" t="s">
        <v>773</v>
      </c>
      <c r="AF292" s="14" t="s">
        <v>773</v>
      </c>
      <c r="AG292" s="14" t="s">
        <v>773</v>
      </c>
      <c r="AH292" s="14" t="s">
        <v>773</v>
      </c>
      <c r="AI292" s="57" t="s">
        <v>773</v>
      </c>
      <c r="AJ292" s="57" t="s">
        <v>773</v>
      </c>
      <c r="AK292" s="19">
        <v>8.5416666666666669E-2</v>
      </c>
      <c r="AL292" s="8">
        <f>(2+(3/60))*AC292</f>
        <v>81.282499999999985</v>
      </c>
    </row>
    <row r="293" spans="1:46" x14ac:dyDescent="0.2">
      <c r="A293" s="2">
        <v>284</v>
      </c>
      <c r="B293" s="2">
        <v>323</v>
      </c>
      <c r="C293" s="2">
        <v>1015</v>
      </c>
      <c r="D293" t="s">
        <v>287</v>
      </c>
      <c r="E293" t="s">
        <v>694</v>
      </c>
      <c r="G293" s="2">
        <v>9780</v>
      </c>
      <c r="H293" s="2">
        <v>53.09</v>
      </c>
      <c r="I293" s="15">
        <v>1.8959999999999999</v>
      </c>
      <c r="J293" s="15">
        <v>1.18</v>
      </c>
      <c r="AC293" s="2">
        <v>46.41</v>
      </c>
      <c r="AD293" s="2">
        <v>59.05</v>
      </c>
      <c r="AE293" s="2">
        <v>50.38</v>
      </c>
      <c r="AF293" s="2">
        <v>53.09</v>
      </c>
      <c r="AG293" s="14" t="s">
        <v>773</v>
      </c>
      <c r="AH293" s="14" t="s">
        <v>773</v>
      </c>
      <c r="AI293" s="14" t="s">
        <v>773</v>
      </c>
      <c r="AJ293" s="14" t="s">
        <v>773</v>
      </c>
      <c r="AK293" s="19">
        <v>0.25625000000000003</v>
      </c>
      <c r="AL293" s="8">
        <f>(6+(9/60))*AF293</f>
        <v>326.50350000000003</v>
      </c>
    </row>
    <row r="294" spans="1:46" x14ac:dyDescent="0.2">
      <c r="A294" s="2">
        <v>285</v>
      </c>
      <c r="B294" s="2">
        <v>266</v>
      </c>
      <c r="C294" s="2">
        <v>782</v>
      </c>
      <c r="D294" t="s">
        <v>212</v>
      </c>
      <c r="E294" t="s">
        <v>705</v>
      </c>
      <c r="G294" s="2">
        <v>10870</v>
      </c>
      <c r="H294" s="2">
        <v>62.12</v>
      </c>
      <c r="I294" s="15">
        <v>2.218</v>
      </c>
      <c r="J294" s="15">
        <v>1.8759999999999999</v>
      </c>
      <c r="AC294" s="2">
        <v>64.319999999999993</v>
      </c>
      <c r="AD294" s="2">
        <v>55.49</v>
      </c>
      <c r="AE294" s="2">
        <v>69.489999999999995</v>
      </c>
      <c r="AF294" s="2">
        <v>62.12</v>
      </c>
      <c r="AG294" s="2" t="s">
        <v>773</v>
      </c>
      <c r="AH294" s="2">
        <v>60.62</v>
      </c>
      <c r="AI294" s="2" t="s">
        <v>773</v>
      </c>
      <c r="AJ294" s="2" t="s">
        <v>773</v>
      </c>
      <c r="AK294" s="19">
        <v>9.5833333333333326E-2</v>
      </c>
      <c r="AL294" s="8">
        <f>(2+(18/60))*AH294</f>
        <v>139.42599999999999</v>
      </c>
    </row>
    <row r="295" spans="1:46" x14ac:dyDescent="0.2">
      <c r="A295" s="2">
        <v>387</v>
      </c>
      <c r="B295" s="2">
        <v>286</v>
      </c>
      <c r="C295" s="2">
        <v>2271</v>
      </c>
      <c r="D295" t="s">
        <v>450</v>
      </c>
      <c r="AC295" s="2">
        <v>20.38</v>
      </c>
      <c r="AD295" s="2" t="s">
        <v>773</v>
      </c>
      <c r="AE295" s="2" t="s">
        <v>773</v>
      </c>
      <c r="AF295" s="2" t="s">
        <v>773</v>
      </c>
      <c r="AG295" s="2" t="s">
        <v>773</v>
      </c>
      <c r="AH295" s="2" t="s">
        <v>773</v>
      </c>
      <c r="AI295" s="2" t="s">
        <v>773</v>
      </c>
      <c r="AJ295" s="2" t="s">
        <v>773</v>
      </c>
      <c r="AK295" s="19">
        <v>0.16527777777777777</v>
      </c>
      <c r="AL295" s="8">
        <f>(3+(58/60))*AC295</f>
        <v>80.840666666666664</v>
      </c>
    </row>
    <row r="296" spans="1:46" x14ac:dyDescent="0.2">
      <c r="A296" s="2">
        <v>280</v>
      </c>
      <c r="B296" s="2">
        <v>287</v>
      </c>
      <c r="C296" s="2">
        <v>185</v>
      </c>
      <c r="D296" t="s">
        <v>491</v>
      </c>
      <c r="E296" t="s">
        <v>6</v>
      </c>
      <c r="AC296" s="1">
        <v>137</v>
      </c>
      <c r="AD296" s="2" t="s">
        <v>773</v>
      </c>
      <c r="AE296" s="2" t="s">
        <v>773</v>
      </c>
      <c r="AF296" s="2" t="s">
        <v>773</v>
      </c>
      <c r="AG296" s="2" t="s">
        <v>773</v>
      </c>
      <c r="AH296" s="2" t="s">
        <v>773</v>
      </c>
      <c r="AI296" s="2" t="s">
        <v>773</v>
      </c>
      <c r="AJ296" s="2" t="s">
        <v>773</v>
      </c>
      <c r="AK296" s="19">
        <v>0.37916666666666665</v>
      </c>
      <c r="AL296" s="8">
        <f>(9+(6/60))*AC296</f>
        <v>1246.7</v>
      </c>
    </row>
    <row r="297" spans="1:46" x14ac:dyDescent="0.2">
      <c r="A297" s="2">
        <v>276</v>
      </c>
      <c r="B297" s="2">
        <v>288</v>
      </c>
      <c r="C297" s="2">
        <v>245</v>
      </c>
      <c r="D297" t="s">
        <v>165</v>
      </c>
      <c r="E297" t="s">
        <v>1234</v>
      </c>
      <c r="AC297" s="2">
        <v>110.3</v>
      </c>
      <c r="AD297" s="2" t="s">
        <v>773</v>
      </c>
      <c r="AE297" s="2" t="s">
        <v>773</v>
      </c>
      <c r="AF297" s="2" t="s">
        <v>773</v>
      </c>
      <c r="AG297" s="2" t="s">
        <v>773</v>
      </c>
      <c r="AH297" s="2" t="s">
        <v>773</v>
      </c>
      <c r="AI297" s="2" t="s">
        <v>773</v>
      </c>
      <c r="AJ297" s="2" t="s">
        <v>773</v>
      </c>
      <c r="AK297" s="19">
        <v>0.32361111111111113</v>
      </c>
      <c r="AL297" s="8">
        <f>(7+(46/60))*AC297</f>
        <v>856.6633333333333</v>
      </c>
    </row>
    <row r="298" spans="1:46" s="3" customFormat="1" x14ac:dyDescent="0.2">
      <c r="A298" s="4">
        <v>289</v>
      </c>
      <c r="B298" s="4">
        <v>800</v>
      </c>
      <c r="C298" s="4">
        <v>278</v>
      </c>
      <c r="D298" s="3" t="s">
        <v>571</v>
      </c>
      <c r="E298" s="3" t="s">
        <v>6</v>
      </c>
      <c r="G298" s="4">
        <v>3000</v>
      </c>
      <c r="H298" s="4">
        <v>164</v>
      </c>
      <c r="I298" s="16">
        <v>5.8570000000000002</v>
      </c>
      <c r="J298" s="16">
        <v>3.2010000000000001</v>
      </c>
      <c r="K298" s="4"/>
      <c r="L298" s="9" t="s">
        <v>16</v>
      </c>
      <c r="M298" s="9"/>
      <c r="N298" s="9"/>
      <c r="O298" s="58">
        <v>208.33199999999999</v>
      </c>
      <c r="P298" s="58">
        <v>216.1</v>
      </c>
      <c r="Q298" s="58">
        <v>214.9</v>
      </c>
      <c r="R298" s="58">
        <v>200.2</v>
      </c>
      <c r="S298" s="58">
        <v>188.5</v>
      </c>
      <c r="T298" s="58">
        <v>196.2</v>
      </c>
      <c r="U298" s="58">
        <v>230.4</v>
      </c>
      <c r="V298" s="58">
        <v>200.66</v>
      </c>
      <c r="W298" s="58">
        <v>217.2</v>
      </c>
      <c r="X298" s="58">
        <v>197.3</v>
      </c>
      <c r="Y298" s="58">
        <v>227.06</v>
      </c>
      <c r="Z298" s="58">
        <v>212.07</v>
      </c>
      <c r="AA298" s="58">
        <v>210.94</v>
      </c>
      <c r="AB298" s="9"/>
      <c r="AC298" s="4">
        <v>183.5</v>
      </c>
      <c r="AD298" s="4">
        <v>181.1</v>
      </c>
      <c r="AE298" s="9">
        <v>164</v>
      </c>
      <c r="AF298" s="46" t="s">
        <v>773</v>
      </c>
      <c r="AG298" s="46" t="s">
        <v>773</v>
      </c>
      <c r="AH298" s="46" t="s">
        <v>773</v>
      </c>
      <c r="AI298" s="46" t="s">
        <v>773</v>
      </c>
      <c r="AJ298" s="46" t="s">
        <v>773</v>
      </c>
      <c r="AK298" s="23">
        <v>0.35833333333333334</v>
      </c>
      <c r="AL298" s="47">
        <f>(8+(36/60))*AE298</f>
        <v>1410.3999999999999</v>
      </c>
    </row>
    <row r="299" spans="1:46" x14ac:dyDescent="0.2">
      <c r="A299" s="2">
        <v>355</v>
      </c>
      <c r="B299" s="4">
        <v>290</v>
      </c>
      <c r="C299" s="2">
        <v>2153</v>
      </c>
      <c r="D299" t="s">
        <v>405</v>
      </c>
      <c r="AC299" s="2">
        <v>25.53</v>
      </c>
      <c r="AD299" s="2" t="s">
        <v>773</v>
      </c>
      <c r="AE299" s="2" t="s">
        <v>773</v>
      </c>
      <c r="AF299" s="2" t="s">
        <v>773</v>
      </c>
      <c r="AG299" s="2" t="s">
        <v>773</v>
      </c>
      <c r="AH299" s="2" t="s">
        <v>773</v>
      </c>
      <c r="AI299" s="2" t="s">
        <v>773</v>
      </c>
      <c r="AJ299" s="2" t="s">
        <v>773</v>
      </c>
      <c r="AK299" s="19">
        <v>0.1076388888888889</v>
      </c>
      <c r="AL299" s="8">
        <f>(2+(35/60))*AC299</f>
        <v>65.952500000000001</v>
      </c>
    </row>
    <row r="300" spans="1:46" x14ac:dyDescent="0.2">
      <c r="A300" s="2">
        <v>279</v>
      </c>
      <c r="B300" s="2">
        <v>291</v>
      </c>
      <c r="C300" s="2">
        <v>1182</v>
      </c>
      <c r="D300" t="s">
        <v>415</v>
      </c>
      <c r="AC300" s="2">
        <v>30.27</v>
      </c>
      <c r="AD300" s="2" t="s">
        <v>773</v>
      </c>
      <c r="AE300" s="2" t="s">
        <v>773</v>
      </c>
      <c r="AF300" s="2" t="s">
        <v>773</v>
      </c>
      <c r="AG300" s="2" t="s">
        <v>773</v>
      </c>
      <c r="AH300" s="2" t="s">
        <v>773</v>
      </c>
      <c r="AI300" s="2" t="s">
        <v>773</v>
      </c>
      <c r="AJ300" s="2" t="s">
        <v>773</v>
      </c>
      <c r="AK300" s="19">
        <v>0.20555555555555555</v>
      </c>
      <c r="AL300" s="8">
        <f>(4+(56/60))*AC300</f>
        <v>149.33199999999999</v>
      </c>
    </row>
    <row r="301" spans="1:46" x14ac:dyDescent="0.2">
      <c r="A301" s="4">
        <v>292</v>
      </c>
      <c r="B301" s="4">
        <v>219</v>
      </c>
      <c r="C301" s="4">
        <v>510</v>
      </c>
      <c r="D301" s="3" t="s">
        <v>291</v>
      </c>
      <c r="E301" t="s">
        <v>6</v>
      </c>
      <c r="F301" t="s">
        <v>1278</v>
      </c>
      <c r="G301" s="2">
        <v>500</v>
      </c>
      <c r="H301" s="2">
        <v>62.5</v>
      </c>
      <c r="I301" s="15">
        <v>2.2320000000000002</v>
      </c>
      <c r="J301" s="15">
        <v>1.266</v>
      </c>
      <c r="AC301" s="2">
        <v>43.38</v>
      </c>
      <c r="AD301" s="2">
        <v>61.26</v>
      </c>
      <c r="AE301" s="2">
        <v>60.04</v>
      </c>
      <c r="AF301" s="2">
        <v>62.5</v>
      </c>
      <c r="AG301" s="14" t="s">
        <v>773</v>
      </c>
      <c r="AH301" s="14" t="s">
        <v>773</v>
      </c>
      <c r="AI301" s="14" t="s">
        <v>773</v>
      </c>
      <c r="AJ301" s="14" t="s">
        <v>773</v>
      </c>
      <c r="AK301" s="19">
        <v>0.66597222222222219</v>
      </c>
      <c r="AL301" s="8">
        <f>(15+(59/60))*AF301</f>
        <v>998.95833333333326</v>
      </c>
    </row>
    <row r="302" spans="1:46" x14ac:dyDescent="0.2">
      <c r="A302" s="2">
        <v>284</v>
      </c>
      <c r="B302" s="81">
        <v>293</v>
      </c>
      <c r="C302" s="81">
        <v>808</v>
      </c>
      <c r="D302" t="s">
        <v>372</v>
      </c>
      <c r="E302" t="s">
        <v>1234</v>
      </c>
      <c r="J302" s="15"/>
      <c r="AC302" s="2">
        <v>39.92</v>
      </c>
      <c r="AD302" s="2" t="s">
        <v>773</v>
      </c>
      <c r="AE302" s="2" t="s">
        <v>773</v>
      </c>
      <c r="AF302" s="2" t="s">
        <v>773</v>
      </c>
      <c r="AG302" s="2" t="s">
        <v>773</v>
      </c>
      <c r="AH302" s="2" t="s">
        <v>773</v>
      </c>
      <c r="AI302" s="2" t="s">
        <v>773</v>
      </c>
      <c r="AJ302" s="2" t="s">
        <v>773</v>
      </c>
      <c r="AK302" s="19">
        <v>9.3055555555555558E-2</v>
      </c>
      <c r="AL302" s="8">
        <f>(2+(14/60))*AC302</f>
        <v>89.154666666666671</v>
      </c>
    </row>
    <row r="303" spans="1:46" x14ac:dyDescent="0.2">
      <c r="A303" s="2">
        <v>295</v>
      </c>
      <c r="B303" s="2">
        <v>390</v>
      </c>
      <c r="C303" s="2">
        <v>694</v>
      </c>
      <c r="D303" t="s">
        <v>258</v>
      </c>
      <c r="E303" t="s">
        <v>7</v>
      </c>
      <c r="F303" t="s">
        <v>1259</v>
      </c>
      <c r="G303" s="2">
        <v>2000000</v>
      </c>
      <c r="H303" s="2">
        <v>89.44</v>
      </c>
      <c r="I303" s="15">
        <v>3.194</v>
      </c>
      <c r="J303" s="15">
        <v>2.359</v>
      </c>
      <c r="AC303" s="2">
        <v>135.4</v>
      </c>
      <c r="AD303" s="2">
        <v>68.06</v>
      </c>
      <c r="AE303" s="2">
        <v>95.43</v>
      </c>
      <c r="AF303" s="2">
        <v>89.44</v>
      </c>
      <c r="AG303" s="2" t="s">
        <v>773</v>
      </c>
      <c r="AH303" s="2" t="s">
        <v>773</v>
      </c>
      <c r="AI303" s="2" t="s">
        <v>773</v>
      </c>
      <c r="AJ303" s="2" t="s">
        <v>773</v>
      </c>
      <c r="AK303" s="19">
        <v>4.7916666666666663E-2</v>
      </c>
      <c r="AL303" s="8">
        <f>(1+(9/60))*AF303</f>
        <v>102.85599999999999</v>
      </c>
      <c r="AT303" s="11"/>
    </row>
    <row r="304" spans="1:46" x14ac:dyDescent="0.2">
      <c r="A304" s="2">
        <v>307</v>
      </c>
      <c r="B304" s="2">
        <v>296</v>
      </c>
      <c r="C304" s="2">
        <v>1475</v>
      </c>
      <c r="D304" t="s">
        <v>399</v>
      </c>
      <c r="AC304" s="2">
        <v>30.38</v>
      </c>
      <c r="AD304" s="2" t="s">
        <v>773</v>
      </c>
      <c r="AE304" s="1" t="s">
        <v>773</v>
      </c>
      <c r="AF304" s="14" t="s">
        <v>773</v>
      </c>
      <c r="AG304" s="14" t="s">
        <v>773</v>
      </c>
      <c r="AH304" s="14" t="s">
        <v>773</v>
      </c>
      <c r="AI304" s="14" t="s">
        <v>773</v>
      </c>
      <c r="AJ304" s="14" t="s">
        <v>773</v>
      </c>
      <c r="AK304" s="19">
        <v>0.12708333333333333</v>
      </c>
      <c r="AL304" s="8">
        <f>(3+(3/60))*AC304</f>
        <v>92.658999999999992</v>
      </c>
    </row>
    <row r="305" spans="1:45" x14ac:dyDescent="0.2">
      <c r="A305" s="2">
        <v>297</v>
      </c>
      <c r="B305" s="2">
        <v>254</v>
      </c>
      <c r="C305" s="2">
        <v>954</v>
      </c>
      <c r="D305" t="s">
        <v>229</v>
      </c>
      <c r="E305" t="s">
        <v>742</v>
      </c>
      <c r="F305" t="s">
        <v>1273</v>
      </c>
      <c r="G305" s="2">
        <v>356000</v>
      </c>
      <c r="H305" s="2">
        <v>39.19</v>
      </c>
      <c r="I305" s="15">
        <v>1.399</v>
      </c>
      <c r="J305" s="15">
        <v>1.1499999999999999</v>
      </c>
      <c r="AC305" s="2">
        <v>36.17</v>
      </c>
      <c r="AD305" s="2">
        <v>54.98</v>
      </c>
      <c r="AE305" s="2">
        <v>40.04</v>
      </c>
      <c r="AF305" s="2">
        <v>39.19</v>
      </c>
      <c r="AG305" s="2" t="s">
        <v>773</v>
      </c>
      <c r="AH305" s="2">
        <v>37.76</v>
      </c>
      <c r="AI305" s="2" t="s">
        <v>773</v>
      </c>
      <c r="AJ305" s="2" t="s">
        <v>773</v>
      </c>
      <c r="AK305" s="19">
        <v>0.17152777777777775</v>
      </c>
      <c r="AL305" s="8">
        <f>(4+(7/60))*AH305</f>
        <v>155.44533333333331</v>
      </c>
    </row>
    <row r="306" spans="1:45" x14ac:dyDescent="0.2">
      <c r="A306" s="2">
        <v>294</v>
      </c>
      <c r="B306" s="2">
        <v>298</v>
      </c>
      <c r="C306" s="2">
        <v>148</v>
      </c>
      <c r="D306" t="s">
        <v>313</v>
      </c>
      <c r="E306" t="s">
        <v>1234</v>
      </c>
      <c r="J306" s="15"/>
      <c r="AC306" s="2">
        <v>177.6</v>
      </c>
      <c r="AD306" s="2" t="s">
        <v>773</v>
      </c>
      <c r="AE306" s="2" t="s">
        <v>773</v>
      </c>
      <c r="AF306" s="2" t="s">
        <v>773</v>
      </c>
      <c r="AG306" s="2" t="s">
        <v>773</v>
      </c>
      <c r="AH306" s="2" t="s">
        <v>773</v>
      </c>
      <c r="AI306" s="2" t="s">
        <v>773</v>
      </c>
      <c r="AJ306" s="2" t="s">
        <v>773</v>
      </c>
      <c r="AK306" s="19">
        <v>0.26458333333333334</v>
      </c>
      <c r="AL306" s="8">
        <f>(6+(21/60))*AC306</f>
        <v>1127.76</v>
      </c>
    </row>
    <row r="307" spans="1:45" x14ac:dyDescent="0.2">
      <c r="A307" s="2">
        <v>344</v>
      </c>
      <c r="B307" s="2">
        <v>301</v>
      </c>
      <c r="C307" s="2">
        <v>1703</v>
      </c>
      <c r="D307" t="s">
        <v>424</v>
      </c>
      <c r="AC307" s="2">
        <v>21.22</v>
      </c>
      <c r="AD307" s="2" t="s">
        <v>773</v>
      </c>
      <c r="AE307" s="2" t="s">
        <v>773</v>
      </c>
      <c r="AF307" s="2" t="s">
        <v>773</v>
      </c>
      <c r="AG307" s="2" t="s">
        <v>773</v>
      </c>
      <c r="AH307" s="2" t="s">
        <v>773</v>
      </c>
      <c r="AI307" s="2" t="s">
        <v>773</v>
      </c>
      <c r="AJ307" s="2" t="s">
        <v>773</v>
      </c>
      <c r="AK307" s="19">
        <v>0.1875</v>
      </c>
      <c r="AL307" s="8">
        <f>(4+(30/60))*AC307</f>
        <v>95.49</v>
      </c>
    </row>
    <row r="308" spans="1:45" x14ac:dyDescent="0.2">
      <c r="A308" s="2">
        <v>303</v>
      </c>
      <c r="B308" s="2">
        <v>168</v>
      </c>
      <c r="C308" s="2">
        <v>138</v>
      </c>
      <c r="D308" t="s">
        <v>265</v>
      </c>
      <c r="E308" t="s">
        <v>5</v>
      </c>
      <c r="F308" t="s">
        <v>1267</v>
      </c>
      <c r="G308" s="2">
        <v>0</v>
      </c>
      <c r="H308" s="2">
        <v>186.9</v>
      </c>
      <c r="I308" s="15">
        <v>6.6779999999999999</v>
      </c>
      <c r="J308" s="15">
        <v>3.976</v>
      </c>
      <c r="AC308" s="2">
        <v>110.6</v>
      </c>
      <c r="AD308" s="2">
        <v>205.2</v>
      </c>
      <c r="AE308" s="2">
        <v>203.7</v>
      </c>
      <c r="AF308" s="2">
        <v>186.9</v>
      </c>
      <c r="AG308" s="14" t="s">
        <v>773</v>
      </c>
      <c r="AH308" s="14" t="s">
        <v>773</v>
      </c>
      <c r="AI308" s="14" t="s">
        <v>773</v>
      </c>
      <c r="AJ308" s="14" t="s">
        <v>773</v>
      </c>
      <c r="AK308" s="19">
        <v>0.30902777777777779</v>
      </c>
      <c r="AL308" s="8">
        <f>(7+(25/60))*AF308</f>
        <v>1386.1750000000002</v>
      </c>
    </row>
    <row r="309" spans="1:45" x14ac:dyDescent="0.2">
      <c r="A309" s="2">
        <v>304</v>
      </c>
      <c r="B309" s="2">
        <v>271</v>
      </c>
      <c r="C309" s="2">
        <v>893</v>
      </c>
      <c r="D309" t="s">
        <v>341</v>
      </c>
      <c r="F309" t="s">
        <v>1313</v>
      </c>
      <c r="H309" s="2">
        <v>42.72</v>
      </c>
      <c r="I309" s="15">
        <v>1.5249999999999999</v>
      </c>
      <c r="J309" s="15">
        <v>1.046</v>
      </c>
      <c r="AC309" s="2">
        <v>35.68</v>
      </c>
      <c r="AD309" s="2">
        <v>39.880000000000003</v>
      </c>
      <c r="AE309" s="2">
        <v>42.72</v>
      </c>
      <c r="AF309" s="14" t="s">
        <v>773</v>
      </c>
      <c r="AG309" s="14" t="s">
        <v>773</v>
      </c>
      <c r="AH309" s="14" t="s">
        <v>773</v>
      </c>
      <c r="AI309" s="14" t="s">
        <v>773</v>
      </c>
      <c r="AJ309" s="14" t="s">
        <v>773</v>
      </c>
      <c r="AK309" s="19">
        <v>0.28194444444444444</v>
      </c>
      <c r="AL309" s="8">
        <f>(6+(46/60))*AE309</f>
        <v>289.072</v>
      </c>
    </row>
    <row r="310" spans="1:45" x14ac:dyDescent="0.2">
      <c r="A310" s="2">
        <v>312</v>
      </c>
      <c r="B310" s="2">
        <v>305</v>
      </c>
      <c r="C310" s="2">
        <v>1801</v>
      </c>
      <c r="D310" t="s">
        <v>412</v>
      </c>
      <c r="AC310" s="2">
        <v>22.01</v>
      </c>
      <c r="AD310" s="2" t="s">
        <v>773</v>
      </c>
      <c r="AE310" s="2" t="s">
        <v>773</v>
      </c>
      <c r="AF310" s="2" t="s">
        <v>773</v>
      </c>
      <c r="AG310" s="2" t="s">
        <v>773</v>
      </c>
      <c r="AH310" s="2" t="s">
        <v>773</v>
      </c>
      <c r="AI310" s="2" t="s">
        <v>773</v>
      </c>
      <c r="AJ310" s="2" t="s">
        <v>773</v>
      </c>
      <c r="AK310" s="19">
        <v>0.20902777777777778</v>
      </c>
      <c r="AL310" s="8">
        <f>(5+(1/60))*AC310</f>
        <v>110.41683333333334</v>
      </c>
    </row>
    <row r="311" spans="1:45" x14ac:dyDescent="0.2">
      <c r="A311" s="2">
        <v>306</v>
      </c>
      <c r="B311" s="2">
        <v>260</v>
      </c>
      <c r="C311" s="2">
        <v>360</v>
      </c>
      <c r="D311" t="s">
        <v>224</v>
      </c>
      <c r="F311" t="s">
        <v>1261</v>
      </c>
      <c r="H311" s="2">
        <v>125.3</v>
      </c>
      <c r="I311" s="15">
        <v>4.4749999999999996</v>
      </c>
      <c r="J311" s="15">
        <v>3.69</v>
      </c>
      <c r="AC311" s="2">
        <v>125.7</v>
      </c>
      <c r="AD311" s="2">
        <v>144.5</v>
      </c>
      <c r="AE311" s="2">
        <v>136.69999999999999</v>
      </c>
      <c r="AF311" s="2">
        <v>125.3</v>
      </c>
      <c r="AG311" s="2" t="s">
        <v>773</v>
      </c>
      <c r="AH311" s="2">
        <v>124.3</v>
      </c>
      <c r="AI311" s="2" t="s">
        <v>773</v>
      </c>
      <c r="AJ311" s="2" t="s">
        <v>773</v>
      </c>
      <c r="AK311" s="19">
        <v>8.3333333333333329E-2</v>
      </c>
      <c r="AL311" s="8">
        <f>2*AH311</f>
        <v>248.6</v>
      </c>
    </row>
    <row r="312" spans="1:45" x14ac:dyDescent="0.2">
      <c r="A312" s="2">
        <v>308</v>
      </c>
      <c r="B312" s="2">
        <v>309</v>
      </c>
      <c r="C312" s="2">
        <v>1809</v>
      </c>
      <c r="D312" t="s">
        <v>464</v>
      </c>
      <c r="AC312" s="2">
        <v>20.64</v>
      </c>
      <c r="AD312" s="2" t="s">
        <v>773</v>
      </c>
      <c r="AE312" s="1" t="s">
        <v>773</v>
      </c>
      <c r="AF312" s="14" t="s">
        <v>773</v>
      </c>
      <c r="AG312" s="14" t="s">
        <v>773</v>
      </c>
      <c r="AH312" s="14" t="s">
        <v>773</v>
      </c>
      <c r="AI312" s="14" t="s">
        <v>773</v>
      </c>
      <c r="AJ312" s="14" t="s">
        <v>773</v>
      </c>
      <c r="AK312" s="19">
        <v>0.21180555555555555</v>
      </c>
      <c r="AL312" s="8">
        <f>(5+(5/60))*AC312</f>
        <v>104.92</v>
      </c>
    </row>
    <row r="313" spans="1:45" x14ac:dyDescent="0.2">
      <c r="A313" s="2">
        <v>369</v>
      </c>
      <c r="B313" s="2">
        <v>310</v>
      </c>
      <c r="C313" s="2">
        <v>264</v>
      </c>
      <c r="D313" t="s">
        <v>1356</v>
      </c>
      <c r="AC313" s="2">
        <v>218.9</v>
      </c>
      <c r="AD313" s="2" t="s">
        <v>773</v>
      </c>
      <c r="AE313" s="2" t="s">
        <v>773</v>
      </c>
      <c r="AF313" s="2" t="s">
        <v>773</v>
      </c>
      <c r="AG313" s="2" t="s">
        <v>773</v>
      </c>
      <c r="AH313" s="2" t="s">
        <v>773</v>
      </c>
      <c r="AI313" s="2" t="s">
        <v>773</v>
      </c>
      <c r="AJ313" s="2" t="s">
        <v>773</v>
      </c>
      <c r="AK313" s="19">
        <v>5.2083333333333336E-2</v>
      </c>
      <c r="AL313" s="8">
        <f>(1+(15/60))*AC313</f>
        <v>273.625</v>
      </c>
    </row>
    <row r="314" spans="1:45" x14ac:dyDescent="0.2">
      <c r="A314" s="2">
        <v>311</v>
      </c>
      <c r="B314" s="2">
        <v>233</v>
      </c>
      <c r="C314" s="2">
        <v>1239</v>
      </c>
      <c r="D314" t="s">
        <v>353</v>
      </c>
      <c r="H314" s="2">
        <v>25.02</v>
      </c>
      <c r="I314" s="15">
        <v>0.89369500000000002</v>
      </c>
      <c r="J314" s="15">
        <v>0.45786300000000002</v>
      </c>
      <c r="AC314" s="2">
        <v>18.77</v>
      </c>
      <c r="AD314" s="2">
        <v>24.74</v>
      </c>
      <c r="AE314" s="2">
        <v>25.02</v>
      </c>
      <c r="AF314" s="14" t="s">
        <v>773</v>
      </c>
      <c r="AG314" s="14" t="s">
        <v>773</v>
      </c>
      <c r="AH314" s="14" t="s">
        <v>773</v>
      </c>
      <c r="AI314" s="14" t="s">
        <v>773</v>
      </c>
      <c r="AJ314" s="57" t="s">
        <v>773</v>
      </c>
      <c r="AK314" s="19">
        <v>0.37916666666666665</v>
      </c>
      <c r="AL314" s="8">
        <f>(9+(6/60))*AE314</f>
        <v>227.68199999999999</v>
      </c>
    </row>
    <row r="315" spans="1:45" s="3" customFormat="1" x14ac:dyDescent="0.2">
      <c r="A315" s="4">
        <v>312</v>
      </c>
      <c r="B315" s="4">
        <v>278</v>
      </c>
      <c r="C315" s="4">
        <v>672</v>
      </c>
      <c r="D315" s="3" t="s">
        <v>247</v>
      </c>
      <c r="F315" s="3" t="s">
        <v>1262</v>
      </c>
      <c r="G315" s="4"/>
      <c r="H315" s="4">
        <v>84.78</v>
      </c>
      <c r="I315" s="16">
        <v>3.028</v>
      </c>
      <c r="J315" s="16">
        <v>2.746</v>
      </c>
      <c r="K315" s="4"/>
      <c r="L315" s="9"/>
      <c r="M315" s="9"/>
      <c r="N315" s="9"/>
      <c r="O315" s="8">
        <v>101.842389</v>
      </c>
      <c r="P315" s="8">
        <v>109.863049</v>
      </c>
      <c r="Q315" s="8">
        <v>95.965585000000004</v>
      </c>
      <c r="R315" s="8">
        <v>108.6049</v>
      </c>
      <c r="S315" s="8">
        <v>111.75902000000001</v>
      </c>
      <c r="T315" s="8">
        <v>113.92931799999999</v>
      </c>
      <c r="U315" s="8">
        <v>122.15822300000001</v>
      </c>
      <c r="V315" s="8">
        <v>112.472414</v>
      </c>
      <c r="W315" s="8">
        <v>129.29927900000001</v>
      </c>
      <c r="X315" s="8">
        <v>129.44417000000001</v>
      </c>
      <c r="Y315" s="8">
        <v>128.44539599999999</v>
      </c>
      <c r="Z315" s="8">
        <v>117.637316</v>
      </c>
      <c r="AA315" s="8">
        <v>122.977084</v>
      </c>
      <c r="AB315" s="9"/>
      <c r="AC315" s="4">
        <v>66.84</v>
      </c>
      <c r="AD315" s="4">
        <v>73.7</v>
      </c>
      <c r="AE315" s="4">
        <v>76.319999999999993</v>
      </c>
      <c r="AF315" s="58">
        <v>84.78</v>
      </c>
      <c r="AG315" s="58" t="s">
        <v>773</v>
      </c>
      <c r="AH315" s="58">
        <v>79.16</v>
      </c>
      <c r="AI315" s="58" t="s">
        <v>773</v>
      </c>
      <c r="AJ315" s="58" t="s">
        <v>773</v>
      </c>
      <c r="AK315" s="23">
        <v>6.3888888888888884E-2</v>
      </c>
      <c r="AL315" s="47">
        <f>(1+(32/60))*AH315</f>
        <v>121.37866666666665</v>
      </c>
      <c r="AQ315"/>
      <c r="AR315"/>
      <c r="AS315"/>
    </row>
    <row r="316" spans="1:45" x14ac:dyDescent="0.2">
      <c r="A316" s="2">
        <v>313</v>
      </c>
      <c r="B316" s="2">
        <v>366</v>
      </c>
      <c r="C316" s="2">
        <v>2123</v>
      </c>
      <c r="D316" t="s">
        <v>314</v>
      </c>
      <c r="F316" t="s">
        <v>1342</v>
      </c>
      <c r="H316" s="2">
        <v>30.99</v>
      </c>
      <c r="I316" s="15">
        <v>1.1060000000000001</v>
      </c>
      <c r="J316" s="15">
        <v>0.86647799999999997</v>
      </c>
      <c r="AC316" s="2">
        <v>27.74</v>
      </c>
      <c r="AD316" s="2">
        <v>26.6</v>
      </c>
      <c r="AE316" s="2">
        <v>34.22</v>
      </c>
      <c r="AF316" s="2">
        <v>30.99</v>
      </c>
      <c r="AG316" s="14" t="s">
        <v>773</v>
      </c>
      <c r="AH316" s="14" t="s">
        <v>773</v>
      </c>
      <c r="AI316" s="14" t="s">
        <v>773</v>
      </c>
      <c r="AJ316" s="14" t="s">
        <v>773</v>
      </c>
      <c r="AK316" s="19">
        <v>0.10694444444444444</v>
      </c>
      <c r="AL316" s="8">
        <f>(2+(34/60))*AF316</f>
        <v>79.540999999999983</v>
      </c>
    </row>
    <row r="317" spans="1:45" x14ac:dyDescent="0.2">
      <c r="A317" s="2">
        <v>306</v>
      </c>
      <c r="B317" s="2">
        <v>314</v>
      </c>
      <c r="C317" s="2">
        <v>1771</v>
      </c>
      <c r="D317" t="s">
        <v>1357</v>
      </c>
      <c r="J317" s="15"/>
      <c r="AC317" s="2">
        <v>23.29</v>
      </c>
      <c r="AD317" s="2" t="s">
        <v>773</v>
      </c>
      <c r="AE317" s="2" t="s">
        <v>773</v>
      </c>
      <c r="AF317" s="2" t="s">
        <v>773</v>
      </c>
      <c r="AG317" s="14" t="s">
        <v>773</v>
      </c>
      <c r="AH317" s="14" t="s">
        <v>773</v>
      </c>
      <c r="AI317" s="14" t="s">
        <v>773</v>
      </c>
      <c r="AJ317" s="14" t="s">
        <v>773</v>
      </c>
      <c r="AK317" s="19">
        <v>0.22777777777777777</v>
      </c>
      <c r="AL317" s="8">
        <f>(5+(23/60))*AC317</f>
        <v>125.37783333333334</v>
      </c>
    </row>
    <row r="318" spans="1:45" x14ac:dyDescent="0.2">
      <c r="A318" s="2">
        <v>315</v>
      </c>
      <c r="B318" s="2">
        <v>123</v>
      </c>
      <c r="C318" s="2">
        <v>277</v>
      </c>
      <c r="D318" t="s">
        <v>115</v>
      </c>
      <c r="E318" t="s">
        <v>6</v>
      </c>
      <c r="G318" s="2">
        <v>1000</v>
      </c>
      <c r="H318" s="2">
        <v>153.6</v>
      </c>
      <c r="I318" s="15">
        <v>5.4870000000000001</v>
      </c>
      <c r="J318" s="15">
        <v>3.8359999999999999</v>
      </c>
      <c r="O318" s="58">
        <v>160.93100000000001</v>
      </c>
      <c r="P318" s="58">
        <v>134.31200000000001</v>
      </c>
      <c r="Q318" s="58">
        <v>156.84299999999999</v>
      </c>
      <c r="R318" s="58">
        <v>164.12100000000001</v>
      </c>
      <c r="S318" s="58">
        <v>173</v>
      </c>
      <c r="T318" s="58">
        <v>163.554</v>
      </c>
      <c r="U318" s="58">
        <v>172.108</v>
      </c>
      <c r="V318" s="58">
        <v>181.416</v>
      </c>
      <c r="W318" s="58">
        <v>189.30699999999999</v>
      </c>
      <c r="X318" s="58">
        <v>205.554</v>
      </c>
      <c r="Y318" s="58">
        <v>214.19499999999999</v>
      </c>
      <c r="Z318" s="58">
        <v>132.816</v>
      </c>
      <c r="AA318" s="58">
        <v>177.167</v>
      </c>
      <c r="AC318" s="2">
        <v>61.46</v>
      </c>
      <c r="AD318" s="2">
        <v>116.7</v>
      </c>
      <c r="AE318" s="2">
        <v>152.1</v>
      </c>
      <c r="AF318" s="2">
        <v>153.6</v>
      </c>
      <c r="AG318" s="14" t="s">
        <v>773</v>
      </c>
      <c r="AH318" s="2">
        <v>170.8</v>
      </c>
      <c r="AI318" s="2" t="s">
        <v>773</v>
      </c>
      <c r="AJ318" s="2" t="s">
        <v>773</v>
      </c>
      <c r="AK318" s="19">
        <v>0.1361111111111111</v>
      </c>
      <c r="AL318" s="8">
        <f>(3+(16/60))*AH318</f>
        <v>557.94666666666672</v>
      </c>
    </row>
    <row r="319" spans="1:45" x14ac:dyDescent="0.2">
      <c r="A319" s="2">
        <v>288</v>
      </c>
      <c r="B319" s="2">
        <v>316</v>
      </c>
      <c r="C319" s="2">
        <v>562</v>
      </c>
      <c r="D319" t="s">
        <v>451</v>
      </c>
      <c r="E319" t="s">
        <v>579</v>
      </c>
      <c r="AC319" s="2">
        <v>56.69</v>
      </c>
      <c r="AD319" s="2" t="s">
        <v>773</v>
      </c>
      <c r="AE319" s="2" t="s">
        <v>773</v>
      </c>
      <c r="AF319" s="2" t="s">
        <v>773</v>
      </c>
      <c r="AG319" s="14" t="s">
        <v>773</v>
      </c>
      <c r="AH319" s="14" t="s">
        <v>773</v>
      </c>
      <c r="AI319" s="14" t="s">
        <v>773</v>
      </c>
      <c r="AJ319" s="14" t="s">
        <v>773</v>
      </c>
      <c r="AK319" s="19">
        <v>0.55902777777777779</v>
      </c>
      <c r="AL319" s="8">
        <f>(13+(25/60))*AC319</f>
        <v>760.59083333333331</v>
      </c>
    </row>
    <row r="320" spans="1:45" x14ac:dyDescent="0.2">
      <c r="A320" s="2">
        <v>497</v>
      </c>
      <c r="B320" s="2">
        <v>317</v>
      </c>
      <c r="C320" s="2">
        <v>2889</v>
      </c>
      <c r="D320" t="s">
        <v>462</v>
      </c>
      <c r="AC320" s="2">
        <v>20.05</v>
      </c>
      <c r="AD320" s="2" t="s">
        <v>773</v>
      </c>
      <c r="AE320" s="2" t="s">
        <v>773</v>
      </c>
      <c r="AF320" s="2" t="s">
        <v>773</v>
      </c>
      <c r="AG320" s="14" t="s">
        <v>773</v>
      </c>
      <c r="AH320" s="14" t="s">
        <v>773</v>
      </c>
      <c r="AI320" s="14" t="s">
        <v>773</v>
      </c>
      <c r="AJ320" s="14" t="s">
        <v>773</v>
      </c>
      <c r="AK320" s="19">
        <v>8.6805555555555552E-2</v>
      </c>
      <c r="AL320" s="8">
        <f>(2+(5/60))*AC320</f>
        <v>41.770833333333336</v>
      </c>
    </row>
    <row r="321" spans="1:38" x14ac:dyDescent="0.2">
      <c r="A321" s="2">
        <v>318</v>
      </c>
      <c r="B321" s="2">
        <v>227</v>
      </c>
      <c r="C321" s="2">
        <v>1145</v>
      </c>
      <c r="D321" t="s">
        <v>198</v>
      </c>
      <c r="E321" t="s">
        <v>694</v>
      </c>
      <c r="F321" t="s">
        <v>1269</v>
      </c>
      <c r="G321" s="2">
        <v>9880</v>
      </c>
      <c r="H321" s="2">
        <v>45.05</v>
      </c>
      <c r="I321" s="15">
        <v>1.609</v>
      </c>
      <c r="J321" s="15">
        <v>0.84499199999999997</v>
      </c>
      <c r="AC321" s="2">
        <v>30.34</v>
      </c>
      <c r="AD321" s="2">
        <v>69.53</v>
      </c>
      <c r="AE321" s="2">
        <v>42.74</v>
      </c>
      <c r="AF321" s="2">
        <v>45.05</v>
      </c>
      <c r="AG321" s="14" t="s">
        <v>773</v>
      </c>
      <c r="AH321" s="2">
        <v>44.32</v>
      </c>
      <c r="AI321" s="14" t="s">
        <v>773</v>
      </c>
      <c r="AJ321" s="14" t="s">
        <v>773</v>
      </c>
      <c r="AK321" s="19">
        <v>0.25416666666666665</v>
      </c>
      <c r="AL321" s="8">
        <f>(6+(6/60))*AH321</f>
        <v>270.35199999999998</v>
      </c>
    </row>
    <row r="322" spans="1:38" x14ac:dyDescent="0.2">
      <c r="A322" s="2">
        <v>319</v>
      </c>
      <c r="B322" s="2">
        <v>313</v>
      </c>
      <c r="C322" s="2">
        <v>1096</v>
      </c>
      <c r="D322" t="s">
        <v>328</v>
      </c>
      <c r="H322" s="2">
        <v>42.62</v>
      </c>
      <c r="I322" s="15">
        <v>1.522</v>
      </c>
      <c r="J322" s="15">
        <v>1.27</v>
      </c>
      <c r="AC322" s="2">
        <v>35.020000000000003</v>
      </c>
      <c r="AD322" s="2">
        <v>35.22</v>
      </c>
      <c r="AE322" s="2">
        <v>42.62</v>
      </c>
      <c r="AF322" s="14" t="s">
        <v>773</v>
      </c>
      <c r="AG322" s="14" t="s">
        <v>773</v>
      </c>
      <c r="AH322" s="14" t="s">
        <v>773</v>
      </c>
      <c r="AI322" s="14" t="s">
        <v>773</v>
      </c>
      <c r="AJ322" s="14" t="s">
        <v>773</v>
      </c>
      <c r="AK322" s="22" t="s">
        <v>1302</v>
      </c>
      <c r="AL322" s="8">
        <f>(3+(9/60))*AE322</f>
        <v>134.25299999999999</v>
      </c>
    </row>
    <row r="323" spans="1:38" x14ac:dyDescent="0.2">
      <c r="A323" s="2">
        <v>320</v>
      </c>
      <c r="B323" s="2">
        <v>360</v>
      </c>
      <c r="C323" s="2">
        <v>611</v>
      </c>
      <c r="D323" t="s">
        <v>1321</v>
      </c>
      <c r="E323" t="s">
        <v>715</v>
      </c>
      <c r="G323" s="2">
        <v>77190</v>
      </c>
      <c r="H323" s="2">
        <v>45.68</v>
      </c>
      <c r="I323" s="15">
        <v>1.631</v>
      </c>
      <c r="J323" s="15">
        <v>1.224</v>
      </c>
      <c r="AC323" s="2">
        <v>48.15</v>
      </c>
      <c r="AD323" s="2">
        <v>47.63</v>
      </c>
      <c r="AE323" s="2">
        <v>45.68</v>
      </c>
      <c r="AF323" s="14" t="s">
        <v>773</v>
      </c>
      <c r="AG323" s="14" t="s">
        <v>773</v>
      </c>
      <c r="AH323" s="14" t="s">
        <v>773</v>
      </c>
      <c r="AI323" s="14" t="s">
        <v>773</v>
      </c>
      <c r="AJ323" s="14" t="s">
        <v>773</v>
      </c>
      <c r="AK323" s="19">
        <v>0.2951388888888889</v>
      </c>
      <c r="AL323" s="8">
        <f>(7+(5/60))*AE323</f>
        <v>323.56666666666666</v>
      </c>
    </row>
    <row r="324" spans="1:38" x14ac:dyDescent="0.2">
      <c r="A324" s="2">
        <v>292</v>
      </c>
      <c r="B324" s="2">
        <v>321</v>
      </c>
      <c r="C324" s="2">
        <v>384</v>
      </c>
      <c r="D324" t="s">
        <v>416</v>
      </c>
      <c r="AC324" s="2">
        <v>155.69999999999999</v>
      </c>
      <c r="AD324" s="2" t="s">
        <v>773</v>
      </c>
      <c r="AE324" s="2" t="s">
        <v>773</v>
      </c>
      <c r="AF324" s="2" t="s">
        <v>773</v>
      </c>
      <c r="AG324" s="14" t="s">
        <v>773</v>
      </c>
      <c r="AH324" s="14" t="s">
        <v>773</v>
      </c>
      <c r="AI324" s="14" t="s">
        <v>773</v>
      </c>
      <c r="AJ324" s="14" t="s">
        <v>773</v>
      </c>
      <c r="AK324" s="19">
        <v>8.3333333333333332E-3</v>
      </c>
      <c r="AL324" s="8">
        <f>((12/60))*AC324</f>
        <v>31.14</v>
      </c>
    </row>
    <row r="325" spans="1:38" x14ac:dyDescent="0.2">
      <c r="A325" s="2">
        <v>333</v>
      </c>
      <c r="B325" s="2">
        <v>322</v>
      </c>
      <c r="C325" s="2">
        <v>1930</v>
      </c>
      <c r="D325" t="s">
        <v>460</v>
      </c>
      <c r="E325" t="s">
        <v>549</v>
      </c>
      <c r="AC325" s="2">
        <v>24.8</v>
      </c>
      <c r="AD325" s="2" t="s">
        <v>773</v>
      </c>
      <c r="AE325" s="2" t="s">
        <v>773</v>
      </c>
      <c r="AF325" s="2" t="s">
        <v>773</v>
      </c>
      <c r="AG325" s="14" t="s">
        <v>773</v>
      </c>
      <c r="AH325" s="14" t="s">
        <v>773</v>
      </c>
      <c r="AI325" s="14" t="s">
        <v>773</v>
      </c>
      <c r="AJ325" s="14" t="s">
        <v>773</v>
      </c>
      <c r="AK325" s="19">
        <v>0.1736111111111111</v>
      </c>
      <c r="AL325" s="8">
        <f>(4+(10/60))*AC325</f>
        <v>103.33333333333334</v>
      </c>
    </row>
    <row r="326" spans="1:38" x14ac:dyDescent="0.2">
      <c r="A326" s="2">
        <v>323</v>
      </c>
      <c r="B326" s="2">
        <v>214</v>
      </c>
      <c r="C326" s="2">
        <v>812</v>
      </c>
      <c r="D326" t="s">
        <v>182</v>
      </c>
      <c r="H326" s="2">
        <v>114.3</v>
      </c>
      <c r="I326" s="15">
        <v>4.085</v>
      </c>
      <c r="J326" s="15">
        <v>3.794</v>
      </c>
      <c r="AC326" s="2">
        <v>70.92</v>
      </c>
      <c r="AD326" s="2">
        <v>108.4</v>
      </c>
      <c r="AE326" s="2">
        <v>116.5</v>
      </c>
      <c r="AF326" s="2">
        <v>114.3</v>
      </c>
      <c r="AG326" s="14" t="s">
        <v>773</v>
      </c>
      <c r="AH326" s="2">
        <v>117.6</v>
      </c>
      <c r="AI326" s="14" t="s">
        <v>773</v>
      </c>
      <c r="AJ326" s="14" t="s">
        <v>773</v>
      </c>
      <c r="AK326" s="19">
        <v>4.5833333333333337E-2</v>
      </c>
      <c r="AL326" s="8">
        <f>(1+(6/60))*AH326</f>
        <v>129.36000000000001</v>
      </c>
    </row>
    <row r="327" spans="1:38" x14ac:dyDescent="0.2">
      <c r="A327" s="2">
        <v>326</v>
      </c>
      <c r="B327" s="2">
        <v>324</v>
      </c>
      <c r="C327" s="2">
        <v>1903</v>
      </c>
      <c r="D327" t="s">
        <v>1358</v>
      </c>
      <c r="J327" s="15"/>
      <c r="AC327" s="2">
        <v>19.22</v>
      </c>
      <c r="AD327" s="2" t="s">
        <v>773</v>
      </c>
      <c r="AE327" s="2" t="s">
        <v>773</v>
      </c>
      <c r="AF327" s="2" t="s">
        <v>773</v>
      </c>
      <c r="AG327" s="14" t="s">
        <v>773</v>
      </c>
      <c r="AH327" s="14" t="s">
        <v>773</v>
      </c>
      <c r="AI327" s="14" t="s">
        <v>773</v>
      </c>
      <c r="AJ327" s="14" t="s">
        <v>773</v>
      </c>
      <c r="AK327" s="19">
        <v>0.23819444444444443</v>
      </c>
      <c r="AL327" s="8">
        <f>(5+(43/60))*AC327</f>
        <v>109.87433333333333</v>
      </c>
    </row>
    <row r="328" spans="1:38" x14ac:dyDescent="0.2">
      <c r="A328" s="2">
        <v>353</v>
      </c>
      <c r="B328" s="2">
        <v>325</v>
      </c>
      <c r="C328" s="2">
        <v>2116</v>
      </c>
      <c r="D328" t="s">
        <v>1359</v>
      </c>
      <c r="J328" s="15"/>
      <c r="AC328" s="2">
        <v>23.82</v>
      </c>
      <c r="AD328" s="2" t="s">
        <v>773</v>
      </c>
      <c r="AE328" s="2" t="s">
        <v>773</v>
      </c>
      <c r="AF328" s="2" t="s">
        <v>773</v>
      </c>
      <c r="AG328" s="14" t="s">
        <v>773</v>
      </c>
      <c r="AH328" s="14" t="s">
        <v>773</v>
      </c>
      <c r="AI328" s="14" t="s">
        <v>773</v>
      </c>
      <c r="AJ328" s="14" t="s">
        <v>773</v>
      </c>
      <c r="AK328" s="19">
        <v>0.24722222222222223</v>
      </c>
      <c r="AL328" s="8">
        <f>(5+(56/60))*AC328</f>
        <v>141.33199999999999</v>
      </c>
    </row>
    <row r="329" spans="1:38" s="3" customFormat="1" x14ac:dyDescent="0.2">
      <c r="A329" s="4">
        <v>326</v>
      </c>
      <c r="B329" s="2">
        <v>316</v>
      </c>
      <c r="C329" s="4">
        <v>1221</v>
      </c>
      <c r="D329" s="3" t="s">
        <v>251</v>
      </c>
      <c r="F329" s="3" t="s">
        <v>1271</v>
      </c>
      <c r="G329" s="4"/>
      <c r="H329" s="4">
        <v>49.81</v>
      </c>
      <c r="I329" s="16">
        <v>1.7789999999999999</v>
      </c>
      <c r="J329" s="16">
        <v>1.0920000000000001</v>
      </c>
      <c r="K329" s="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2">
        <v>50.21</v>
      </c>
      <c r="AD329" s="2">
        <v>46.94</v>
      </c>
      <c r="AE329" s="4">
        <v>44.65</v>
      </c>
      <c r="AF329" s="58">
        <v>49.81</v>
      </c>
      <c r="AG329" s="58" t="s">
        <v>773</v>
      </c>
      <c r="AH329" s="58">
        <v>45.56</v>
      </c>
      <c r="AI329" s="58" t="s">
        <v>773</v>
      </c>
      <c r="AJ329" s="58" t="s">
        <v>773</v>
      </c>
      <c r="AK329" s="23">
        <v>0.19166666666666668</v>
      </c>
      <c r="AL329" s="47">
        <f>(5+(27/60))*AH329</f>
        <v>248.30200000000002</v>
      </c>
    </row>
    <row r="330" spans="1:38" s="3" customFormat="1" x14ac:dyDescent="0.2">
      <c r="A330" s="2">
        <v>345</v>
      </c>
      <c r="B330" s="2">
        <v>327</v>
      </c>
      <c r="C330" s="81">
        <v>135</v>
      </c>
      <c r="D330" t="s">
        <v>1360</v>
      </c>
      <c r="E330" s="3" t="s">
        <v>1234</v>
      </c>
      <c r="G330" s="4"/>
      <c r="H330" s="4"/>
      <c r="I330" s="16"/>
      <c r="J330" s="16"/>
      <c r="K330" s="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2">
        <v>276.7</v>
      </c>
      <c r="AD330" s="2" t="s">
        <v>773</v>
      </c>
      <c r="AE330" s="2" t="s">
        <v>773</v>
      </c>
      <c r="AF330" s="2" t="s">
        <v>773</v>
      </c>
      <c r="AG330" s="14" t="s">
        <v>773</v>
      </c>
      <c r="AH330" s="14" t="s">
        <v>773</v>
      </c>
      <c r="AI330" s="14" t="s">
        <v>773</v>
      </c>
      <c r="AJ330" s="14" t="s">
        <v>773</v>
      </c>
      <c r="AK330" s="19">
        <v>9.583333333333334E-2</v>
      </c>
      <c r="AL330" s="8">
        <f>(2+(18/60))*AC330</f>
        <v>636.41</v>
      </c>
    </row>
    <row r="331" spans="1:38" s="3" customFormat="1" x14ac:dyDescent="0.2">
      <c r="A331" s="2">
        <v>321</v>
      </c>
      <c r="B331" s="2">
        <v>330</v>
      </c>
      <c r="C331" s="2">
        <v>757</v>
      </c>
      <c r="D331" t="s">
        <v>1361</v>
      </c>
      <c r="G331" s="4"/>
      <c r="H331" s="4"/>
      <c r="I331" s="16"/>
      <c r="J331" s="16"/>
      <c r="K331" s="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2">
        <v>60.69</v>
      </c>
      <c r="AD331" s="2" t="s">
        <v>773</v>
      </c>
      <c r="AE331" s="2" t="s">
        <v>773</v>
      </c>
      <c r="AF331" s="2" t="s">
        <v>773</v>
      </c>
      <c r="AG331" s="14" t="s">
        <v>773</v>
      </c>
      <c r="AH331" s="14" t="s">
        <v>773</v>
      </c>
      <c r="AI331" s="14" t="s">
        <v>773</v>
      </c>
      <c r="AJ331" s="14" t="s">
        <v>773</v>
      </c>
      <c r="AK331" s="19">
        <v>0.30208333333333331</v>
      </c>
      <c r="AL331" s="8">
        <f>(7+(15/60))*AC331</f>
        <v>440.0025</v>
      </c>
    </row>
    <row r="332" spans="1:38" x14ac:dyDescent="0.2">
      <c r="A332" s="2">
        <v>331</v>
      </c>
      <c r="B332" s="2">
        <v>296</v>
      </c>
      <c r="C332" s="2">
        <v>999</v>
      </c>
      <c r="D332" t="s">
        <v>218</v>
      </c>
      <c r="F332" t="s">
        <v>1265</v>
      </c>
      <c r="H332" s="2">
        <v>63.25</v>
      </c>
      <c r="I332" s="15">
        <v>2.2589999999999999</v>
      </c>
      <c r="J332" s="15">
        <v>1.8520000000000001</v>
      </c>
      <c r="AC332" s="2">
        <v>55.3</v>
      </c>
      <c r="AD332" s="2">
        <v>63.16</v>
      </c>
      <c r="AE332" s="2">
        <v>65.53</v>
      </c>
      <c r="AF332" s="2">
        <v>63.25</v>
      </c>
      <c r="AG332" s="2" t="s">
        <v>773</v>
      </c>
      <c r="AH332" s="2">
        <v>66.97</v>
      </c>
      <c r="AI332" s="2" t="s">
        <v>773</v>
      </c>
      <c r="AJ332" s="2" t="s">
        <v>773</v>
      </c>
      <c r="AK332" s="19">
        <v>0.11180555555555556</v>
      </c>
      <c r="AL332" s="8">
        <f>(2+(41/60))*AH332</f>
        <v>179.70283333333336</v>
      </c>
    </row>
    <row r="333" spans="1:38" x14ac:dyDescent="0.2">
      <c r="A333" s="2">
        <v>332</v>
      </c>
      <c r="B333" s="2">
        <v>329</v>
      </c>
      <c r="C333" s="2">
        <v>1829</v>
      </c>
      <c r="D333" t="s">
        <v>381</v>
      </c>
      <c r="AC333" s="2">
        <v>24.51</v>
      </c>
      <c r="AD333" s="2" t="s">
        <v>773</v>
      </c>
      <c r="AE333" s="2" t="s">
        <v>773</v>
      </c>
      <c r="AF333" s="14" t="s">
        <v>773</v>
      </c>
      <c r="AG333" s="14" t="s">
        <v>773</v>
      </c>
      <c r="AH333" s="14" t="s">
        <v>773</v>
      </c>
      <c r="AI333" s="14" t="s">
        <v>773</v>
      </c>
      <c r="AJ333" s="57" t="s">
        <v>773</v>
      </c>
      <c r="AK333" s="19">
        <v>0.2</v>
      </c>
      <c r="AL333" s="8">
        <f>(4+(48/60))*AC333</f>
        <v>117.648</v>
      </c>
    </row>
    <row r="334" spans="1:38" x14ac:dyDescent="0.2">
      <c r="A334" s="2">
        <v>333</v>
      </c>
      <c r="B334" s="2">
        <v>239</v>
      </c>
      <c r="C334" s="2">
        <v>910</v>
      </c>
      <c r="D334" t="s">
        <v>230</v>
      </c>
      <c r="H334" s="2">
        <v>82.42</v>
      </c>
      <c r="I334" s="15">
        <v>2.9430000000000001</v>
      </c>
      <c r="J334" s="15">
        <v>2.4500000000000002</v>
      </c>
      <c r="O334" s="58">
        <v>172.8</v>
      </c>
      <c r="P334" s="58">
        <v>153.30000000000001</v>
      </c>
      <c r="Q334" s="58">
        <v>170.3</v>
      </c>
      <c r="R334" s="58">
        <v>191</v>
      </c>
      <c r="S334" s="58">
        <v>152.9</v>
      </c>
      <c r="T334" s="58">
        <v>158.1</v>
      </c>
      <c r="U334" s="58">
        <v>159.1</v>
      </c>
      <c r="V334" s="58">
        <v>150.1</v>
      </c>
      <c r="W334" s="58">
        <v>177.6</v>
      </c>
      <c r="X334" s="58">
        <v>173.1</v>
      </c>
      <c r="Y334" s="58">
        <v>184.3</v>
      </c>
      <c r="Z334" s="58">
        <v>174.7</v>
      </c>
      <c r="AA334" s="58">
        <v>197.5</v>
      </c>
      <c r="AC334" s="2">
        <v>85.74</v>
      </c>
      <c r="AD334" s="2">
        <v>79.8</v>
      </c>
      <c r="AE334" s="2">
        <v>100.8</v>
      </c>
      <c r="AF334" s="2">
        <v>82.42</v>
      </c>
      <c r="AG334" s="2" t="s">
        <v>773</v>
      </c>
      <c r="AH334" s="2">
        <v>78.13</v>
      </c>
      <c r="AI334" s="2" t="s">
        <v>773</v>
      </c>
      <c r="AJ334" s="2" t="s">
        <v>773</v>
      </c>
      <c r="AK334" s="19">
        <v>9.7916666666666666E-2</v>
      </c>
      <c r="AL334" s="8">
        <f>(2+(21/60))*AH334</f>
        <v>183.60550000000001</v>
      </c>
    </row>
    <row r="335" spans="1:38" x14ac:dyDescent="0.2">
      <c r="A335" s="2">
        <v>309</v>
      </c>
      <c r="B335" s="2">
        <v>334</v>
      </c>
      <c r="C335" s="2">
        <v>1684</v>
      </c>
      <c r="D335" t="s">
        <v>599</v>
      </c>
      <c r="E335" t="s">
        <v>600</v>
      </c>
      <c r="AC335" s="2">
        <v>21.88</v>
      </c>
      <c r="AD335" s="2" t="s">
        <v>773</v>
      </c>
      <c r="AE335" s="2" t="s">
        <v>773</v>
      </c>
      <c r="AF335" s="14" t="s">
        <v>773</v>
      </c>
      <c r="AG335" s="14" t="s">
        <v>773</v>
      </c>
      <c r="AH335" s="14" t="s">
        <v>773</v>
      </c>
      <c r="AI335" s="14" t="s">
        <v>773</v>
      </c>
      <c r="AJ335" s="57" t="s">
        <v>773</v>
      </c>
      <c r="AK335" s="19">
        <v>0.50486111111111109</v>
      </c>
      <c r="AL335" s="8">
        <f>(12+(7/60))*AC335</f>
        <v>265.11266666666666</v>
      </c>
    </row>
    <row r="336" spans="1:38" x14ac:dyDescent="0.2">
      <c r="A336" s="2">
        <v>329</v>
      </c>
      <c r="B336" s="2">
        <v>335</v>
      </c>
      <c r="C336" s="2">
        <v>1928</v>
      </c>
      <c r="D336" t="s">
        <v>1362</v>
      </c>
      <c r="AC336" s="2">
        <v>18.29</v>
      </c>
      <c r="AD336" s="2" t="s">
        <v>773</v>
      </c>
      <c r="AE336" s="2" t="s">
        <v>773</v>
      </c>
      <c r="AF336" s="14" t="s">
        <v>773</v>
      </c>
      <c r="AG336" s="14" t="s">
        <v>773</v>
      </c>
      <c r="AH336" s="14" t="s">
        <v>773</v>
      </c>
      <c r="AI336" s="14" t="s">
        <v>773</v>
      </c>
      <c r="AJ336" s="57" t="s">
        <v>773</v>
      </c>
      <c r="AK336" s="19">
        <v>0.20833333333333334</v>
      </c>
      <c r="AL336" s="8">
        <f>(5+(1/60))*AC336</f>
        <v>91.754833333333323</v>
      </c>
    </row>
    <row r="337" spans="1:45" x14ac:dyDescent="0.2">
      <c r="A337" s="2">
        <v>336</v>
      </c>
      <c r="B337" s="2">
        <v>318</v>
      </c>
      <c r="C337" s="2">
        <v>511</v>
      </c>
      <c r="D337" t="s">
        <v>386</v>
      </c>
      <c r="AC337" s="2">
        <v>99.37</v>
      </c>
      <c r="AD337" s="2" t="s">
        <v>773</v>
      </c>
      <c r="AE337" s="2" t="s">
        <v>773</v>
      </c>
      <c r="AF337" s="14" t="s">
        <v>773</v>
      </c>
      <c r="AG337" s="14" t="s">
        <v>773</v>
      </c>
      <c r="AH337" s="14" t="s">
        <v>773</v>
      </c>
      <c r="AI337" s="14" t="s">
        <v>773</v>
      </c>
      <c r="AJ337" s="57" t="s">
        <v>773</v>
      </c>
      <c r="AK337" s="19">
        <v>9.3055555555555558E-2</v>
      </c>
      <c r="AL337" s="8">
        <f>(4+(7/60))*AC337</f>
        <v>409.07316666666662</v>
      </c>
    </row>
    <row r="338" spans="1:45" x14ac:dyDescent="0.2">
      <c r="A338" s="2">
        <v>371</v>
      </c>
      <c r="B338" s="2">
        <v>337</v>
      </c>
      <c r="C338" s="2">
        <v>2244</v>
      </c>
      <c r="D338" t="s">
        <v>454</v>
      </c>
      <c r="AC338" s="2">
        <v>16.399999999999999</v>
      </c>
      <c r="AD338" s="2" t="s">
        <v>773</v>
      </c>
      <c r="AE338" s="2" t="s">
        <v>773</v>
      </c>
      <c r="AF338" s="14" t="s">
        <v>773</v>
      </c>
      <c r="AG338" s="14" t="s">
        <v>773</v>
      </c>
      <c r="AH338" s="14" t="s">
        <v>773</v>
      </c>
      <c r="AI338" s="14" t="s">
        <v>773</v>
      </c>
      <c r="AJ338" s="57" t="s">
        <v>773</v>
      </c>
      <c r="AK338" s="19">
        <v>0.24513888888888888</v>
      </c>
      <c r="AL338" s="8">
        <f>(5+(53/60))*AC338</f>
        <v>96.48666666666665</v>
      </c>
    </row>
    <row r="339" spans="1:45" x14ac:dyDescent="0.2">
      <c r="A339" s="2">
        <v>338</v>
      </c>
      <c r="B339" s="2">
        <v>338</v>
      </c>
      <c r="C339" s="2">
        <v>2001</v>
      </c>
      <c r="D339" t="s">
        <v>1363</v>
      </c>
      <c r="AC339" s="2">
        <v>18.86</v>
      </c>
      <c r="AD339" s="2" t="s">
        <v>773</v>
      </c>
      <c r="AE339" s="2" t="s">
        <v>773</v>
      </c>
      <c r="AF339" s="14" t="s">
        <v>773</v>
      </c>
      <c r="AG339" s="14" t="s">
        <v>773</v>
      </c>
      <c r="AH339" s="14" t="s">
        <v>773</v>
      </c>
      <c r="AI339" s="14" t="s">
        <v>773</v>
      </c>
      <c r="AJ339" s="57" t="s">
        <v>773</v>
      </c>
      <c r="AK339" s="19">
        <v>0.35486111111111113</v>
      </c>
      <c r="AL339" s="8">
        <f>(8+(31/60))*AC339</f>
        <v>160.62433333333334</v>
      </c>
    </row>
    <row r="340" spans="1:45" x14ac:dyDescent="0.2">
      <c r="A340" s="2">
        <v>339</v>
      </c>
      <c r="B340" s="2">
        <v>388</v>
      </c>
      <c r="D340" t="s">
        <v>402</v>
      </c>
      <c r="AC340" s="2">
        <v>19.510000000000002</v>
      </c>
      <c r="AD340" s="2" t="s">
        <v>773</v>
      </c>
      <c r="AE340" s="2" t="s">
        <v>773</v>
      </c>
      <c r="AF340" s="14" t="s">
        <v>773</v>
      </c>
      <c r="AG340" s="14" t="s">
        <v>773</v>
      </c>
      <c r="AH340" s="14" t="s">
        <v>773</v>
      </c>
      <c r="AI340" s="14" t="s">
        <v>773</v>
      </c>
      <c r="AJ340" s="57" t="s">
        <v>773</v>
      </c>
      <c r="AK340" s="19">
        <v>0.12777777777777777</v>
      </c>
      <c r="AL340" s="8">
        <f>(8+(31/60))*AC340</f>
        <v>166.1601666666667</v>
      </c>
    </row>
    <row r="341" spans="1:45" x14ac:dyDescent="0.2">
      <c r="A341" s="2">
        <v>340</v>
      </c>
      <c r="C341" s="2">
        <v>427</v>
      </c>
      <c r="D341" t="s">
        <v>261</v>
      </c>
      <c r="AF341" s="14"/>
      <c r="AG341" s="14"/>
      <c r="AH341" s="14"/>
      <c r="AI341" s="14"/>
      <c r="AJ341" s="51"/>
    </row>
    <row r="342" spans="1:45" x14ac:dyDescent="0.2">
      <c r="A342" s="2">
        <v>341</v>
      </c>
      <c r="B342" s="2">
        <v>492</v>
      </c>
      <c r="D342" t="s">
        <v>395</v>
      </c>
      <c r="AF342" s="14"/>
      <c r="AG342" s="14"/>
      <c r="AH342" s="14"/>
      <c r="AI342" s="14"/>
      <c r="AJ342" s="51"/>
    </row>
    <row r="343" spans="1:45" x14ac:dyDescent="0.2">
      <c r="A343" s="2">
        <v>342</v>
      </c>
      <c r="B343" s="2">
        <v>350</v>
      </c>
      <c r="C343" s="2">
        <v>833</v>
      </c>
      <c r="D343" t="s">
        <v>285</v>
      </c>
      <c r="H343" s="2">
        <v>74.709999999999994</v>
      </c>
      <c r="I343" s="15">
        <v>2.6680000000000001</v>
      </c>
      <c r="J343" s="15">
        <v>1.913</v>
      </c>
      <c r="AC343" s="2">
        <v>55.87</v>
      </c>
      <c r="AD343" s="2">
        <v>68.290000000000006</v>
      </c>
      <c r="AE343" s="2">
        <v>66.02</v>
      </c>
      <c r="AF343" s="2">
        <v>74.709999999999994</v>
      </c>
      <c r="AG343" s="14" t="s">
        <v>773</v>
      </c>
      <c r="AH343" s="14" t="s">
        <v>773</v>
      </c>
      <c r="AI343" s="14" t="s">
        <v>773</v>
      </c>
      <c r="AJ343" s="14" t="s">
        <v>773</v>
      </c>
      <c r="AK343" s="19">
        <v>0.13055555555555556</v>
      </c>
      <c r="AL343" s="8">
        <f>(3+(8/60))*AF343</f>
        <v>234.09133333333332</v>
      </c>
    </row>
    <row r="344" spans="1:45" x14ac:dyDescent="0.2">
      <c r="A344" s="2">
        <v>343</v>
      </c>
      <c r="B344" s="2">
        <v>500</v>
      </c>
      <c r="C344" s="2">
        <v>13</v>
      </c>
      <c r="D344" t="s">
        <v>494</v>
      </c>
      <c r="E344" t="s">
        <v>564</v>
      </c>
      <c r="G344" s="2">
        <v>50000</v>
      </c>
      <c r="H344" s="2">
        <v>4827</v>
      </c>
      <c r="I344" s="57">
        <v>175.6</v>
      </c>
      <c r="J344" s="57">
        <v>86.99</v>
      </c>
      <c r="O344" s="2">
        <v>340.3</v>
      </c>
      <c r="P344" s="2">
        <v>286.39999999999998</v>
      </c>
      <c r="Q344" s="2">
        <v>346.9</v>
      </c>
      <c r="R344" s="2">
        <v>324.5</v>
      </c>
      <c r="S344" s="2">
        <v>346</v>
      </c>
      <c r="T344" s="2">
        <v>386.9</v>
      </c>
      <c r="U344" s="2">
        <v>224.7</v>
      </c>
      <c r="V344" s="2">
        <v>210.1</v>
      </c>
      <c r="W344" s="2">
        <v>310.2</v>
      </c>
      <c r="X344" s="2">
        <v>315.39999999999998</v>
      </c>
      <c r="Y344" s="2">
        <v>486.2</v>
      </c>
      <c r="Z344" s="2">
        <v>477.4</v>
      </c>
      <c r="AA344" s="2">
        <v>369.2</v>
      </c>
      <c r="AC344" s="2">
        <v>2297</v>
      </c>
      <c r="AD344" s="2">
        <v>4270</v>
      </c>
      <c r="AE344" s="2">
        <v>4397</v>
      </c>
      <c r="AF344" s="2">
        <v>4917</v>
      </c>
      <c r="AG344" s="2">
        <v>4827</v>
      </c>
      <c r="AH344" s="2">
        <v>4797</v>
      </c>
      <c r="AI344" s="14"/>
      <c r="AJ344" s="51"/>
      <c r="AK344" s="19">
        <v>0.21180555555555555</v>
      </c>
      <c r="AL344" s="60">
        <f>(5+(5/60))*AH344</f>
        <v>24384.75</v>
      </c>
      <c r="AM344">
        <v>2000</v>
      </c>
      <c r="AQ344" t="s">
        <v>1237</v>
      </c>
      <c r="AR344" s="8">
        <f>AL48+AL47+AL58+AL104+AL162+AL135+AL220+AL116+AL137+AL172+AL99+AL349+AL194+AL203</f>
        <v>12277.512833333332</v>
      </c>
      <c r="AS344" s="49">
        <f t="shared" si="1"/>
        <v>4.9296085777239332E-3</v>
      </c>
    </row>
    <row r="345" spans="1:45" x14ac:dyDescent="0.2">
      <c r="A345" s="2">
        <v>344</v>
      </c>
      <c r="D345" t="s">
        <v>1364</v>
      </c>
      <c r="I345" s="57"/>
      <c r="J345" s="5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E345" s="2"/>
      <c r="AF345" s="2"/>
      <c r="AG345" s="2"/>
      <c r="AH345" s="2"/>
      <c r="AI345" s="14"/>
      <c r="AJ345" s="51"/>
      <c r="AK345" s="19"/>
      <c r="AL345" s="60"/>
      <c r="AR345" s="8"/>
      <c r="AS345" s="49"/>
    </row>
    <row r="346" spans="1:45" x14ac:dyDescent="0.2">
      <c r="A346" s="2">
        <v>345</v>
      </c>
      <c r="C346" s="2">
        <v>208</v>
      </c>
      <c r="D346" t="s">
        <v>1365</v>
      </c>
      <c r="I346" s="57"/>
      <c r="J346" s="5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E346" s="2"/>
      <c r="AF346" s="2"/>
      <c r="AG346" s="2"/>
      <c r="AH346" s="2"/>
      <c r="AI346" s="14"/>
      <c r="AJ346" s="51"/>
      <c r="AK346" s="19"/>
      <c r="AL346" s="60"/>
      <c r="AR346" s="8"/>
      <c r="AS346" s="49"/>
    </row>
    <row r="347" spans="1:45" x14ac:dyDescent="0.2">
      <c r="A347" s="2">
        <v>346</v>
      </c>
      <c r="D347" t="s">
        <v>1366</v>
      </c>
      <c r="I347" s="57"/>
      <c r="J347" s="5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E347" s="2"/>
      <c r="AF347" s="2"/>
      <c r="AG347" s="2"/>
      <c r="AH347" s="2"/>
      <c r="AI347" s="14"/>
      <c r="AJ347" s="51"/>
      <c r="AK347" s="19"/>
      <c r="AL347" s="60"/>
      <c r="AR347" s="8"/>
      <c r="AS347" s="49"/>
    </row>
    <row r="348" spans="1:45" s="3" customFormat="1" x14ac:dyDescent="0.2">
      <c r="A348" s="4">
        <v>347</v>
      </c>
      <c r="B348" s="4">
        <v>435</v>
      </c>
      <c r="C348" s="4"/>
      <c r="D348" s="3" t="s">
        <v>435</v>
      </c>
      <c r="E348" s="3" t="s">
        <v>6</v>
      </c>
      <c r="G348" s="4"/>
      <c r="H348" s="4"/>
      <c r="I348" s="16"/>
      <c r="J348" s="16"/>
      <c r="K348" s="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4"/>
      <c r="AE348" s="9"/>
      <c r="AF348" s="46"/>
      <c r="AG348" s="46"/>
      <c r="AH348" s="46"/>
      <c r="AI348" s="46"/>
      <c r="AJ348" s="52"/>
    </row>
    <row r="349" spans="1:45" x14ac:dyDescent="0.2">
      <c r="A349" s="2">
        <v>348</v>
      </c>
      <c r="B349" s="2">
        <v>364</v>
      </c>
      <c r="C349" s="2">
        <v>1830</v>
      </c>
      <c r="D349" t="s">
        <v>129</v>
      </c>
      <c r="E349" t="s">
        <v>691</v>
      </c>
      <c r="G349" s="2">
        <v>1000</v>
      </c>
      <c r="H349" s="2">
        <v>54.92</v>
      </c>
      <c r="I349" s="15">
        <v>1.9610000000000001</v>
      </c>
      <c r="J349" s="15">
        <v>1.786</v>
      </c>
      <c r="AC349" s="2">
        <v>39.450000000000003</v>
      </c>
      <c r="AD349" s="2">
        <v>53.86</v>
      </c>
      <c r="AE349" s="2">
        <v>52.27</v>
      </c>
      <c r="AF349" s="2">
        <v>54.92</v>
      </c>
      <c r="AG349" s="14" t="s">
        <v>773</v>
      </c>
      <c r="AH349" s="2">
        <v>67.97</v>
      </c>
      <c r="AI349" s="2" t="s">
        <v>773</v>
      </c>
      <c r="AJ349" s="2" t="s">
        <v>773</v>
      </c>
      <c r="AK349" s="19">
        <v>3.4027777777777775E-2</v>
      </c>
      <c r="AL349" s="8">
        <f>(1+(33/60))*AH349</f>
        <v>105.3535</v>
      </c>
    </row>
    <row r="350" spans="1:45" x14ac:dyDescent="0.2">
      <c r="A350" s="2">
        <v>349</v>
      </c>
      <c r="B350" s="2">
        <v>413</v>
      </c>
      <c r="C350" s="2">
        <v>200</v>
      </c>
      <c r="D350" t="s">
        <v>413</v>
      </c>
      <c r="AF350" s="14"/>
      <c r="AG350" s="14"/>
      <c r="AH350" s="14"/>
      <c r="AI350" s="14"/>
      <c r="AJ350" s="51"/>
    </row>
    <row r="351" spans="1:45" x14ac:dyDescent="0.2">
      <c r="A351" s="2">
        <v>350</v>
      </c>
      <c r="C351" s="2">
        <v>520</v>
      </c>
      <c r="D351" t="s">
        <v>1367</v>
      </c>
      <c r="AF351" s="14"/>
      <c r="AG351" s="14"/>
      <c r="AH351" s="14"/>
      <c r="AI351" s="14"/>
      <c r="AJ351" s="51"/>
    </row>
    <row r="352" spans="1:45" x14ac:dyDescent="0.2">
      <c r="A352" s="2">
        <v>351</v>
      </c>
      <c r="B352" s="2">
        <v>441</v>
      </c>
      <c r="D352" t="s">
        <v>441</v>
      </c>
      <c r="AF352" s="14"/>
      <c r="AG352" s="14"/>
      <c r="AH352" s="14"/>
      <c r="AI352" s="14"/>
      <c r="AJ352" s="51"/>
    </row>
    <row r="353" spans="1:38" x14ac:dyDescent="0.2">
      <c r="A353" s="2">
        <v>353</v>
      </c>
      <c r="B353" s="2">
        <v>254</v>
      </c>
      <c r="C353" s="2">
        <v>1294</v>
      </c>
      <c r="D353" t="s">
        <v>263</v>
      </c>
      <c r="F353" t="s">
        <v>1260</v>
      </c>
      <c r="H353" s="2">
        <v>40.85</v>
      </c>
      <c r="I353" s="15">
        <v>1.4590000000000001</v>
      </c>
      <c r="J353" s="15">
        <v>1.087</v>
      </c>
      <c r="AC353" s="2">
        <v>53.61</v>
      </c>
      <c r="AD353" s="2">
        <v>43.54</v>
      </c>
      <c r="AE353" s="2">
        <v>46.17</v>
      </c>
      <c r="AF353" s="2">
        <v>40.85</v>
      </c>
      <c r="AG353" s="14" t="s">
        <v>773</v>
      </c>
      <c r="AH353" s="14" t="s">
        <v>773</v>
      </c>
      <c r="AI353" s="14" t="s">
        <v>773</v>
      </c>
      <c r="AJ353" s="14" t="s">
        <v>773</v>
      </c>
      <c r="AK353" s="19">
        <v>0.10625</v>
      </c>
      <c r="AL353" s="8">
        <f>(2+(44/60))*AF353</f>
        <v>111.65666666666667</v>
      </c>
    </row>
    <row r="354" spans="1:38" x14ac:dyDescent="0.2">
      <c r="A354" s="2">
        <v>356</v>
      </c>
      <c r="B354" s="2">
        <v>477</v>
      </c>
      <c r="D354" t="s">
        <v>481</v>
      </c>
      <c r="AF354" s="14"/>
      <c r="AG354" s="14"/>
      <c r="AH354" s="14"/>
      <c r="AI354" s="14"/>
      <c r="AJ354" s="51"/>
    </row>
    <row r="355" spans="1:38" x14ac:dyDescent="0.2">
      <c r="A355" s="2">
        <v>357</v>
      </c>
      <c r="B355" s="2">
        <v>354</v>
      </c>
      <c r="C355" s="2">
        <v>2086</v>
      </c>
      <c r="D355" t="s">
        <v>312</v>
      </c>
      <c r="F355" t="s">
        <v>1296</v>
      </c>
      <c r="H355" s="2">
        <v>25.26</v>
      </c>
      <c r="I355" s="15">
        <v>0.90221700000000005</v>
      </c>
      <c r="J355" s="15">
        <v>0.75537299999999996</v>
      </c>
      <c r="AC355" s="2">
        <v>21.31</v>
      </c>
      <c r="AD355" s="2">
        <v>26.2</v>
      </c>
      <c r="AE355" s="2">
        <v>29.84</v>
      </c>
      <c r="AF355" s="2">
        <v>25.26</v>
      </c>
      <c r="AG355" s="14" t="s">
        <v>773</v>
      </c>
      <c r="AH355" s="14" t="s">
        <v>773</v>
      </c>
      <c r="AI355" s="14" t="s">
        <v>773</v>
      </c>
      <c r="AJ355" s="14" t="s">
        <v>773</v>
      </c>
      <c r="AK355" s="19">
        <v>0.17499999999999999</v>
      </c>
      <c r="AL355" s="8">
        <f>(4+(11/60))*AF355</f>
        <v>105.67100000000001</v>
      </c>
    </row>
    <row r="356" spans="1:38" x14ac:dyDescent="0.2">
      <c r="A356" s="2">
        <v>358</v>
      </c>
      <c r="B356" s="2">
        <v>376</v>
      </c>
      <c r="C356" s="2">
        <v>2254</v>
      </c>
      <c r="D356" t="s">
        <v>280</v>
      </c>
      <c r="F356" t="s">
        <v>1274</v>
      </c>
      <c r="H356" s="2">
        <v>23.13</v>
      </c>
      <c r="I356" s="15">
        <v>0.82627600000000001</v>
      </c>
      <c r="J356" s="15">
        <v>0.48430899999999999</v>
      </c>
      <c r="AC356" s="2">
        <v>26.28</v>
      </c>
      <c r="AD356" s="2">
        <v>36.32</v>
      </c>
      <c r="AE356" s="2">
        <v>35.200000000000003</v>
      </c>
      <c r="AF356" s="2">
        <v>23.13</v>
      </c>
      <c r="AG356" s="14" t="s">
        <v>773</v>
      </c>
      <c r="AH356" s="14" t="s">
        <v>773</v>
      </c>
      <c r="AI356" s="14" t="s">
        <v>773</v>
      </c>
      <c r="AJ356" s="14" t="s">
        <v>773</v>
      </c>
      <c r="AK356" s="19">
        <v>0.19791666666666666</v>
      </c>
      <c r="AL356" s="8">
        <f>(6+(28/60))*AF356</f>
        <v>149.57399999999998</v>
      </c>
    </row>
    <row r="357" spans="1:38" x14ac:dyDescent="0.2">
      <c r="A357" s="2">
        <v>359</v>
      </c>
      <c r="B357" s="2">
        <v>331</v>
      </c>
      <c r="C357" s="2">
        <v>1678</v>
      </c>
      <c r="D357" t="s">
        <v>452</v>
      </c>
      <c r="F357" t="s">
        <v>1319</v>
      </c>
      <c r="H357" s="2">
        <v>23.89</v>
      </c>
      <c r="I357" s="15">
        <v>0.85336299999999998</v>
      </c>
      <c r="J357" s="15">
        <v>0.62627100000000002</v>
      </c>
      <c r="AC357" s="2">
        <v>21</v>
      </c>
      <c r="AD357" s="2">
        <v>21.26</v>
      </c>
      <c r="AE357" s="2">
        <v>23.89</v>
      </c>
      <c r="AF357" s="2" t="s">
        <v>773</v>
      </c>
      <c r="AG357" s="2" t="s">
        <v>773</v>
      </c>
      <c r="AH357" s="2" t="s">
        <v>773</v>
      </c>
      <c r="AI357" s="2" t="s">
        <v>773</v>
      </c>
      <c r="AJ357" s="2" t="s">
        <v>773</v>
      </c>
      <c r="AK357" s="19">
        <v>0.31041666666666667</v>
      </c>
      <c r="AL357" s="8">
        <f>(7+(57/60))*AE357</f>
        <v>189.9255</v>
      </c>
    </row>
    <row r="358" spans="1:38" x14ac:dyDescent="0.2">
      <c r="A358" s="2">
        <v>360</v>
      </c>
      <c r="B358" s="2">
        <v>284</v>
      </c>
      <c r="C358" s="2">
        <v>900</v>
      </c>
      <c r="D358" t="s">
        <v>336</v>
      </c>
      <c r="E358" t="s">
        <v>540</v>
      </c>
      <c r="H358" s="2">
        <v>54.77</v>
      </c>
      <c r="I358" s="15">
        <v>1.956</v>
      </c>
      <c r="J358" s="16">
        <v>1.486</v>
      </c>
      <c r="AC358" s="2">
        <v>34.659999999999997</v>
      </c>
      <c r="AD358" s="2">
        <v>33.369999999999997</v>
      </c>
      <c r="AE358" s="2">
        <v>54.77</v>
      </c>
      <c r="AF358" s="14" t="s">
        <v>773</v>
      </c>
      <c r="AG358" s="14" t="s">
        <v>773</v>
      </c>
      <c r="AH358" s="14" t="s">
        <v>773</v>
      </c>
      <c r="AI358" s="14" t="s">
        <v>773</v>
      </c>
      <c r="AJ358" s="14" t="s">
        <v>773</v>
      </c>
      <c r="AK358" s="19">
        <v>0.34791666666666665</v>
      </c>
      <c r="AL358" s="8">
        <f>(8+(21/60))*AE358</f>
        <v>457.3295</v>
      </c>
    </row>
    <row r="359" spans="1:38" x14ac:dyDescent="0.2">
      <c r="A359" s="2">
        <v>361</v>
      </c>
      <c r="B359" s="2">
        <v>423</v>
      </c>
      <c r="D359" t="s">
        <v>447</v>
      </c>
      <c r="E359" t="s">
        <v>540</v>
      </c>
      <c r="AF359" s="14"/>
      <c r="AG359" s="14"/>
      <c r="AH359" s="14"/>
      <c r="AI359" s="14"/>
      <c r="AJ359" s="51"/>
    </row>
    <row r="360" spans="1:38" x14ac:dyDescent="0.2">
      <c r="A360" s="2">
        <v>362</v>
      </c>
      <c r="B360" s="2">
        <v>422</v>
      </c>
      <c r="C360" s="2">
        <v>19</v>
      </c>
      <c r="D360" t="s">
        <v>446</v>
      </c>
      <c r="H360" s="2">
        <v>1093</v>
      </c>
      <c r="I360" s="15">
        <v>39.049999999999997</v>
      </c>
      <c r="J360" s="16">
        <v>15.39</v>
      </c>
      <c r="O360" s="8">
        <v>1189.846532</v>
      </c>
      <c r="P360" s="8">
        <v>1331.180891</v>
      </c>
      <c r="Q360" s="8">
        <v>1489.067466</v>
      </c>
      <c r="R360" s="8">
        <v>576.67145100000005</v>
      </c>
      <c r="S360" s="8">
        <v>1113.6501450000001</v>
      </c>
      <c r="T360" s="8">
        <v>723.16618000000005</v>
      </c>
      <c r="U360" s="8">
        <v>885.76111000000003</v>
      </c>
      <c r="V360" s="8">
        <v>1010.269867</v>
      </c>
      <c r="W360" s="8">
        <v>870.687231</v>
      </c>
      <c r="X360" s="8">
        <v>800.60578199999998</v>
      </c>
      <c r="Y360" s="8">
        <v>909.76755400000002</v>
      </c>
      <c r="Z360" s="8">
        <v>855.65192200000001</v>
      </c>
      <c r="AA360" s="8">
        <v>867.31711499999994</v>
      </c>
      <c r="AC360" s="2">
        <v>1483</v>
      </c>
      <c r="AD360" s="2">
        <v>1093</v>
      </c>
      <c r="AE360" s="2">
        <v>1044</v>
      </c>
      <c r="AF360" s="2">
        <v>1093</v>
      </c>
      <c r="AG360" s="14" t="s">
        <v>773</v>
      </c>
      <c r="AH360" s="14" t="s">
        <v>773</v>
      </c>
      <c r="AI360" s="14" t="s">
        <v>773</v>
      </c>
      <c r="AJ360" s="14" t="s">
        <v>773</v>
      </c>
      <c r="AK360" s="19">
        <v>0.66805555555555562</v>
      </c>
      <c r="AL360" s="8">
        <f>(16+(2/60))*AF360</f>
        <v>17524.433333333334</v>
      </c>
    </row>
    <row r="361" spans="1:38" x14ac:dyDescent="0.2">
      <c r="A361" s="2">
        <v>363</v>
      </c>
      <c r="B361" s="2">
        <v>431</v>
      </c>
      <c r="D361" t="s">
        <v>455</v>
      </c>
      <c r="AF361" s="14"/>
      <c r="AG361" s="14"/>
      <c r="AH361" s="14"/>
      <c r="AI361" s="14"/>
      <c r="AJ361" s="51"/>
    </row>
    <row r="362" spans="1:38" x14ac:dyDescent="0.2">
      <c r="A362" s="2">
        <v>364</v>
      </c>
      <c r="C362" s="2">
        <v>868</v>
      </c>
      <c r="D362" t="s">
        <v>1368</v>
      </c>
      <c r="E362" t="s">
        <v>1234</v>
      </c>
      <c r="AF362" s="14"/>
      <c r="AG362" s="14"/>
      <c r="AH362" s="14"/>
      <c r="AI362" s="14"/>
      <c r="AJ362" s="51"/>
    </row>
    <row r="363" spans="1:38" x14ac:dyDescent="0.2">
      <c r="A363" s="2">
        <v>365</v>
      </c>
      <c r="D363" t="s">
        <v>1369</v>
      </c>
      <c r="AF363" s="14"/>
      <c r="AG363" s="14"/>
      <c r="AH363" s="14"/>
      <c r="AI363" s="14"/>
      <c r="AJ363" s="51"/>
    </row>
    <row r="364" spans="1:38" x14ac:dyDescent="0.2">
      <c r="A364" s="2">
        <v>366</v>
      </c>
      <c r="B364" s="2">
        <v>340</v>
      </c>
      <c r="C364" s="2">
        <v>1928</v>
      </c>
      <c r="D364" t="s">
        <v>369</v>
      </c>
      <c r="F364" t="s">
        <v>540</v>
      </c>
      <c r="G364" s="2">
        <v>0</v>
      </c>
      <c r="AC364" s="2">
        <v>22.68</v>
      </c>
      <c r="AD364" s="2" t="s">
        <v>773</v>
      </c>
      <c r="AE364" s="2" t="s">
        <v>773</v>
      </c>
      <c r="AF364" s="14" t="s">
        <v>773</v>
      </c>
      <c r="AG364" s="14" t="s">
        <v>773</v>
      </c>
      <c r="AH364" s="14" t="s">
        <v>773</v>
      </c>
      <c r="AI364" s="14" t="s">
        <v>773</v>
      </c>
      <c r="AJ364" s="57" t="s">
        <v>773</v>
      </c>
      <c r="AK364" s="19">
        <v>0.20555555555555555</v>
      </c>
      <c r="AL364" s="8">
        <f>(4+(56/60))*AC364</f>
        <v>111.88800000000001</v>
      </c>
    </row>
    <row r="365" spans="1:38" x14ac:dyDescent="0.2">
      <c r="A365" s="2">
        <v>367</v>
      </c>
      <c r="B365" s="2">
        <v>387</v>
      </c>
      <c r="C365" s="2">
        <v>21</v>
      </c>
      <c r="D365" t="s">
        <v>414</v>
      </c>
      <c r="E365" t="s">
        <v>716</v>
      </c>
      <c r="G365" s="2">
        <v>5260</v>
      </c>
      <c r="H365" s="2">
        <v>898.6</v>
      </c>
      <c r="I365" s="15">
        <v>32.090000000000003</v>
      </c>
      <c r="J365" s="15">
        <v>13.55</v>
      </c>
      <c r="O365" s="8">
        <v>255.47768199999999</v>
      </c>
      <c r="P365" s="8">
        <v>219.208091</v>
      </c>
      <c r="Q365" s="8">
        <v>263.58977800000002</v>
      </c>
      <c r="R365" s="8">
        <v>243.66030900000001</v>
      </c>
      <c r="S365" s="8">
        <v>252.06861000000001</v>
      </c>
      <c r="T365" s="8">
        <v>260.33903500000002</v>
      </c>
      <c r="U365" s="8">
        <v>174.21491900000001</v>
      </c>
      <c r="V365" s="8">
        <v>162.81508199999999</v>
      </c>
      <c r="W365" s="8">
        <v>227.10964999999999</v>
      </c>
      <c r="X365" s="8">
        <v>229.062363</v>
      </c>
      <c r="Y365" s="8">
        <v>282.15379899999999</v>
      </c>
      <c r="Z365" s="8">
        <v>307.255292</v>
      </c>
      <c r="AA365" s="8">
        <v>286.84138400000001</v>
      </c>
      <c r="AC365" s="2">
        <v>1162</v>
      </c>
      <c r="AD365" s="2">
        <v>1097</v>
      </c>
      <c r="AE365" s="2">
        <v>1165</v>
      </c>
      <c r="AF365" s="2">
        <v>898.6</v>
      </c>
      <c r="AG365" s="14" t="s">
        <v>773</v>
      </c>
      <c r="AH365" s="14" t="s">
        <v>773</v>
      </c>
      <c r="AI365" s="14" t="s">
        <v>773</v>
      </c>
      <c r="AJ365" s="14" t="s">
        <v>773</v>
      </c>
      <c r="AK365" s="19">
        <v>0.86388888888888893</v>
      </c>
      <c r="AL365" s="8">
        <f>(20+(44/60))*AF365</f>
        <v>18630.973333333335</v>
      </c>
    </row>
    <row r="366" spans="1:38" x14ac:dyDescent="0.2">
      <c r="A366" s="2">
        <v>368</v>
      </c>
      <c r="B366" s="2">
        <v>357</v>
      </c>
      <c r="C366" s="2">
        <v>2110</v>
      </c>
      <c r="D366" t="s">
        <v>376</v>
      </c>
      <c r="AC366" s="2">
        <v>23.72</v>
      </c>
      <c r="AD366" s="2" t="s">
        <v>773</v>
      </c>
      <c r="AE366" s="2" t="s">
        <v>773</v>
      </c>
      <c r="AF366" s="14" t="s">
        <v>773</v>
      </c>
      <c r="AG366" s="14" t="s">
        <v>773</v>
      </c>
      <c r="AH366" s="14" t="s">
        <v>773</v>
      </c>
      <c r="AI366" s="14" t="s">
        <v>773</v>
      </c>
      <c r="AJ366" s="57" t="s">
        <v>773</v>
      </c>
      <c r="AK366" s="19">
        <v>0.17708333333333334</v>
      </c>
      <c r="AL366" s="8">
        <f>(4+(15/60))*AC366</f>
        <v>100.81</v>
      </c>
    </row>
    <row r="367" spans="1:38" x14ac:dyDescent="0.2">
      <c r="A367" s="2">
        <v>370</v>
      </c>
      <c r="D367" t="s">
        <v>370</v>
      </c>
      <c r="AC367" s="2"/>
      <c r="AE367" s="2"/>
      <c r="AF367" s="14"/>
      <c r="AG367" s="14"/>
      <c r="AH367" s="14"/>
      <c r="AI367" s="14"/>
      <c r="AJ367" s="57"/>
      <c r="AK367" s="19"/>
      <c r="AL367" s="8"/>
    </row>
    <row r="368" spans="1:38" x14ac:dyDescent="0.2">
      <c r="A368" s="2">
        <v>371</v>
      </c>
      <c r="D368" t="s">
        <v>1370</v>
      </c>
      <c r="AC368" s="2"/>
      <c r="AE368" s="2"/>
      <c r="AF368" s="14"/>
      <c r="AG368" s="14"/>
      <c r="AH368" s="14"/>
      <c r="AI368" s="14"/>
      <c r="AJ368" s="57"/>
      <c r="AK368" s="19"/>
      <c r="AL368" s="8"/>
    </row>
    <row r="369" spans="1:38" x14ac:dyDescent="0.2">
      <c r="A369" s="2">
        <v>372</v>
      </c>
      <c r="B369" s="2">
        <v>337</v>
      </c>
      <c r="C369" s="2">
        <v>1942</v>
      </c>
      <c r="D369" t="s">
        <v>382</v>
      </c>
      <c r="E369" t="s">
        <v>714</v>
      </c>
      <c r="G369" s="2">
        <v>2670</v>
      </c>
      <c r="AC369" s="2">
        <v>23.8</v>
      </c>
      <c r="AD369" s="2" t="s">
        <v>773</v>
      </c>
      <c r="AE369" s="2" t="s">
        <v>773</v>
      </c>
      <c r="AF369" s="14" t="s">
        <v>773</v>
      </c>
      <c r="AG369" s="14" t="s">
        <v>773</v>
      </c>
      <c r="AH369" s="14" t="s">
        <v>773</v>
      </c>
      <c r="AI369" s="14" t="s">
        <v>773</v>
      </c>
      <c r="AJ369" s="57" t="s">
        <v>773</v>
      </c>
      <c r="AK369" s="19">
        <v>0.15069444444444444</v>
      </c>
      <c r="AL369" s="8">
        <f>(3+(37/60))*AC369</f>
        <v>86.076666666666668</v>
      </c>
    </row>
    <row r="370" spans="1:38" x14ac:dyDescent="0.2">
      <c r="A370" s="2">
        <v>373</v>
      </c>
      <c r="B370" s="2">
        <v>280</v>
      </c>
      <c r="C370" s="2">
        <v>638</v>
      </c>
      <c r="D370" t="s">
        <v>175</v>
      </c>
      <c r="H370" s="2">
        <v>109.4</v>
      </c>
      <c r="I370" s="15">
        <v>3.9079999999999999</v>
      </c>
      <c r="J370" s="15">
        <v>2.097</v>
      </c>
      <c r="AC370" s="2">
        <v>67.39</v>
      </c>
      <c r="AD370" s="2">
        <v>113.1</v>
      </c>
      <c r="AE370" s="2">
        <v>110.9</v>
      </c>
      <c r="AF370" s="2">
        <v>109.4</v>
      </c>
      <c r="AG370" s="14" t="s">
        <v>773</v>
      </c>
      <c r="AH370" s="2">
        <v>128.9</v>
      </c>
      <c r="AI370" s="14" t="s">
        <v>773</v>
      </c>
      <c r="AJ370" s="14" t="s">
        <v>773</v>
      </c>
      <c r="AK370" s="19">
        <v>0.54722222222222217</v>
      </c>
      <c r="AL370" s="8">
        <f>(13+(8/60))*AH370</f>
        <v>1692.8866666666668</v>
      </c>
    </row>
    <row r="371" spans="1:38" x14ac:dyDescent="0.2">
      <c r="A371" s="2">
        <v>374</v>
      </c>
      <c r="B371" s="2">
        <v>497</v>
      </c>
      <c r="D371" t="s">
        <v>504</v>
      </c>
      <c r="AF371" s="14"/>
      <c r="AG371" s="14"/>
      <c r="AH371" s="14"/>
      <c r="AI371" s="14"/>
      <c r="AJ371" s="51"/>
    </row>
    <row r="372" spans="1:38" x14ac:dyDescent="0.2">
      <c r="A372" s="2">
        <v>375</v>
      </c>
      <c r="D372" t="s">
        <v>1371</v>
      </c>
      <c r="AF372" s="14"/>
      <c r="AG372" s="14"/>
      <c r="AH372" s="14"/>
      <c r="AI372" s="14"/>
      <c r="AJ372" s="51"/>
    </row>
    <row r="373" spans="1:38" x14ac:dyDescent="0.2">
      <c r="A373" s="2">
        <v>376</v>
      </c>
      <c r="C373" s="2">
        <v>655</v>
      </c>
      <c r="D373" t="s">
        <v>1372</v>
      </c>
      <c r="AF373" s="14"/>
      <c r="AG373" s="14"/>
      <c r="AH373" s="14"/>
      <c r="AI373" s="14"/>
      <c r="AJ373" s="51"/>
    </row>
    <row r="374" spans="1:38" x14ac:dyDescent="0.2">
      <c r="A374" s="2">
        <v>377</v>
      </c>
      <c r="B374" s="2">
        <v>442</v>
      </c>
      <c r="D374" t="s">
        <v>442</v>
      </c>
      <c r="AF374" s="14"/>
      <c r="AG374" s="14"/>
      <c r="AH374" s="14"/>
      <c r="AI374" s="14"/>
      <c r="AJ374" s="51"/>
    </row>
    <row r="375" spans="1:38" x14ac:dyDescent="0.2">
      <c r="A375" s="2">
        <v>378</v>
      </c>
      <c r="C375" s="2">
        <v>235</v>
      </c>
      <c r="D375" t="s">
        <v>1373</v>
      </c>
      <c r="AF375" s="14"/>
      <c r="AG375" s="14"/>
      <c r="AH375" s="14"/>
      <c r="AI375" s="14"/>
      <c r="AJ375" s="51"/>
    </row>
    <row r="376" spans="1:38" x14ac:dyDescent="0.2">
      <c r="A376" s="4">
        <v>379</v>
      </c>
      <c r="B376" s="2">
        <v>493</v>
      </c>
      <c r="C376" s="4">
        <v>441</v>
      </c>
      <c r="D376" t="s">
        <v>499</v>
      </c>
      <c r="AF376" s="14"/>
      <c r="AG376" s="14"/>
      <c r="AH376" s="14"/>
      <c r="AI376" s="14"/>
      <c r="AJ376" s="51"/>
    </row>
    <row r="377" spans="1:38" x14ac:dyDescent="0.2">
      <c r="A377" s="2">
        <v>380</v>
      </c>
      <c r="B377" s="2">
        <v>317</v>
      </c>
      <c r="C377" s="2">
        <v>68</v>
      </c>
      <c r="D377" t="s">
        <v>289</v>
      </c>
      <c r="E377" t="s">
        <v>1228</v>
      </c>
      <c r="F377" t="s">
        <v>1281</v>
      </c>
      <c r="H377" s="2">
        <v>656.2</v>
      </c>
      <c r="I377" s="15">
        <v>23.43</v>
      </c>
      <c r="J377" s="15">
        <v>16.88</v>
      </c>
      <c r="AC377" s="2">
        <v>649</v>
      </c>
      <c r="AD377" s="2">
        <v>772.3</v>
      </c>
      <c r="AE377" s="2">
        <v>635.4</v>
      </c>
      <c r="AF377" s="2">
        <v>656.2</v>
      </c>
      <c r="AG377" s="14" t="s">
        <v>773</v>
      </c>
      <c r="AH377" s="14" t="s">
        <v>773</v>
      </c>
      <c r="AI377" s="14" t="s">
        <v>773</v>
      </c>
      <c r="AJ377" s="14" t="s">
        <v>773</v>
      </c>
      <c r="AK377" s="19">
        <v>0.13402777777777777</v>
      </c>
      <c r="AL377" s="8">
        <f>(3+(13/60))*AF377</f>
        <v>2110.7766666666671</v>
      </c>
    </row>
    <row r="378" spans="1:38" x14ac:dyDescent="0.2">
      <c r="A378" s="2">
        <v>382</v>
      </c>
      <c r="B378" s="2">
        <v>334</v>
      </c>
      <c r="C378" s="2">
        <v>1248</v>
      </c>
      <c r="D378" t="s">
        <v>327</v>
      </c>
      <c r="F378" t="s">
        <v>1333</v>
      </c>
      <c r="AC378" s="2">
        <v>45.89</v>
      </c>
      <c r="AD378" s="2">
        <v>39.409999999999997</v>
      </c>
      <c r="AE378" s="2">
        <v>35.72</v>
      </c>
      <c r="AF378" s="14" t="s">
        <v>773</v>
      </c>
      <c r="AG378" s="14" t="s">
        <v>773</v>
      </c>
      <c r="AH378" s="14" t="s">
        <v>773</v>
      </c>
      <c r="AI378" s="14" t="s">
        <v>773</v>
      </c>
      <c r="AJ378" s="14" t="s">
        <v>773</v>
      </c>
      <c r="AK378" s="22">
        <v>7.9861111111111105E-2</v>
      </c>
      <c r="AL378" s="8">
        <f>(2+(3/60))*AE378</f>
        <v>73.225999999999985</v>
      </c>
    </row>
    <row r="379" spans="1:38" x14ac:dyDescent="0.2">
      <c r="A379" s="2">
        <v>384</v>
      </c>
      <c r="B379" s="2">
        <v>476</v>
      </c>
      <c r="C379" s="2">
        <v>1855</v>
      </c>
      <c r="D379" t="s">
        <v>172</v>
      </c>
      <c r="E379" t="s">
        <v>6</v>
      </c>
      <c r="F379" t="s">
        <v>1269</v>
      </c>
      <c r="G379" s="2">
        <v>0</v>
      </c>
      <c r="H379" s="2">
        <v>85.97</v>
      </c>
      <c r="I379" s="15">
        <v>2.1579999999999999</v>
      </c>
      <c r="J379" s="15">
        <v>1.6830000000000001</v>
      </c>
      <c r="K379" s="2">
        <v>26.54</v>
      </c>
      <c r="AC379" s="2">
        <v>31.23</v>
      </c>
      <c r="AD379" s="2">
        <v>66.09</v>
      </c>
      <c r="AE379" s="2">
        <v>27.31</v>
      </c>
      <c r="AF379" s="2">
        <v>14.4</v>
      </c>
      <c r="AG379" s="2" t="s">
        <v>773</v>
      </c>
      <c r="AH379" s="2">
        <v>35.39</v>
      </c>
      <c r="AI379" s="2" t="s">
        <v>773</v>
      </c>
      <c r="AJ379" s="2" t="s">
        <v>773</v>
      </c>
      <c r="AK379" s="22">
        <v>8.1250000000000003E-2</v>
      </c>
      <c r="AL379" s="8">
        <f>(1+(57/60))*AH379</f>
        <v>69.010499999999993</v>
      </c>
    </row>
    <row r="380" spans="1:38" x14ac:dyDescent="0.2">
      <c r="A380" s="2">
        <v>385</v>
      </c>
      <c r="B380" s="2">
        <v>332</v>
      </c>
      <c r="C380" s="2">
        <v>363</v>
      </c>
      <c r="D380" t="s">
        <v>214</v>
      </c>
      <c r="E380" t="s">
        <v>707</v>
      </c>
      <c r="G380" s="2">
        <v>135900</v>
      </c>
      <c r="H380" s="2">
        <v>176.2</v>
      </c>
      <c r="I380" s="15">
        <v>6.2949999999999999</v>
      </c>
      <c r="J380" s="15">
        <v>3.6970000000000001</v>
      </c>
      <c r="O380" s="8">
        <v>314.23970800000001</v>
      </c>
      <c r="P380" s="8">
        <v>297.83355</v>
      </c>
      <c r="Q380" s="8">
        <v>320.92489599999999</v>
      </c>
      <c r="R380" s="8">
        <v>308.83760100000001</v>
      </c>
      <c r="S380" s="8">
        <v>299.797956</v>
      </c>
      <c r="T380" s="8">
        <v>280.05275599999999</v>
      </c>
      <c r="U380" s="8">
        <v>305.595485</v>
      </c>
      <c r="V380" s="8">
        <v>303.83640200000002</v>
      </c>
      <c r="W380" s="8">
        <v>344.703731</v>
      </c>
      <c r="X380" s="8">
        <v>361.07580799999999</v>
      </c>
      <c r="Y380" s="8">
        <v>416.89001400000001</v>
      </c>
      <c r="Z380" s="8">
        <v>401.40909699999997</v>
      </c>
      <c r="AA380" s="8">
        <v>372.294871</v>
      </c>
      <c r="AC380" s="2">
        <v>146.1</v>
      </c>
      <c r="AD380" s="2">
        <v>150.4</v>
      </c>
      <c r="AE380" s="2">
        <v>181.7</v>
      </c>
      <c r="AF380" s="2">
        <v>176.2</v>
      </c>
      <c r="AG380" s="2" t="s">
        <v>773</v>
      </c>
      <c r="AH380" s="2">
        <v>180.8</v>
      </c>
      <c r="AI380" s="2" t="s">
        <v>773</v>
      </c>
      <c r="AJ380" s="2" t="s">
        <v>773</v>
      </c>
      <c r="AK380" s="19">
        <v>0.26041666666666669</v>
      </c>
      <c r="AL380" s="8">
        <f>(6+(15/60))*AH380</f>
        <v>1130</v>
      </c>
    </row>
    <row r="381" spans="1:38" x14ac:dyDescent="0.2">
      <c r="A381" s="2">
        <v>386</v>
      </c>
      <c r="B381" s="2">
        <v>363</v>
      </c>
      <c r="C381" s="2">
        <v>726</v>
      </c>
      <c r="D381" t="s">
        <v>302</v>
      </c>
      <c r="F381" t="s">
        <v>1289</v>
      </c>
      <c r="H381" s="2">
        <v>73.86</v>
      </c>
      <c r="I381" s="15">
        <v>2.6379999999999999</v>
      </c>
      <c r="J381" s="15">
        <v>2.2690000000000001</v>
      </c>
      <c r="AC381" s="2">
        <v>67.08</v>
      </c>
      <c r="AD381" s="2">
        <v>82.86</v>
      </c>
      <c r="AE381" s="2">
        <v>65.430000000000007</v>
      </c>
      <c r="AF381" s="2">
        <v>73.86</v>
      </c>
      <c r="AG381" s="14" t="s">
        <v>773</v>
      </c>
      <c r="AH381" s="14" t="s">
        <v>773</v>
      </c>
      <c r="AI381" s="14" t="s">
        <v>773</v>
      </c>
      <c r="AJ381" s="14" t="s">
        <v>773</v>
      </c>
      <c r="AK381" s="19">
        <v>5.1388888888888894E-2</v>
      </c>
      <c r="AL381" s="8">
        <f>(1+(14/60))*AF381</f>
        <v>91.094000000000008</v>
      </c>
    </row>
    <row r="382" spans="1:38" s="3" customFormat="1" x14ac:dyDescent="0.2">
      <c r="A382" s="4">
        <v>387</v>
      </c>
      <c r="B382" s="4"/>
      <c r="C382" s="4"/>
      <c r="D382" s="3" t="s">
        <v>1446</v>
      </c>
      <c r="E382" s="3" t="s">
        <v>1447</v>
      </c>
      <c r="G382" s="4"/>
      <c r="H382" s="4"/>
      <c r="I382" s="16"/>
      <c r="J382" s="16"/>
      <c r="K382" s="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4"/>
      <c r="AD382" s="4"/>
      <c r="AE382" s="4"/>
      <c r="AF382" s="4"/>
      <c r="AG382" s="46"/>
      <c r="AH382" s="46"/>
      <c r="AI382" s="46"/>
      <c r="AJ382" s="46"/>
      <c r="AK382" s="23"/>
      <c r="AL382" s="47"/>
    </row>
    <row r="383" spans="1:38" x14ac:dyDescent="0.2">
      <c r="A383" s="2">
        <v>389</v>
      </c>
      <c r="B383" s="4"/>
      <c r="D383" t="s">
        <v>1374</v>
      </c>
      <c r="J383" s="15"/>
      <c r="AC383" s="2"/>
      <c r="AE383" s="2"/>
      <c r="AF383" s="2"/>
      <c r="AG383" s="14"/>
      <c r="AH383" s="14"/>
      <c r="AI383" s="14"/>
      <c r="AJ383" s="14"/>
      <c r="AK383" s="19"/>
      <c r="AL383" s="8"/>
    </row>
    <row r="384" spans="1:38" x14ac:dyDescent="0.2">
      <c r="A384" s="2">
        <v>391</v>
      </c>
      <c r="B384" s="4"/>
      <c r="D384" t="s">
        <v>1375</v>
      </c>
      <c r="J384" s="15"/>
      <c r="AC384" s="2"/>
      <c r="AE384" s="2"/>
      <c r="AF384" s="2"/>
      <c r="AG384" s="14"/>
      <c r="AH384" s="14"/>
      <c r="AI384" s="14"/>
      <c r="AJ384" s="14"/>
      <c r="AK384" s="19"/>
      <c r="AL384" s="8"/>
    </row>
    <row r="385" spans="1:38" x14ac:dyDescent="0.2">
      <c r="A385" s="2">
        <v>392</v>
      </c>
      <c r="B385" s="4"/>
      <c r="D385" t="s">
        <v>1376</v>
      </c>
      <c r="J385" s="15"/>
      <c r="AC385" s="2"/>
      <c r="AE385" s="2"/>
      <c r="AF385" s="2"/>
      <c r="AG385" s="14"/>
      <c r="AH385" s="14"/>
      <c r="AI385" s="14"/>
      <c r="AJ385" s="14"/>
      <c r="AK385" s="19"/>
      <c r="AL385" s="8"/>
    </row>
    <row r="386" spans="1:38" x14ac:dyDescent="0.2">
      <c r="A386" s="2">
        <v>393</v>
      </c>
      <c r="B386" s="2">
        <v>382</v>
      </c>
      <c r="C386" s="2">
        <v>2082</v>
      </c>
      <c r="D386" t="s">
        <v>344</v>
      </c>
      <c r="E386" t="s">
        <v>712</v>
      </c>
      <c r="G386" s="2">
        <v>687</v>
      </c>
      <c r="H386" s="2">
        <v>29.72</v>
      </c>
      <c r="I386" s="15">
        <v>1.0609999999999999</v>
      </c>
      <c r="J386" s="15">
        <v>0.94687699999999997</v>
      </c>
      <c r="AC386" s="2">
        <v>30.07</v>
      </c>
      <c r="AD386" s="2">
        <v>35.03</v>
      </c>
      <c r="AE386" s="2">
        <v>29.72</v>
      </c>
      <c r="AF386" s="14" t="s">
        <v>773</v>
      </c>
      <c r="AG386" s="14" t="s">
        <v>773</v>
      </c>
      <c r="AH386" s="14" t="s">
        <v>773</v>
      </c>
      <c r="AI386" s="14" t="s">
        <v>773</v>
      </c>
      <c r="AJ386" s="14" t="s">
        <v>773</v>
      </c>
      <c r="AK386" s="19">
        <v>7.8472222222222221E-2</v>
      </c>
      <c r="AL386" s="8">
        <f>(1+(53/60))*AE386</f>
        <v>55.972666666666662</v>
      </c>
    </row>
    <row r="387" spans="1:38" x14ac:dyDescent="0.2">
      <c r="A387" s="2">
        <v>395</v>
      </c>
      <c r="D387" t="s">
        <v>1377</v>
      </c>
      <c r="J387" s="15"/>
      <c r="AC387" s="2"/>
      <c r="AE387" s="2"/>
      <c r="AF387" s="14"/>
      <c r="AG387" s="14"/>
      <c r="AH387" s="14"/>
      <c r="AI387" s="14"/>
      <c r="AJ387" s="14"/>
      <c r="AK387" s="19"/>
      <c r="AL387" s="8"/>
    </row>
    <row r="388" spans="1:38" x14ac:dyDescent="0.2">
      <c r="A388" s="2">
        <v>397</v>
      </c>
      <c r="C388" s="2">
        <v>465</v>
      </c>
      <c r="D388" t="s">
        <v>1378</v>
      </c>
      <c r="E388" t="s">
        <v>1234</v>
      </c>
      <c r="J388" s="15"/>
      <c r="AC388" s="2"/>
      <c r="AE388" s="2"/>
      <c r="AF388" s="14"/>
      <c r="AG388" s="14"/>
      <c r="AH388" s="14"/>
      <c r="AI388" s="14"/>
      <c r="AJ388" s="14"/>
      <c r="AK388" s="19"/>
      <c r="AL388" s="8"/>
    </row>
    <row r="389" spans="1:38" x14ac:dyDescent="0.2">
      <c r="A389" s="2">
        <v>398</v>
      </c>
      <c r="D389" t="s">
        <v>1379</v>
      </c>
      <c r="J389" s="15"/>
      <c r="AC389" s="2"/>
      <c r="AE389" s="2"/>
      <c r="AF389" s="14"/>
      <c r="AG389" s="14"/>
      <c r="AH389" s="14"/>
      <c r="AI389" s="14"/>
      <c r="AJ389" s="14"/>
      <c r="AK389" s="19"/>
      <c r="AL389" s="8"/>
    </row>
    <row r="390" spans="1:38" x14ac:dyDescent="0.2">
      <c r="A390" s="2">
        <v>400</v>
      </c>
      <c r="B390" s="2">
        <v>508</v>
      </c>
      <c r="D390" t="s">
        <v>515</v>
      </c>
      <c r="E390" t="s">
        <v>565</v>
      </c>
      <c r="AF390" s="14"/>
      <c r="AG390" s="14"/>
      <c r="AH390" s="14"/>
      <c r="AI390" s="14"/>
      <c r="AJ390" s="51"/>
    </row>
    <row r="391" spans="1:38" x14ac:dyDescent="0.2">
      <c r="A391" s="2">
        <v>401</v>
      </c>
      <c r="D391" t="s">
        <v>1380</v>
      </c>
      <c r="AF391" s="14"/>
      <c r="AG391" s="14"/>
      <c r="AH391" s="14"/>
      <c r="AI391" s="14"/>
      <c r="AJ391" s="51"/>
    </row>
    <row r="392" spans="1:38" s="3" customFormat="1" x14ac:dyDescent="0.2">
      <c r="A392" s="4">
        <v>402</v>
      </c>
      <c r="B392" s="4">
        <v>1063</v>
      </c>
      <c r="C392" s="4"/>
      <c r="D392" s="3" t="s">
        <v>653</v>
      </c>
      <c r="G392" s="4"/>
      <c r="H392" s="4">
        <v>19.68</v>
      </c>
      <c r="I392" s="16"/>
      <c r="J392" s="16"/>
      <c r="K392" s="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4"/>
      <c r="AE392" s="9"/>
      <c r="AF392" s="46"/>
      <c r="AG392" s="46"/>
      <c r="AH392" s="46"/>
      <c r="AI392" s="46"/>
      <c r="AJ392" s="52"/>
    </row>
    <row r="393" spans="1:38" s="3" customFormat="1" x14ac:dyDescent="0.2">
      <c r="A393" s="2">
        <v>404</v>
      </c>
      <c r="B393" s="4"/>
      <c r="C393" s="2">
        <v>229</v>
      </c>
      <c r="D393" t="s">
        <v>1381</v>
      </c>
      <c r="G393" s="4"/>
      <c r="H393" s="4"/>
      <c r="I393" s="16"/>
      <c r="J393" s="16"/>
      <c r="K393" s="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4"/>
      <c r="AE393" s="9"/>
      <c r="AF393" s="46"/>
      <c r="AG393" s="46"/>
      <c r="AH393" s="46"/>
      <c r="AI393" s="46"/>
      <c r="AJ393" s="52"/>
    </row>
    <row r="394" spans="1:38" x14ac:dyDescent="0.2">
      <c r="A394" s="2">
        <v>405</v>
      </c>
      <c r="B394" s="2">
        <v>440</v>
      </c>
      <c r="D394" t="s">
        <v>466</v>
      </c>
      <c r="E394" t="s">
        <v>2</v>
      </c>
      <c r="F394" t="s">
        <v>1382</v>
      </c>
      <c r="AF394" s="14"/>
      <c r="AG394" s="14"/>
      <c r="AH394" s="14"/>
      <c r="AI394" s="14"/>
      <c r="AJ394" s="51"/>
    </row>
    <row r="395" spans="1:38" x14ac:dyDescent="0.2">
      <c r="A395" s="2">
        <v>407</v>
      </c>
      <c r="D395" t="s">
        <v>1383</v>
      </c>
      <c r="AF395" s="14"/>
      <c r="AG395" s="14"/>
      <c r="AH395" s="14"/>
      <c r="AI395" s="14"/>
      <c r="AJ395" s="51"/>
    </row>
    <row r="396" spans="1:38" s="3" customFormat="1" x14ac:dyDescent="0.2">
      <c r="A396" s="4">
        <v>408</v>
      </c>
      <c r="B396" s="4"/>
      <c r="C396" s="4"/>
      <c r="D396" s="3" t="s">
        <v>1384</v>
      </c>
      <c r="G396" s="4"/>
      <c r="H396" s="4"/>
      <c r="I396" s="16"/>
      <c r="J396" s="16"/>
      <c r="K396" s="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4"/>
      <c r="AE396" s="9"/>
      <c r="AF396" s="46"/>
      <c r="AG396" s="46"/>
      <c r="AH396" s="46"/>
      <c r="AI396" s="46"/>
      <c r="AJ396" s="52"/>
    </row>
    <row r="397" spans="1:38" s="3" customFormat="1" x14ac:dyDescent="0.2">
      <c r="A397" s="4">
        <v>410</v>
      </c>
      <c r="B397" s="4">
        <v>517</v>
      </c>
      <c r="C397" s="4"/>
      <c r="D397" s="3" t="s">
        <v>587</v>
      </c>
      <c r="E397" s="3" t="s">
        <v>624</v>
      </c>
      <c r="G397" s="4"/>
      <c r="H397" s="4">
        <v>32.01</v>
      </c>
      <c r="I397" s="16"/>
      <c r="J397" s="16"/>
      <c r="K397" s="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4"/>
      <c r="AE397" s="9"/>
      <c r="AF397" s="46"/>
      <c r="AG397" s="46"/>
      <c r="AH397" s="46"/>
      <c r="AI397" s="46"/>
      <c r="AJ397" s="52"/>
    </row>
    <row r="398" spans="1:38" x14ac:dyDescent="0.2">
      <c r="A398" s="2">
        <v>411</v>
      </c>
      <c r="B398" s="2">
        <v>444</v>
      </c>
      <c r="D398" t="s">
        <v>469</v>
      </c>
      <c r="AF398" s="14"/>
      <c r="AG398" s="14"/>
      <c r="AH398" s="14"/>
      <c r="AI398" s="14"/>
      <c r="AJ398" s="51"/>
    </row>
    <row r="399" spans="1:38" x14ac:dyDescent="0.2">
      <c r="A399" s="2">
        <v>412</v>
      </c>
      <c r="B399" s="2">
        <v>487</v>
      </c>
      <c r="D399" t="s">
        <v>492</v>
      </c>
      <c r="AF399" s="14"/>
      <c r="AG399" s="14"/>
      <c r="AH399" s="14"/>
      <c r="AI399" s="14"/>
      <c r="AJ399" s="51"/>
    </row>
    <row r="400" spans="1:38" x14ac:dyDescent="0.2">
      <c r="A400" s="2">
        <v>413</v>
      </c>
      <c r="B400" s="2">
        <v>505</v>
      </c>
      <c r="D400" t="s">
        <v>512</v>
      </c>
      <c r="E400" t="s">
        <v>9</v>
      </c>
      <c r="AF400" s="14"/>
      <c r="AG400" s="14"/>
      <c r="AH400" s="14"/>
      <c r="AI400" s="14"/>
      <c r="AJ400" s="51"/>
    </row>
    <row r="401" spans="1:38" x14ac:dyDescent="0.2">
      <c r="A401" s="2">
        <v>418</v>
      </c>
      <c r="B401" s="2">
        <v>389</v>
      </c>
      <c r="C401" s="2">
        <v>2327</v>
      </c>
      <c r="D401" t="s">
        <v>380</v>
      </c>
      <c r="AC401" s="2">
        <v>26.38</v>
      </c>
      <c r="AD401" s="2" t="s">
        <v>773</v>
      </c>
      <c r="AE401" s="2" t="s">
        <v>773</v>
      </c>
      <c r="AF401" s="14" t="s">
        <v>773</v>
      </c>
      <c r="AG401" s="14" t="s">
        <v>773</v>
      </c>
      <c r="AH401" s="14" t="s">
        <v>773</v>
      </c>
      <c r="AI401" s="14" t="s">
        <v>773</v>
      </c>
      <c r="AJ401" s="57" t="s">
        <v>773</v>
      </c>
      <c r="AK401" s="19">
        <v>0.23472222222222222</v>
      </c>
      <c r="AL401" s="8">
        <f>(5+(38/60))*AC401</f>
        <v>148.60733333333332</v>
      </c>
    </row>
    <row r="402" spans="1:38" x14ac:dyDescent="0.2">
      <c r="A402" s="2">
        <v>419</v>
      </c>
      <c r="B402" s="2">
        <v>315</v>
      </c>
      <c r="C402" s="2">
        <v>1714</v>
      </c>
      <c r="D402" t="s">
        <v>329</v>
      </c>
      <c r="E402" t="s">
        <v>6</v>
      </c>
      <c r="F402" s="2" t="s">
        <v>1260</v>
      </c>
      <c r="H402" s="2">
        <v>34.840000000000003</v>
      </c>
      <c r="I402" s="15">
        <v>1.244</v>
      </c>
      <c r="J402" s="15">
        <v>0.64403200000000005</v>
      </c>
      <c r="AC402" s="2">
        <v>41.37</v>
      </c>
      <c r="AD402" s="2">
        <v>31.33</v>
      </c>
      <c r="AE402" s="2">
        <v>34.840000000000003</v>
      </c>
      <c r="AF402" s="14" t="s">
        <v>773</v>
      </c>
      <c r="AG402" s="14" t="s">
        <v>773</v>
      </c>
      <c r="AH402" s="14" t="s">
        <v>773</v>
      </c>
      <c r="AI402" s="14" t="s">
        <v>773</v>
      </c>
      <c r="AJ402" s="14" t="s">
        <v>773</v>
      </c>
      <c r="AK402" s="22">
        <v>0.21388888888888888</v>
      </c>
      <c r="AL402" s="8">
        <f>(5+(8/60))*AE402</f>
        <v>178.84533333333337</v>
      </c>
    </row>
    <row r="403" spans="1:38" x14ac:dyDescent="0.2">
      <c r="A403" s="2">
        <v>420</v>
      </c>
      <c r="B403" s="2">
        <v>432</v>
      </c>
      <c r="C403" s="2">
        <v>198</v>
      </c>
      <c r="D403" t="s">
        <v>456</v>
      </c>
      <c r="AF403" s="14"/>
      <c r="AG403" s="14"/>
      <c r="AH403" s="14"/>
      <c r="AI403" s="14"/>
      <c r="AJ403" s="51"/>
    </row>
    <row r="404" spans="1:38" x14ac:dyDescent="0.2">
      <c r="A404" s="2">
        <v>425</v>
      </c>
      <c r="B404" s="2">
        <v>668</v>
      </c>
      <c r="D404" t="s">
        <v>662</v>
      </c>
      <c r="H404" s="2">
        <v>18.46</v>
      </c>
      <c r="AF404" s="14"/>
      <c r="AG404" s="14"/>
      <c r="AH404" s="14"/>
      <c r="AI404" s="14"/>
      <c r="AJ404" s="51"/>
    </row>
    <row r="405" spans="1:38" x14ac:dyDescent="0.2">
      <c r="A405" s="2">
        <v>426</v>
      </c>
      <c r="D405" t="s">
        <v>1385</v>
      </c>
      <c r="AF405" s="14"/>
      <c r="AG405" s="14"/>
      <c r="AH405" s="14"/>
      <c r="AI405" s="14"/>
      <c r="AJ405" s="51"/>
    </row>
    <row r="406" spans="1:38" x14ac:dyDescent="0.2">
      <c r="A406" s="2">
        <v>427</v>
      </c>
      <c r="D406" t="s">
        <v>1386</v>
      </c>
      <c r="AF406" s="14"/>
      <c r="AG406" s="14"/>
      <c r="AH406" s="14"/>
      <c r="AI406" s="14"/>
      <c r="AJ406" s="51"/>
    </row>
    <row r="407" spans="1:38" x14ac:dyDescent="0.2">
      <c r="A407" s="2">
        <v>428</v>
      </c>
      <c r="B407" s="2">
        <v>469</v>
      </c>
      <c r="D407" t="s">
        <v>646</v>
      </c>
      <c r="H407" s="2">
        <v>22.95</v>
      </c>
      <c r="AF407" s="14"/>
      <c r="AG407" s="14"/>
      <c r="AH407" s="14"/>
      <c r="AI407" s="14"/>
      <c r="AJ407" s="51"/>
    </row>
    <row r="408" spans="1:38" x14ac:dyDescent="0.2">
      <c r="A408" s="2">
        <v>429</v>
      </c>
      <c r="D408" t="s">
        <v>1387</v>
      </c>
      <c r="AF408" s="14"/>
      <c r="AG408" s="14"/>
      <c r="AH408" s="14"/>
      <c r="AI408" s="14"/>
      <c r="AJ408" s="51"/>
    </row>
    <row r="409" spans="1:38" x14ac:dyDescent="0.2">
      <c r="A409" s="2">
        <v>431</v>
      </c>
      <c r="D409" t="s">
        <v>1388</v>
      </c>
      <c r="AF409" s="14"/>
      <c r="AG409" s="14"/>
      <c r="AH409" s="14"/>
      <c r="AI409" s="14"/>
      <c r="AJ409" s="51"/>
    </row>
    <row r="410" spans="1:38" x14ac:dyDescent="0.2">
      <c r="A410" s="2">
        <v>432</v>
      </c>
      <c r="D410" t="s">
        <v>1389</v>
      </c>
      <c r="AF410" s="14"/>
      <c r="AG410" s="14"/>
      <c r="AH410" s="14"/>
      <c r="AI410" s="14"/>
      <c r="AJ410" s="51"/>
    </row>
    <row r="411" spans="1:38" x14ac:dyDescent="0.2">
      <c r="A411" s="2">
        <v>434</v>
      </c>
      <c r="B411" s="2">
        <v>211</v>
      </c>
      <c r="C411" s="2">
        <v>561</v>
      </c>
      <c r="D411" t="s">
        <v>204</v>
      </c>
      <c r="E411" t="s">
        <v>6</v>
      </c>
      <c r="G411" s="2">
        <v>100</v>
      </c>
      <c r="H411" s="2">
        <v>88</v>
      </c>
      <c r="I411" s="15">
        <v>2.8919999999999999</v>
      </c>
      <c r="J411" s="15">
        <v>0.99697899999999995</v>
      </c>
      <c r="K411" s="2">
        <v>5.68</v>
      </c>
      <c r="AC411" s="2">
        <v>42.3</v>
      </c>
      <c r="AD411" s="2">
        <v>73.94</v>
      </c>
      <c r="AE411" s="2">
        <v>77.05</v>
      </c>
      <c r="AF411" s="2">
        <v>83.5</v>
      </c>
      <c r="AG411" s="14" t="s">
        <v>773</v>
      </c>
      <c r="AH411" s="2">
        <v>86.48</v>
      </c>
      <c r="AI411" s="14" t="s">
        <v>773</v>
      </c>
      <c r="AJ411" s="14" t="s">
        <v>773</v>
      </c>
      <c r="AK411" s="23">
        <v>0.62569444444444444</v>
      </c>
      <c r="AL411" s="8">
        <f>(15+(1/60))*AH411</f>
        <v>1298.6413333333335</v>
      </c>
    </row>
    <row r="412" spans="1:38" x14ac:dyDescent="0.2">
      <c r="A412" s="2">
        <v>435</v>
      </c>
      <c r="D412" t="s">
        <v>1390</v>
      </c>
      <c r="J412" s="15"/>
      <c r="AC412" s="2"/>
      <c r="AE412" s="2"/>
      <c r="AF412" s="2"/>
      <c r="AG412" s="14"/>
      <c r="AH412" s="2"/>
      <c r="AI412" s="14"/>
      <c r="AJ412" s="14"/>
      <c r="AK412" s="23"/>
      <c r="AL412" s="8"/>
    </row>
    <row r="413" spans="1:38" x14ac:dyDescent="0.2">
      <c r="A413" s="2">
        <v>437</v>
      </c>
      <c r="B413" s="2">
        <v>387</v>
      </c>
      <c r="C413" s="2">
        <v>681</v>
      </c>
      <c r="D413" t="s">
        <v>401</v>
      </c>
      <c r="E413" t="s">
        <v>715</v>
      </c>
      <c r="G413" s="2">
        <v>77190</v>
      </c>
      <c r="H413" s="2">
        <v>56.96</v>
      </c>
      <c r="I413" s="15">
        <v>2.0339999999999998</v>
      </c>
      <c r="J413" s="15">
        <v>1.73</v>
      </c>
      <c r="AC413" s="2">
        <v>68.7</v>
      </c>
      <c r="AD413" s="2">
        <v>57.85</v>
      </c>
      <c r="AE413" s="2">
        <v>56.96</v>
      </c>
      <c r="AF413" s="14" t="s">
        <v>773</v>
      </c>
      <c r="AG413" s="14" t="s">
        <v>773</v>
      </c>
      <c r="AH413" s="14" t="s">
        <v>773</v>
      </c>
      <c r="AI413" s="14" t="s">
        <v>773</v>
      </c>
      <c r="AJ413" s="14" t="s">
        <v>773</v>
      </c>
      <c r="AK413" s="19">
        <v>0.10277777777777779</v>
      </c>
      <c r="AL413" s="8">
        <f>(2+(28/60))*AE413</f>
        <v>140.50133333333335</v>
      </c>
    </row>
    <row r="414" spans="1:38" x14ac:dyDescent="0.2">
      <c r="A414" s="2">
        <v>438</v>
      </c>
      <c r="C414" s="2">
        <v>729</v>
      </c>
      <c r="D414" t="s">
        <v>1391</v>
      </c>
      <c r="J414" s="15"/>
      <c r="AC414" s="2"/>
      <c r="AE414" s="2"/>
      <c r="AF414" s="14"/>
      <c r="AG414" s="14"/>
      <c r="AH414" s="14"/>
      <c r="AI414" s="14"/>
      <c r="AJ414" s="14"/>
      <c r="AK414" s="19"/>
      <c r="AL414" s="8"/>
    </row>
    <row r="415" spans="1:38" x14ac:dyDescent="0.2">
      <c r="A415" s="2">
        <v>439</v>
      </c>
      <c r="B415" s="2">
        <v>408</v>
      </c>
      <c r="C415" s="2">
        <v>1355</v>
      </c>
      <c r="D415" t="s">
        <v>202</v>
      </c>
      <c r="E415" t="s">
        <v>6</v>
      </c>
      <c r="G415" s="2">
        <v>500</v>
      </c>
      <c r="H415" s="2">
        <v>47.42</v>
      </c>
      <c r="I415" s="15">
        <v>1.6930000000000001</v>
      </c>
      <c r="J415" s="15">
        <v>1.226</v>
      </c>
      <c r="AC415" s="2">
        <v>45.22</v>
      </c>
      <c r="AD415" s="2">
        <v>38.94</v>
      </c>
      <c r="AE415" s="2">
        <v>42.01</v>
      </c>
      <c r="AF415" s="2">
        <v>47.42</v>
      </c>
      <c r="AG415" s="14" t="s">
        <v>773</v>
      </c>
      <c r="AH415" s="2">
        <v>47.54</v>
      </c>
      <c r="AI415" s="14" t="s">
        <v>773</v>
      </c>
      <c r="AJ415" s="14" t="s">
        <v>773</v>
      </c>
      <c r="AK415" s="19">
        <v>0.16875000000000001</v>
      </c>
      <c r="AL415" s="8">
        <f>(4+(9/60))*AH415</f>
        <v>197.29100000000003</v>
      </c>
    </row>
    <row r="416" spans="1:38" x14ac:dyDescent="0.2">
      <c r="A416" s="2">
        <v>442</v>
      </c>
      <c r="B416" s="2">
        <v>437</v>
      </c>
      <c r="D416" t="s">
        <v>437</v>
      </c>
      <c r="AF416" s="14"/>
      <c r="AG416" s="14"/>
      <c r="AH416" s="14"/>
      <c r="AI416" s="14"/>
      <c r="AJ416" s="51"/>
    </row>
    <row r="417" spans="1:38" x14ac:dyDescent="0.2">
      <c r="A417" s="2">
        <v>444</v>
      </c>
      <c r="B417" s="2">
        <v>385</v>
      </c>
      <c r="C417" s="2">
        <v>892</v>
      </c>
      <c r="D417" t="s">
        <v>350</v>
      </c>
      <c r="H417" s="2">
        <v>64.599999999999994</v>
      </c>
      <c r="I417" s="15">
        <v>2.3069999999999999</v>
      </c>
      <c r="J417" s="15">
        <v>1.81</v>
      </c>
      <c r="AC417" s="2">
        <v>52.38</v>
      </c>
      <c r="AD417" s="2">
        <v>47.01</v>
      </c>
      <c r="AE417" s="2">
        <v>64.599999999999994</v>
      </c>
      <c r="AF417" s="14" t="s">
        <v>773</v>
      </c>
      <c r="AG417" s="14" t="s">
        <v>773</v>
      </c>
      <c r="AH417" s="14" t="s">
        <v>773</v>
      </c>
      <c r="AI417" s="14" t="s">
        <v>773</v>
      </c>
      <c r="AJ417" s="14" t="s">
        <v>773</v>
      </c>
      <c r="AK417" s="19">
        <v>0.14027777777777778</v>
      </c>
      <c r="AL417" s="8">
        <f>(3+(22/60))*AE417</f>
        <v>217.48666666666665</v>
      </c>
    </row>
    <row r="418" spans="1:38" x14ac:dyDescent="0.2">
      <c r="A418" s="2">
        <v>447</v>
      </c>
      <c r="B418" s="2">
        <v>557</v>
      </c>
      <c r="D418" t="s">
        <v>647</v>
      </c>
      <c r="H418" s="2">
        <v>23.29</v>
      </c>
      <c r="AF418" s="14"/>
      <c r="AG418" s="14"/>
      <c r="AH418" s="14"/>
      <c r="AI418" s="14"/>
      <c r="AJ418" s="51"/>
    </row>
    <row r="419" spans="1:38" x14ac:dyDescent="0.2">
      <c r="A419" s="2">
        <v>452</v>
      </c>
      <c r="D419" t="s">
        <v>1392</v>
      </c>
      <c r="AF419" s="14"/>
      <c r="AG419" s="14"/>
      <c r="AH419" s="14"/>
      <c r="AI419" s="14"/>
      <c r="AJ419" s="51"/>
    </row>
    <row r="420" spans="1:38" x14ac:dyDescent="0.2">
      <c r="A420" s="2">
        <v>454</v>
      </c>
      <c r="B420" s="2">
        <v>497</v>
      </c>
      <c r="C420" s="2">
        <v>817</v>
      </c>
      <c r="D420" t="s">
        <v>400</v>
      </c>
      <c r="AF420" s="14"/>
      <c r="AG420" s="14"/>
      <c r="AH420" s="14"/>
      <c r="AI420" s="14"/>
      <c r="AJ420" s="51"/>
    </row>
    <row r="421" spans="1:38" x14ac:dyDescent="0.2">
      <c r="A421" s="2">
        <v>456</v>
      </c>
      <c r="B421" s="2">
        <v>438</v>
      </c>
      <c r="D421" t="s">
        <v>463</v>
      </c>
      <c r="AF421" s="14"/>
      <c r="AG421" s="14"/>
      <c r="AH421" s="14"/>
      <c r="AI421" s="14"/>
      <c r="AJ421" s="51"/>
    </row>
    <row r="422" spans="1:38" x14ac:dyDescent="0.2">
      <c r="A422" s="2">
        <v>457</v>
      </c>
      <c r="D422" t="s">
        <v>1393</v>
      </c>
      <c r="AF422" s="14"/>
      <c r="AG422" s="14"/>
      <c r="AH422" s="14"/>
      <c r="AI422" s="14"/>
      <c r="AJ422" s="51"/>
    </row>
    <row r="423" spans="1:38" x14ac:dyDescent="0.2">
      <c r="A423" s="2">
        <v>460</v>
      </c>
      <c r="B423" s="2">
        <v>478</v>
      </c>
      <c r="D423" t="s">
        <v>482</v>
      </c>
      <c r="AF423" s="14"/>
      <c r="AG423" s="14"/>
      <c r="AH423" s="14"/>
      <c r="AI423" s="14"/>
      <c r="AJ423" s="51"/>
    </row>
    <row r="424" spans="1:38" x14ac:dyDescent="0.2">
      <c r="A424" s="2">
        <v>462</v>
      </c>
      <c r="D424" t="s">
        <v>1394</v>
      </c>
      <c r="AF424" s="14"/>
      <c r="AG424" s="14"/>
      <c r="AH424" s="14"/>
      <c r="AI424" s="14"/>
      <c r="AJ424" s="51"/>
    </row>
    <row r="425" spans="1:38" x14ac:dyDescent="0.2">
      <c r="A425" s="2">
        <v>464</v>
      </c>
      <c r="B425" s="2">
        <v>445</v>
      </c>
      <c r="D425" t="s">
        <v>445</v>
      </c>
      <c r="AF425" s="14"/>
      <c r="AG425" s="14"/>
      <c r="AH425" s="14"/>
      <c r="AI425" s="14"/>
      <c r="AJ425" s="51"/>
    </row>
    <row r="426" spans="1:38" x14ac:dyDescent="0.2">
      <c r="A426" s="2">
        <v>468</v>
      </c>
      <c r="B426" s="2">
        <v>437</v>
      </c>
      <c r="C426" s="2">
        <v>184</v>
      </c>
      <c r="D426" t="s">
        <v>239</v>
      </c>
      <c r="H426" s="2">
        <v>319.5</v>
      </c>
      <c r="I426" s="15">
        <v>11.41</v>
      </c>
      <c r="J426" s="15">
        <v>5.9180000000000001</v>
      </c>
      <c r="O426" s="8">
        <v>858.35530400000005</v>
      </c>
      <c r="P426" s="8">
        <v>681.65982799999995</v>
      </c>
      <c r="Q426" s="8">
        <v>838.44907499999999</v>
      </c>
      <c r="R426" s="8">
        <v>888.58532300000002</v>
      </c>
      <c r="S426" s="8">
        <v>985.49568299999999</v>
      </c>
      <c r="T426" s="8">
        <v>713.12461199999996</v>
      </c>
      <c r="U426" s="8">
        <v>751.45276799999999</v>
      </c>
      <c r="V426" s="8">
        <v>807.07486700000004</v>
      </c>
      <c r="W426" s="8">
        <v>867.68660399999999</v>
      </c>
      <c r="X426" s="8">
        <v>869.82870700000001</v>
      </c>
      <c r="Y426" s="8">
        <v>813.24412500000005</v>
      </c>
      <c r="Z426" s="8">
        <v>840.60443299999997</v>
      </c>
      <c r="AA426" s="8">
        <v>862.41021999999998</v>
      </c>
      <c r="AC426" s="2">
        <v>246.2</v>
      </c>
      <c r="AD426" s="2">
        <v>289</v>
      </c>
      <c r="AE426" s="2">
        <v>283.89999999999998</v>
      </c>
      <c r="AF426" s="57">
        <v>319.5</v>
      </c>
      <c r="AG426" s="57" t="s">
        <v>773</v>
      </c>
      <c r="AH426" s="57">
        <v>302.5</v>
      </c>
      <c r="AI426" s="57" t="s">
        <v>773</v>
      </c>
      <c r="AJ426" s="57" t="s">
        <v>773</v>
      </c>
      <c r="AK426" s="19">
        <v>0.22777777777777777</v>
      </c>
      <c r="AL426" s="8">
        <f>(5+(28/60))*AH426</f>
        <v>1653.6666666666667</v>
      </c>
    </row>
    <row r="427" spans="1:38" x14ac:dyDescent="0.2">
      <c r="A427" s="2">
        <v>469</v>
      </c>
      <c r="B427" s="2">
        <v>475</v>
      </c>
      <c r="D427" t="s">
        <v>478</v>
      </c>
      <c r="AF427" s="14"/>
      <c r="AG427" s="14"/>
      <c r="AH427" s="14"/>
      <c r="AI427" s="14"/>
      <c r="AJ427" s="51"/>
    </row>
    <row r="428" spans="1:38" x14ac:dyDescent="0.2">
      <c r="A428" s="2">
        <v>471</v>
      </c>
      <c r="C428" s="2">
        <v>130</v>
      </c>
      <c r="D428" t="s">
        <v>1395</v>
      </c>
      <c r="AF428" s="14"/>
      <c r="AG428" s="14"/>
      <c r="AH428" s="14"/>
      <c r="AI428" s="14"/>
      <c r="AJ428" s="51"/>
    </row>
    <row r="429" spans="1:38" x14ac:dyDescent="0.2">
      <c r="A429" s="2">
        <v>473</v>
      </c>
      <c r="D429" t="s">
        <v>1445</v>
      </c>
      <c r="AF429" s="14"/>
      <c r="AG429" s="14"/>
      <c r="AH429" s="14"/>
      <c r="AI429" s="14"/>
      <c r="AJ429" s="51"/>
    </row>
    <row r="430" spans="1:38" x14ac:dyDescent="0.2">
      <c r="A430" s="2">
        <v>477</v>
      </c>
      <c r="D430" t="s">
        <v>1396</v>
      </c>
      <c r="AF430" s="14"/>
      <c r="AG430" s="14"/>
      <c r="AH430" s="14"/>
      <c r="AI430" s="14"/>
      <c r="AJ430" s="51"/>
    </row>
    <row r="431" spans="1:38" x14ac:dyDescent="0.2">
      <c r="A431" s="2">
        <v>478</v>
      </c>
      <c r="B431" s="2">
        <v>322</v>
      </c>
      <c r="C431" s="2">
        <v>691</v>
      </c>
      <c r="D431" t="s">
        <v>293</v>
      </c>
      <c r="E431" t="s">
        <v>1243</v>
      </c>
      <c r="G431" s="2">
        <v>80000</v>
      </c>
      <c r="H431" s="2">
        <v>74.459999999999994</v>
      </c>
      <c r="I431" s="15">
        <v>2.6589999999999998</v>
      </c>
      <c r="J431" s="15">
        <v>2.2229999999999999</v>
      </c>
      <c r="AC431" s="2">
        <v>63.1</v>
      </c>
      <c r="AD431" s="2">
        <v>71.34</v>
      </c>
      <c r="AE431" s="2">
        <v>90.39</v>
      </c>
      <c r="AF431" s="2">
        <v>74.459999999999994</v>
      </c>
      <c r="AG431" s="14" t="s">
        <v>773</v>
      </c>
      <c r="AH431" s="14" t="s">
        <v>773</v>
      </c>
      <c r="AI431" s="14" t="s">
        <v>773</v>
      </c>
      <c r="AJ431" s="14" t="s">
        <v>773</v>
      </c>
      <c r="AK431" s="19">
        <v>8.6111111111111124E-2</v>
      </c>
      <c r="AL431" s="8">
        <f>(2+(4/60))*AF431</f>
        <v>153.88400000000001</v>
      </c>
    </row>
    <row r="432" spans="1:38" x14ac:dyDescent="0.2">
      <c r="A432" s="2">
        <v>479</v>
      </c>
      <c r="D432" t="s">
        <v>1397</v>
      </c>
      <c r="J432" s="15"/>
      <c r="AC432" s="2"/>
      <c r="AE432" s="2"/>
      <c r="AF432" s="2"/>
      <c r="AG432" s="14"/>
      <c r="AH432" s="14"/>
      <c r="AI432" s="14"/>
      <c r="AJ432" s="14"/>
      <c r="AK432" s="19"/>
      <c r="AL432" s="8"/>
    </row>
    <row r="433" spans="1:38" x14ac:dyDescent="0.2">
      <c r="A433" s="2">
        <v>481</v>
      </c>
      <c r="D433" t="s">
        <v>1449</v>
      </c>
      <c r="J433" s="15"/>
      <c r="AC433" s="2"/>
      <c r="AE433" s="2"/>
      <c r="AF433" s="2"/>
      <c r="AG433" s="14"/>
      <c r="AH433" s="14"/>
      <c r="AI433" s="14"/>
      <c r="AJ433" s="14"/>
      <c r="AK433" s="19"/>
      <c r="AL433" s="8"/>
    </row>
    <row r="434" spans="1:38" x14ac:dyDescent="0.2">
      <c r="A434" s="2">
        <v>481</v>
      </c>
      <c r="D434" t="s">
        <v>1398</v>
      </c>
      <c r="J434" s="15"/>
      <c r="AC434" s="2"/>
      <c r="AE434" s="2"/>
      <c r="AF434" s="2"/>
      <c r="AG434" s="14"/>
      <c r="AH434" s="14"/>
      <c r="AI434" s="14"/>
      <c r="AJ434" s="14"/>
      <c r="AK434" s="19"/>
      <c r="AL434" s="8"/>
    </row>
    <row r="435" spans="1:38" x14ac:dyDescent="0.2">
      <c r="A435" s="2">
        <v>482</v>
      </c>
      <c r="D435" t="s">
        <v>1399</v>
      </c>
      <c r="J435" s="15"/>
      <c r="AC435" s="2"/>
      <c r="AE435" s="2"/>
      <c r="AF435" s="2"/>
      <c r="AG435" s="14"/>
      <c r="AH435" s="14"/>
      <c r="AI435" s="14"/>
      <c r="AJ435" s="14"/>
      <c r="AK435" s="19"/>
      <c r="AL435" s="8"/>
    </row>
    <row r="436" spans="1:38" x14ac:dyDescent="0.2">
      <c r="A436" s="4">
        <v>483</v>
      </c>
      <c r="B436" s="4">
        <v>491</v>
      </c>
      <c r="C436" s="4"/>
      <c r="D436" s="3" t="s">
        <v>496</v>
      </c>
      <c r="AF436" s="14"/>
      <c r="AG436" s="14"/>
      <c r="AH436" s="14"/>
      <c r="AI436" s="14"/>
      <c r="AJ436" s="51"/>
    </row>
    <row r="437" spans="1:38" x14ac:dyDescent="0.2">
      <c r="A437" s="2">
        <v>484</v>
      </c>
      <c r="B437" s="2">
        <v>573</v>
      </c>
      <c r="C437" s="2">
        <v>214</v>
      </c>
      <c r="D437" t="s">
        <v>1121</v>
      </c>
      <c r="H437" s="15">
        <v>77.900000000000006</v>
      </c>
      <c r="K437" s="15"/>
      <c r="AF437" s="14"/>
      <c r="AG437" s="14">
        <v>77.900000000000006</v>
      </c>
      <c r="AH437" s="14"/>
      <c r="AI437" s="14"/>
      <c r="AJ437" s="51"/>
      <c r="AK437" s="22">
        <v>0.51597222222222217</v>
      </c>
    </row>
    <row r="438" spans="1:38" x14ac:dyDescent="0.2">
      <c r="A438" s="2">
        <v>487</v>
      </c>
      <c r="B438" s="2">
        <v>471</v>
      </c>
      <c r="C438" s="2">
        <v>2393</v>
      </c>
      <c r="D438" t="s">
        <v>373</v>
      </c>
      <c r="AC438" s="2">
        <v>25.22</v>
      </c>
      <c r="AD438" s="2" t="s">
        <v>773</v>
      </c>
      <c r="AE438" s="2" t="s">
        <v>773</v>
      </c>
      <c r="AF438" s="14" t="s">
        <v>773</v>
      </c>
      <c r="AG438" s="14" t="s">
        <v>773</v>
      </c>
      <c r="AH438" s="14" t="s">
        <v>773</v>
      </c>
      <c r="AI438" s="14" t="s">
        <v>773</v>
      </c>
      <c r="AJ438" s="57" t="s">
        <v>773</v>
      </c>
      <c r="AK438" s="19">
        <v>0.10972222222222222</v>
      </c>
      <c r="AL438" s="8">
        <f>(2+(38/60))*AC438</f>
        <v>66.412666666666667</v>
      </c>
    </row>
    <row r="439" spans="1:38" x14ac:dyDescent="0.2">
      <c r="A439" s="2">
        <v>489</v>
      </c>
      <c r="B439" s="2">
        <v>490</v>
      </c>
      <c r="C439" s="2">
        <v>2271</v>
      </c>
      <c r="D439" t="s">
        <v>307</v>
      </c>
      <c r="F439" t="s">
        <v>1269</v>
      </c>
      <c r="H439" s="2">
        <v>34.28</v>
      </c>
      <c r="I439" s="15">
        <v>1.224</v>
      </c>
      <c r="J439" s="15">
        <v>0.930786</v>
      </c>
      <c r="AC439" s="2">
        <v>30.94</v>
      </c>
      <c r="AD439" s="2">
        <v>31.29</v>
      </c>
      <c r="AE439" s="2">
        <v>33.479999999999997</v>
      </c>
      <c r="AF439" s="2">
        <v>34.28</v>
      </c>
      <c r="AG439" s="14" t="s">
        <v>773</v>
      </c>
      <c r="AH439" s="14" t="s">
        <v>773</v>
      </c>
      <c r="AI439" s="14" t="s">
        <v>773</v>
      </c>
      <c r="AJ439" s="14" t="s">
        <v>773</v>
      </c>
      <c r="AK439" s="19">
        <v>9.0972222222222218E-2</v>
      </c>
      <c r="AL439" s="8">
        <f>(2+(11/60))*AF439</f>
        <v>74.844666666666669</v>
      </c>
    </row>
    <row r="440" spans="1:38" x14ac:dyDescent="0.2">
      <c r="A440" s="2">
        <v>492</v>
      </c>
      <c r="D440" t="s">
        <v>1401</v>
      </c>
      <c r="J440" s="15"/>
      <c r="AC440" s="2"/>
      <c r="AE440" s="2"/>
      <c r="AF440" s="2"/>
      <c r="AG440" s="14"/>
      <c r="AH440" s="14"/>
      <c r="AI440" s="14"/>
      <c r="AJ440" s="14"/>
      <c r="AK440" s="19"/>
      <c r="AL440" s="8"/>
    </row>
    <row r="441" spans="1:38" x14ac:dyDescent="0.2">
      <c r="A441" s="2">
        <v>493</v>
      </c>
      <c r="B441" s="2">
        <v>416</v>
      </c>
      <c r="C441" s="2">
        <v>1699</v>
      </c>
      <c r="D441" t="s">
        <v>351</v>
      </c>
      <c r="F441" t="s">
        <v>1290</v>
      </c>
      <c r="H441" s="2">
        <v>31.55</v>
      </c>
      <c r="I441" s="15">
        <v>1.127</v>
      </c>
      <c r="J441" s="16">
        <v>1.0129999999999999</v>
      </c>
      <c r="AC441" s="2">
        <v>39.22</v>
      </c>
      <c r="AD441" s="2">
        <v>39.590000000000003</v>
      </c>
      <c r="AE441" s="2">
        <v>31.55</v>
      </c>
      <c r="AF441" s="14" t="s">
        <v>773</v>
      </c>
      <c r="AG441" s="14" t="s">
        <v>773</v>
      </c>
      <c r="AH441" s="14" t="s">
        <v>773</v>
      </c>
      <c r="AI441" s="14" t="s">
        <v>773</v>
      </c>
      <c r="AJ441" s="14" t="s">
        <v>773</v>
      </c>
      <c r="AK441" s="19">
        <v>3.7499999999999999E-2</v>
      </c>
      <c r="AL441" s="8">
        <f>((54/60))*AE441</f>
        <v>28.395</v>
      </c>
    </row>
    <row r="442" spans="1:38" x14ac:dyDescent="0.2">
      <c r="A442" s="2">
        <v>495</v>
      </c>
      <c r="D442" t="s">
        <v>1402</v>
      </c>
      <c r="AC442" s="2"/>
      <c r="AE442" s="2"/>
      <c r="AF442" s="14"/>
      <c r="AG442" s="14"/>
      <c r="AH442" s="14"/>
      <c r="AI442" s="14"/>
      <c r="AJ442" s="14"/>
      <c r="AK442" s="19"/>
      <c r="AL442" s="8"/>
    </row>
    <row r="443" spans="1:38" x14ac:dyDescent="0.2">
      <c r="A443" s="2">
        <v>496</v>
      </c>
      <c r="C443" s="2">
        <v>580</v>
      </c>
      <c r="D443" t="s">
        <v>1403</v>
      </c>
      <c r="AC443" s="2"/>
      <c r="AE443" s="2"/>
      <c r="AF443" s="14"/>
      <c r="AG443" s="14"/>
      <c r="AH443" s="14"/>
      <c r="AI443" s="14"/>
      <c r="AJ443" s="14"/>
      <c r="AK443" s="19"/>
      <c r="AL443" s="8"/>
    </row>
    <row r="444" spans="1:38" x14ac:dyDescent="0.2">
      <c r="A444" s="2">
        <v>497</v>
      </c>
      <c r="D444" t="s">
        <v>1404</v>
      </c>
      <c r="AC444" s="2"/>
      <c r="AE444" s="2"/>
      <c r="AF444" s="14"/>
      <c r="AG444" s="14"/>
      <c r="AH444" s="14"/>
      <c r="AI444" s="14"/>
      <c r="AJ444" s="14"/>
      <c r="AK444" s="19"/>
      <c r="AL444" s="8"/>
    </row>
    <row r="445" spans="1:38" x14ac:dyDescent="0.2">
      <c r="A445" s="2">
        <v>502</v>
      </c>
      <c r="C445" s="2">
        <v>718</v>
      </c>
      <c r="D445" t="s">
        <v>1405</v>
      </c>
      <c r="E445" t="s">
        <v>7</v>
      </c>
      <c r="AC445" s="2"/>
      <c r="AE445" s="2"/>
      <c r="AF445" s="14"/>
      <c r="AG445" s="14"/>
      <c r="AH445" s="14"/>
      <c r="AI445" s="14"/>
      <c r="AJ445" s="14"/>
      <c r="AK445" s="19"/>
      <c r="AL445" s="8"/>
    </row>
    <row r="446" spans="1:38" x14ac:dyDescent="0.2">
      <c r="A446" s="2">
        <v>504</v>
      </c>
      <c r="B446" s="2">
        <v>430</v>
      </c>
      <c r="D446" t="s">
        <v>430</v>
      </c>
      <c r="AF446" s="14"/>
      <c r="AG446" s="14"/>
      <c r="AH446" s="14"/>
      <c r="AI446" s="14"/>
      <c r="AJ446" s="51"/>
    </row>
    <row r="447" spans="1:38" x14ac:dyDescent="0.2">
      <c r="A447" s="2">
        <v>505</v>
      </c>
      <c r="D447" t="s">
        <v>1406</v>
      </c>
      <c r="AF447" s="14"/>
      <c r="AG447" s="14"/>
      <c r="AH447" s="14"/>
      <c r="AI447" s="14"/>
      <c r="AJ447" s="51"/>
    </row>
    <row r="448" spans="1:38" x14ac:dyDescent="0.2">
      <c r="A448" s="2">
        <v>507</v>
      </c>
      <c r="D448" t="s">
        <v>1407</v>
      </c>
      <c r="AF448" s="14"/>
      <c r="AG448" s="14"/>
      <c r="AH448" s="14"/>
      <c r="AI448" s="14"/>
      <c r="AJ448" s="51"/>
    </row>
    <row r="449" spans="1:38" x14ac:dyDescent="0.2">
      <c r="A449" s="2">
        <v>519</v>
      </c>
      <c r="C449" s="2">
        <v>934</v>
      </c>
      <c r="D449" t="s">
        <v>1408</v>
      </c>
      <c r="AF449" s="14"/>
      <c r="AG449" s="14"/>
      <c r="AH449" s="14"/>
      <c r="AI449" s="14"/>
      <c r="AJ449" s="51"/>
    </row>
    <row r="450" spans="1:38" x14ac:dyDescent="0.2">
      <c r="A450" s="2">
        <v>521</v>
      </c>
      <c r="B450" s="2">
        <v>511</v>
      </c>
      <c r="C450" s="2">
        <v>2572</v>
      </c>
      <c r="D450" t="s">
        <v>277</v>
      </c>
      <c r="F450" t="s">
        <v>1237</v>
      </c>
      <c r="H450" s="2">
        <v>44.87</v>
      </c>
      <c r="I450" s="15">
        <v>1.6020000000000001</v>
      </c>
      <c r="J450" s="15">
        <v>1.399</v>
      </c>
      <c r="AC450" s="2">
        <v>27.88</v>
      </c>
      <c r="AD450" s="2">
        <v>38.53</v>
      </c>
      <c r="AE450" s="2">
        <v>42.92</v>
      </c>
      <c r="AF450" s="2">
        <v>44.87</v>
      </c>
      <c r="AG450" s="14" t="s">
        <v>773</v>
      </c>
      <c r="AH450" s="14" t="s">
        <v>773</v>
      </c>
      <c r="AI450" s="14" t="s">
        <v>773</v>
      </c>
      <c r="AJ450" s="14" t="s">
        <v>773</v>
      </c>
      <c r="AK450" s="19">
        <v>6.805555555555555E-2</v>
      </c>
      <c r="AL450" s="8">
        <f>(1+(27/60))*AF450</f>
        <v>65.061499999999995</v>
      </c>
    </row>
    <row r="451" spans="1:38" s="3" customFormat="1" x14ac:dyDescent="0.2">
      <c r="A451" s="4">
        <v>522</v>
      </c>
      <c r="B451" s="2">
        <v>424</v>
      </c>
      <c r="C451" s="4">
        <v>1070</v>
      </c>
      <c r="D451" s="3" t="s">
        <v>323</v>
      </c>
      <c r="E451" s="3" t="s">
        <v>6</v>
      </c>
      <c r="G451" s="4">
        <v>100000</v>
      </c>
      <c r="H451" s="4">
        <v>53.31</v>
      </c>
      <c r="I451" s="16">
        <v>1.9039999999999999</v>
      </c>
      <c r="J451" s="16">
        <v>1.468</v>
      </c>
      <c r="K451" s="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4">
        <v>42.66</v>
      </c>
      <c r="AD451" s="4">
        <v>45.8</v>
      </c>
      <c r="AE451" s="4">
        <v>54.8</v>
      </c>
      <c r="AF451" s="4">
        <v>53.31</v>
      </c>
      <c r="AG451" s="46" t="s">
        <v>773</v>
      </c>
      <c r="AH451" s="46" t="s">
        <v>773</v>
      </c>
      <c r="AI451" s="46" t="s">
        <v>773</v>
      </c>
      <c r="AJ451" s="46" t="s">
        <v>773</v>
      </c>
      <c r="AK451" s="23">
        <v>7.9861111111111105E-2</v>
      </c>
      <c r="AL451" s="47">
        <f>(1+(55/60))*AF451</f>
        <v>102.17749999999999</v>
      </c>
    </row>
    <row r="452" spans="1:38" x14ac:dyDescent="0.2">
      <c r="A452" s="2">
        <v>523</v>
      </c>
      <c r="B452" s="2">
        <v>493</v>
      </c>
      <c r="C452" s="2">
        <v>646</v>
      </c>
      <c r="D452" t="s">
        <v>396</v>
      </c>
      <c r="AF452" s="14"/>
      <c r="AG452" s="14"/>
      <c r="AH452" s="14"/>
      <c r="AI452" s="14"/>
      <c r="AJ452" s="51"/>
    </row>
    <row r="453" spans="1:38" x14ac:dyDescent="0.2">
      <c r="A453" s="2">
        <v>524</v>
      </c>
      <c r="B453" s="2">
        <v>485</v>
      </c>
      <c r="C453" s="2">
        <v>2963</v>
      </c>
      <c r="D453" t="s">
        <v>384</v>
      </c>
      <c r="AC453" s="2">
        <v>24.9</v>
      </c>
      <c r="AD453" s="2" t="s">
        <v>773</v>
      </c>
      <c r="AE453" s="2" t="s">
        <v>773</v>
      </c>
      <c r="AF453" s="14" t="s">
        <v>773</v>
      </c>
      <c r="AG453" s="14" t="s">
        <v>773</v>
      </c>
      <c r="AH453" s="14" t="s">
        <v>773</v>
      </c>
      <c r="AI453" s="14" t="s">
        <v>773</v>
      </c>
      <c r="AJ453" s="57" t="s">
        <v>773</v>
      </c>
      <c r="AK453" s="19">
        <v>6.1805555555555558E-2</v>
      </c>
      <c r="AL453" s="8">
        <f>(1+(29/60))*AC453</f>
        <v>36.935000000000002</v>
      </c>
    </row>
    <row r="454" spans="1:38" x14ac:dyDescent="0.2">
      <c r="A454" s="2">
        <v>526</v>
      </c>
      <c r="B454" s="2">
        <v>514</v>
      </c>
      <c r="C454" s="2">
        <v>1665</v>
      </c>
      <c r="D454" t="s">
        <v>360</v>
      </c>
      <c r="F454" t="s">
        <v>1339</v>
      </c>
      <c r="AC454" s="2">
        <v>38.82</v>
      </c>
      <c r="AD454" s="2" t="s">
        <v>773</v>
      </c>
      <c r="AE454" s="2" t="s">
        <v>773</v>
      </c>
      <c r="AF454" s="14" t="s">
        <v>773</v>
      </c>
      <c r="AG454" s="14" t="s">
        <v>773</v>
      </c>
      <c r="AH454" s="14" t="s">
        <v>773</v>
      </c>
      <c r="AI454" s="14" t="s">
        <v>773</v>
      </c>
      <c r="AJ454" s="57" t="s">
        <v>773</v>
      </c>
      <c r="AK454" s="19">
        <v>2.7083333333333334E-2</v>
      </c>
      <c r="AL454" s="8">
        <f>(39/60)*AC454</f>
        <v>25.233000000000001</v>
      </c>
    </row>
    <row r="455" spans="1:38" x14ac:dyDescent="0.2">
      <c r="A455" s="2">
        <v>528</v>
      </c>
      <c r="D455" t="s">
        <v>1451</v>
      </c>
      <c r="AC455" s="2"/>
      <c r="AE455" s="2"/>
      <c r="AF455" s="14"/>
      <c r="AG455" s="14"/>
      <c r="AH455" s="14"/>
      <c r="AI455" s="14"/>
      <c r="AJ455" s="57"/>
      <c r="AK455" s="19"/>
      <c r="AL455" s="8"/>
    </row>
    <row r="456" spans="1:38" x14ac:dyDescent="0.2">
      <c r="A456" s="2">
        <v>531</v>
      </c>
      <c r="B456" s="2">
        <v>466</v>
      </c>
      <c r="C456" s="2">
        <v>2691</v>
      </c>
      <c r="D456" t="s">
        <v>319</v>
      </c>
      <c r="F456" t="s">
        <v>1237</v>
      </c>
      <c r="H456" s="2">
        <v>30.78</v>
      </c>
      <c r="I456" s="15">
        <v>1.099</v>
      </c>
      <c r="J456" s="15">
        <v>0.90659599999999996</v>
      </c>
      <c r="AC456" s="2">
        <v>25.87</v>
      </c>
      <c r="AD456" s="2">
        <v>26.61</v>
      </c>
      <c r="AE456" s="2">
        <v>22.63</v>
      </c>
      <c r="AF456" s="2">
        <v>30.78</v>
      </c>
      <c r="AG456" s="14" t="s">
        <v>773</v>
      </c>
      <c r="AH456" s="14" t="s">
        <v>773</v>
      </c>
      <c r="AI456" s="14" t="s">
        <v>773</v>
      </c>
      <c r="AJ456" s="14" t="s">
        <v>773</v>
      </c>
      <c r="AK456" s="19">
        <v>0.11597222222222223</v>
      </c>
      <c r="AL456" s="8">
        <f>(2+(47/60))*AF456</f>
        <v>85.671000000000006</v>
      </c>
    </row>
    <row r="457" spans="1:38" x14ac:dyDescent="0.2">
      <c r="A457" s="2">
        <v>533</v>
      </c>
      <c r="D457" t="s">
        <v>1455</v>
      </c>
      <c r="J457" s="15"/>
      <c r="AC457" s="2"/>
      <c r="AE457" s="2"/>
      <c r="AF457" s="2"/>
      <c r="AG457" s="14"/>
      <c r="AH457" s="14"/>
      <c r="AI457" s="14"/>
      <c r="AJ457" s="14"/>
      <c r="AK457" s="19"/>
      <c r="AL457" s="8"/>
    </row>
    <row r="458" spans="1:38" x14ac:dyDescent="0.2">
      <c r="A458" s="2">
        <v>534</v>
      </c>
      <c r="D458" t="s">
        <v>1409</v>
      </c>
      <c r="J458" s="15"/>
      <c r="AC458" s="2"/>
      <c r="AE458" s="2"/>
      <c r="AF458" s="2"/>
      <c r="AG458" s="14"/>
      <c r="AH458" s="14"/>
      <c r="AI458" s="14"/>
      <c r="AJ458" s="14"/>
      <c r="AK458" s="19"/>
      <c r="AL458" s="8"/>
    </row>
    <row r="459" spans="1:38" x14ac:dyDescent="0.2">
      <c r="A459" s="2">
        <v>536</v>
      </c>
      <c r="B459" s="2">
        <v>403</v>
      </c>
      <c r="C459" s="2">
        <v>695</v>
      </c>
      <c r="D459" t="s">
        <v>331</v>
      </c>
      <c r="AC459" s="2">
        <v>56.5</v>
      </c>
      <c r="AD459" s="2">
        <v>94.89</v>
      </c>
      <c r="AE459" s="2">
        <v>75.13</v>
      </c>
      <c r="AF459" s="14" t="s">
        <v>773</v>
      </c>
      <c r="AG459" s="14" t="s">
        <v>773</v>
      </c>
      <c r="AH459" s="14" t="s">
        <v>773</v>
      </c>
      <c r="AI459" s="14" t="s">
        <v>773</v>
      </c>
      <c r="AJ459" s="14" t="s">
        <v>773</v>
      </c>
      <c r="AK459" s="19">
        <v>0.12013888888888889</v>
      </c>
      <c r="AL459" s="8">
        <f>(2+(53/60))*AE459</f>
        <v>216.62483333333333</v>
      </c>
    </row>
    <row r="460" spans="1:38" x14ac:dyDescent="0.2">
      <c r="A460" s="2">
        <v>537</v>
      </c>
      <c r="D460" t="s">
        <v>1410</v>
      </c>
      <c r="AC460" s="2"/>
      <c r="AE460" s="2"/>
      <c r="AF460" s="14"/>
      <c r="AG460" s="14"/>
      <c r="AH460" s="14"/>
      <c r="AI460" s="14"/>
      <c r="AJ460" s="14"/>
      <c r="AK460" s="19"/>
      <c r="AL460" s="8"/>
    </row>
    <row r="461" spans="1:38" x14ac:dyDescent="0.2">
      <c r="A461" s="2">
        <v>540</v>
      </c>
      <c r="B461" s="2">
        <v>197</v>
      </c>
      <c r="C461" s="2">
        <v>1039</v>
      </c>
      <c r="D461" t="s">
        <v>255</v>
      </c>
      <c r="H461" s="2">
        <v>21.27</v>
      </c>
      <c r="I461" s="15">
        <v>0.75985400000000003</v>
      </c>
      <c r="J461" s="15">
        <v>0.51430399999999998</v>
      </c>
      <c r="AC461" s="2">
        <v>10.65</v>
      </c>
      <c r="AD461" s="2">
        <v>28.76</v>
      </c>
      <c r="AE461" s="2">
        <v>47.43</v>
      </c>
      <c r="AF461" s="57">
        <v>21.27</v>
      </c>
      <c r="AG461" s="57" t="s">
        <v>773</v>
      </c>
      <c r="AH461" s="57">
        <v>10</v>
      </c>
      <c r="AI461" s="57" t="s">
        <v>773</v>
      </c>
      <c r="AJ461" s="57" t="s">
        <v>773</v>
      </c>
      <c r="AK461" s="19">
        <v>0.11388888888888889</v>
      </c>
      <c r="AL461" s="8">
        <f>(2+(44/60))*AH461</f>
        <v>27.333333333333336</v>
      </c>
    </row>
    <row r="462" spans="1:38" x14ac:dyDescent="0.2">
      <c r="A462" s="2">
        <v>541</v>
      </c>
      <c r="D462" t="s">
        <v>1411</v>
      </c>
      <c r="J462" s="15"/>
      <c r="AC462" s="2"/>
      <c r="AE462" s="2"/>
      <c r="AF462" s="57"/>
      <c r="AG462" s="57"/>
      <c r="AH462" s="57"/>
      <c r="AI462" s="57"/>
      <c r="AJ462" s="57"/>
      <c r="AK462" s="19"/>
      <c r="AL462" s="8"/>
    </row>
    <row r="463" spans="1:38" x14ac:dyDescent="0.2">
      <c r="A463" s="2">
        <v>544</v>
      </c>
      <c r="D463" t="s">
        <v>1462</v>
      </c>
      <c r="J463" s="15"/>
      <c r="AC463" s="2"/>
      <c r="AE463" s="2"/>
      <c r="AF463" s="57"/>
      <c r="AG463" s="57"/>
      <c r="AH463" s="57"/>
      <c r="AI463" s="57"/>
      <c r="AJ463" s="57"/>
      <c r="AK463" s="19"/>
      <c r="AL463" s="8"/>
    </row>
    <row r="464" spans="1:38" x14ac:dyDescent="0.2">
      <c r="A464" s="2">
        <v>546</v>
      </c>
      <c r="B464" s="2">
        <v>447</v>
      </c>
      <c r="C464" s="2">
        <v>807</v>
      </c>
      <c r="D464" t="s">
        <v>262</v>
      </c>
      <c r="H464" s="2">
        <v>97.41</v>
      </c>
      <c r="I464" s="15">
        <v>3.4790000000000001</v>
      </c>
      <c r="J464" s="15">
        <v>3.1579999999999999</v>
      </c>
      <c r="AC464" s="2">
        <v>76.48</v>
      </c>
      <c r="AD464" s="2">
        <v>96.72</v>
      </c>
      <c r="AE464" s="2">
        <v>95.66</v>
      </c>
      <c r="AF464" s="2">
        <v>97.41</v>
      </c>
      <c r="AG464" s="14" t="s">
        <v>773</v>
      </c>
      <c r="AH464" s="14" t="s">
        <v>773</v>
      </c>
      <c r="AI464" s="14" t="s">
        <v>773</v>
      </c>
      <c r="AJ464" s="14" t="s">
        <v>773</v>
      </c>
      <c r="AK464" s="19">
        <v>6.0416666666666667E-2</v>
      </c>
      <c r="AL464" s="8">
        <f>(1+(27/60))*AF464</f>
        <v>141.24449999999999</v>
      </c>
    </row>
    <row r="465" spans="1:38" x14ac:dyDescent="0.2">
      <c r="A465" s="2">
        <v>549</v>
      </c>
      <c r="D465" t="s">
        <v>1412</v>
      </c>
      <c r="J465" s="15"/>
      <c r="AC465" s="2"/>
      <c r="AE465" s="2"/>
      <c r="AF465" s="2"/>
      <c r="AG465" s="14"/>
      <c r="AH465" s="14"/>
      <c r="AI465" s="14"/>
      <c r="AJ465" s="14"/>
      <c r="AK465" s="19"/>
      <c r="AL465" s="8"/>
    </row>
    <row r="466" spans="1:38" x14ac:dyDescent="0.2">
      <c r="A466" s="2">
        <v>551</v>
      </c>
      <c r="B466" s="2">
        <v>498</v>
      </c>
      <c r="C466" s="2">
        <v>679</v>
      </c>
      <c r="D466" t="s">
        <v>236</v>
      </c>
      <c r="H466" s="2">
        <v>90.16</v>
      </c>
      <c r="I466" s="15">
        <v>3.22</v>
      </c>
      <c r="J466" s="15">
        <v>2.94</v>
      </c>
      <c r="AC466" s="2">
        <v>64.11</v>
      </c>
      <c r="AD466" s="2">
        <v>86.95</v>
      </c>
      <c r="AE466" s="2">
        <v>96.28</v>
      </c>
      <c r="AF466" s="2">
        <v>90.16</v>
      </c>
      <c r="AG466" s="2" t="s">
        <v>773</v>
      </c>
      <c r="AH466" s="2">
        <v>103.8</v>
      </c>
      <c r="AI466" s="2" t="s">
        <v>773</v>
      </c>
      <c r="AJ466" s="2" t="s">
        <v>773</v>
      </c>
      <c r="AK466" s="19">
        <v>1.7361111111111112E-2</v>
      </c>
      <c r="AL466" s="8">
        <f>(25/60)*AH466</f>
        <v>43.25</v>
      </c>
    </row>
    <row r="467" spans="1:38" x14ac:dyDescent="0.2">
      <c r="A467" s="2">
        <v>553</v>
      </c>
      <c r="D467" t="s">
        <v>1450</v>
      </c>
      <c r="J467" s="15"/>
      <c r="AC467" s="2"/>
      <c r="AE467" s="2"/>
      <c r="AF467" s="2"/>
      <c r="AG467" s="2"/>
      <c r="AH467" s="2"/>
      <c r="AI467" s="2"/>
      <c r="AJ467" s="2"/>
      <c r="AK467" s="19"/>
      <c r="AL467" s="8"/>
    </row>
    <row r="468" spans="1:38" x14ac:dyDescent="0.2">
      <c r="A468" s="2">
        <v>558</v>
      </c>
      <c r="D468" t="s">
        <v>501</v>
      </c>
      <c r="J468" s="15"/>
      <c r="AC468" s="2"/>
      <c r="AE468" s="2"/>
      <c r="AF468" s="2"/>
      <c r="AG468" s="2"/>
      <c r="AH468" s="2"/>
      <c r="AI468" s="2"/>
      <c r="AJ468" s="2"/>
      <c r="AK468" s="19"/>
      <c r="AL468" s="8"/>
    </row>
    <row r="469" spans="1:38" x14ac:dyDescent="0.2">
      <c r="A469" s="2">
        <v>561</v>
      </c>
      <c r="D469" t="s">
        <v>1413</v>
      </c>
      <c r="J469" s="15"/>
      <c r="AC469" s="2"/>
      <c r="AE469" s="2"/>
      <c r="AF469" s="2"/>
      <c r="AG469" s="2"/>
      <c r="AH469" s="2"/>
      <c r="AI469" s="2"/>
      <c r="AJ469" s="2"/>
      <c r="AK469" s="19"/>
      <c r="AL469" s="8"/>
    </row>
    <row r="470" spans="1:38" x14ac:dyDescent="0.2">
      <c r="A470" s="2">
        <v>562</v>
      </c>
      <c r="B470" s="2">
        <v>148</v>
      </c>
      <c r="C470" s="2">
        <v>737</v>
      </c>
      <c r="D470" t="s">
        <v>174</v>
      </c>
      <c r="E470" t="s">
        <v>6</v>
      </c>
      <c r="F470" t="s">
        <v>1304</v>
      </c>
      <c r="G470" s="2">
        <v>1000</v>
      </c>
      <c r="H470" s="2">
        <v>16.190000000000001</v>
      </c>
      <c r="I470" s="15">
        <v>0.57825300000000002</v>
      </c>
      <c r="J470" s="15">
        <v>0.40984500000000001</v>
      </c>
      <c r="AC470" s="2">
        <v>9.7639999999999993</v>
      </c>
      <c r="AD470" s="2">
        <v>34.79</v>
      </c>
      <c r="AE470" s="2">
        <v>64.400000000000006</v>
      </c>
      <c r="AF470" s="2">
        <v>16.190000000000001</v>
      </c>
      <c r="AG470" s="14" t="s">
        <v>773</v>
      </c>
      <c r="AH470" s="2">
        <v>9.5009999999999994</v>
      </c>
      <c r="AI470" s="14" t="s">
        <v>773</v>
      </c>
      <c r="AJ470" s="14" t="s">
        <v>773</v>
      </c>
      <c r="AK470" s="19">
        <v>0.11597222222222221</v>
      </c>
      <c r="AL470" s="8">
        <f>(2+(47/60))*AH470</f>
        <v>26.444449999999996</v>
      </c>
    </row>
    <row r="471" spans="1:38" x14ac:dyDescent="0.2">
      <c r="A471" s="2">
        <v>563</v>
      </c>
      <c r="D471" t="s">
        <v>1414</v>
      </c>
      <c r="J471" s="15"/>
      <c r="AC471" s="2"/>
      <c r="AE471" s="2"/>
      <c r="AF471" s="2"/>
      <c r="AG471" s="14"/>
      <c r="AH471" s="2"/>
      <c r="AI471" s="14"/>
      <c r="AJ471" s="14"/>
      <c r="AK471" s="19"/>
      <c r="AL471" s="8"/>
    </row>
    <row r="472" spans="1:38" x14ac:dyDescent="0.2">
      <c r="A472" s="2">
        <v>564</v>
      </c>
      <c r="D472" t="s">
        <v>1415</v>
      </c>
      <c r="J472" s="15"/>
      <c r="AC472" s="2"/>
      <c r="AE472" s="2"/>
      <c r="AF472" s="2"/>
      <c r="AG472" s="14"/>
      <c r="AH472" s="2"/>
      <c r="AI472" s="14"/>
      <c r="AJ472" s="14"/>
      <c r="AK472" s="19"/>
      <c r="AL472" s="8"/>
    </row>
    <row r="473" spans="1:38" x14ac:dyDescent="0.2">
      <c r="A473" s="2">
        <v>568</v>
      </c>
      <c r="D473" t="s">
        <v>1416</v>
      </c>
      <c r="J473" s="15"/>
      <c r="AC473" s="2"/>
      <c r="AE473" s="2"/>
      <c r="AF473" s="2"/>
      <c r="AG473" s="14"/>
      <c r="AH473" s="2"/>
      <c r="AI473" s="14"/>
      <c r="AJ473" s="14"/>
      <c r="AK473" s="19"/>
      <c r="AL473" s="8"/>
    </row>
    <row r="474" spans="1:38" x14ac:dyDescent="0.2">
      <c r="A474" s="2">
        <v>571</v>
      </c>
      <c r="C474" s="2">
        <v>790</v>
      </c>
      <c r="D474" t="s">
        <v>1417</v>
      </c>
      <c r="E474" t="s">
        <v>7</v>
      </c>
      <c r="J474" s="15"/>
      <c r="AC474" s="2"/>
      <c r="AE474" s="2"/>
      <c r="AF474" s="2"/>
      <c r="AG474" s="14"/>
      <c r="AH474" s="2"/>
      <c r="AI474" s="14"/>
      <c r="AJ474" s="14"/>
      <c r="AK474" s="19"/>
      <c r="AL474" s="8"/>
    </row>
    <row r="475" spans="1:38" s="3" customFormat="1" x14ac:dyDescent="0.2">
      <c r="A475" s="4">
        <v>572</v>
      </c>
      <c r="B475" s="4"/>
      <c r="C475" s="4"/>
      <c r="D475" s="3" t="s">
        <v>1418</v>
      </c>
      <c r="G475" s="4"/>
      <c r="H475" s="4"/>
      <c r="I475" s="16"/>
      <c r="J475" s="16"/>
      <c r="K475" s="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4"/>
      <c r="AD475" s="4"/>
      <c r="AE475" s="4"/>
      <c r="AF475" s="4"/>
      <c r="AG475" s="46"/>
      <c r="AH475" s="4"/>
      <c r="AI475" s="46"/>
      <c r="AJ475" s="46"/>
      <c r="AK475" s="23"/>
      <c r="AL475" s="47"/>
    </row>
    <row r="476" spans="1:38" x14ac:dyDescent="0.2">
      <c r="A476" s="2">
        <v>574</v>
      </c>
      <c r="D476" t="s">
        <v>1419</v>
      </c>
      <c r="J476" s="15"/>
      <c r="AC476" s="2"/>
      <c r="AE476" s="2"/>
      <c r="AF476" s="2"/>
      <c r="AG476" s="14"/>
      <c r="AH476" s="2"/>
      <c r="AI476" s="14"/>
      <c r="AJ476" s="14"/>
      <c r="AK476" s="19"/>
      <c r="AL476" s="8"/>
    </row>
    <row r="477" spans="1:38" x14ac:dyDescent="0.2">
      <c r="A477" s="2">
        <v>591</v>
      </c>
      <c r="B477" s="2">
        <v>576</v>
      </c>
      <c r="C477" s="2">
        <v>1424</v>
      </c>
      <c r="D477" t="s">
        <v>361</v>
      </c>
      <c r="F477" t="s">
        <v>1339</v>
      </c>
      <c r="AC477" s="2">
        <v>50.83</v>
      </c>
      <c r="AD477" s="2" t="s">
        <v>773</v>
      </c>
      <c r="AE477" s="2" t="s">
        <v>773</v>
      </c>
      <c r="AF477" s="14" t="s">
        <v>773</v>
      </c>
      <c r="AG477" s="14" t="s">
        <v>773</v>
      </c>
      <c r="AH477" s="14" t="s">
        <v>773</v>
      </c>
      <c r="AI477" s="14" t="s">
        <v>773</v>
      </c>
      <c r="AJ477" s="57" t="s">
        <v>773</v>
      </c>
      <c r="AK477" s="19">
        <v>3.3333333333333333E-2</v>
      </c>
      <c r="AL477" s="8">
        <f>(48/60)*AC477</f>
        <v>40.664000000000001</v>
      </c>
    </row>
    <row r="478" spans="1:38" x14ac:dyDescent="0.2">
      <c r="A478" s="2">
        <v>595</v>
      </c>
      <c r="D478" t="s">
        <v>1463</v>
      </c>
      <c r="AC478" s="2"/>
      <c r="AE478" s="2"/>
      <c r="AF478" s="14"/>
      <c r="AG478" s="14"/>
      <c r="AH478" s="14"/>
      <c r="AI478" s="14"/>
      <c r="AJ478" s="57"/>
      <c r="AK478" s="19"/>
      <c r="AL478" s="8"/>
    </row>
    <row r="479" spans="1:38" x14ac:dyDescent="0.2">
      <c r="A479" s="2">
        <v>597</v>
      </c>
      <c r="D479" t="s">
        <v>1452</v>
      </c>
      <c r="AC479" s="2"/>
      <c r="AE479" s="2"/>
      <c r="AF479" s="14"/>
      <c r="AG479" s="14"/>
      <c r="AH479" s="14"/>
      <c r="AI479" s="14"/>
      <c r="AJ479" s="57"/>
      <c r="AK479" s="19"/>
      <c r="AL479" s="8"/>
    </row>
    <row r="480" spans="1:38" x14ac:dyDescent="0.2">
      <c r="A480" s="2">
        <v>606</v>
      </c>
      <c r="D480" t="s">
        <v>1453</v>
      </c>
      <c r="AC480" s="2"/>
      <c r="AE480" s="2"/>
      <c r="AF480" s="14"/>
      <c r="AG480" s="14"/>
      <c r="AH480" s="14"/>
      <c r="AI480" s="14"/>
      <c r="AJ480" s="57"/>
      <c r="AK480" s="19"/>
      <c r="AL480" s="8"/>
    </row>
    <row r="481" spans="1:38" x14ac:dyDescent="0.2">
      <c r="A481" s="2">
        <v>610</v>
      </c>
      <c r="D481" t="s">
        <v>1444</v>
      </c>
      <c r="AC481" s="2"/>
      <c r="AE481" s="2"/>
      <c r="AF481" s="14"/>
      <c r="AG481" s="14"/>
      <c r="AH481" s="14"/>
      <c r="AI481" s="14"/>
      <c r="AJ481" s="57"/>
      <c r="AK481" s="19"/>
      <c r="AL481" s="8"/>
    </row>
    <row r="482" spans="1:38" x14ac:dyDescent="0.2">
      <c r="A482" s="2">
        <v>620</v>
      </c>
      <c r="D482" t="s">
        <v>1448</v>
      </c>
      <c r="AC482" s="2"/>
      <c r="AE482" s="2"/>
      <c r="AF482" s="14"/>
      <c r="AG482" s="14"/>
      <c r="AH482" s="14"/>
      <c r="AI482" s="14"/>
      <c r="AJ482" s="57"/>
      <c r="AK482" s="19"/>
      <c r="AL482" s="8"/>
    </row>
    <row r="483" spans="1:38" s="3" customFormat="1" x14ac:dyDescent="0.2">
      <c r="A483" s="4">
        <v>640</v>
      </c>
      <c r="B483" s="4">
        <v>499</v>
      </c>
      <c r="C483" s="4"/>
      <c r="D483" s="3" t="s">
        <v>506</v>
      </c>
      <c r="E483" s="3" t="s">
        <v>6</v>
      </c>
      <c r="G483" s="4">
        <v>265</v>
      </c>
      <c r="H483" s="4"/>
      <c r="I483" s="16"/>
      <c r="J483" s="16"/>
      <c r="K483" s="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4"/>
      <c r="AE483" s="9"/>
      <c r="AF483" s="46"/>
      <c r="AG483" s="46"/>
      <c r="AH483" s="46"/>
      <c r="AI483" s="46"/>
      <c r="AJ483" s="52"/>
    </row>
    <row r="484" spans="1:38" s="3" customFormat="1" x14ac:dyDescent="0.2">
      <c r="A484" s="4">
        <v>642</v>
      </c>
      <c r="B484" s="4"/>
      <c r="C484" s="4"/>
      <c r="D484" t="s">
        <v>1458</v>
      </c>
      <c r="G484" s="4"/>
      <c r="H484" s="4"/>
      <c r="I484" s="16"/>
      <c r="J484" s="16"/>
      <c r="K484" s="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4"/>
      <c r="AE484" s="9"/>
      <c r="AF484" s="46"/>
      <c r="AG484" s="46"/>
      <c r="AH484" s="46"/>
      <c r="AI484" s="46"/>
      <c r="AJ484" s="52"/>
    </row>
    <row r="485" spans="1:38" s="3" customFormat="1" x14ac:dyDescent="0.2">
      <c r="A485" s="4">
        <v>644</v>
      </c>
      <c r="B485" s="4"/>
      <c r="C485" s="4"/>
      <c r="D485" s="3" t="s">
        <v>1456</v>
      </c>
      <c r="G485" s="4"/>
      <c r="H485" s="4"/>
      <c r="I485" s="16"/>
      <c r="J485" s="16"/>
      <c r="K485" s="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4"/>
      <c r="AE485" s="9"/>
      <c r="AF485" s="46"/>
      <c r="AG485" s="46"/>
      <c r="AH485" s="46"/>
      <c r="AI485" s="46"/>
      <c r="AJ485" s="52"/>
    </row>
    <row r="486" spans="1:38" s="3" customFormat="1" x14ac:dyDescent="0.2">
      <c r="A486" s="2">
        <v>653</v>
      </c>
      <c r="B486" s="4"/>
      <c r="C486" s="4"/>
      <c r="D486" t="s">
        <v>1457</v>
      </c>
      <c r="G486" s="4"/>
      <c r="H486" s="4"/>
      <c r="I486" s="16"/>
      <c r="J486" s="16"/>
      <c r="K486" s="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4"/>
      <c r="AE486" s="9"/>
      <c r="AF486" s="46"/>
      <c r="AG486" s="46"/>
      <c r="AH486" s="46"/>
      <c r="AI486" s="46"/>
      <c r="AJ486" s="52"/>
    </row>
    <row r="487" spans="1:38" s="3" customFormat="1" x14ac:dyDescent="0.2">
      <c r="A487" s="2">
        <v>669</v>
      </c>
      <c r="B487" s="4"/>
      <c r="C487" s="4"/>
      <c r="D487" t="s">
        <v>1461</v>
      </c>
      <c r="G487" s="4"/>
      <c r="H487" s="4"/>
      <c r="I487" s="16"/>
      <c r="J487" s="16"/>
      <c r="K487" s="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4"/>
      <c r="AE487" s="9"/>
      <c r="AF487" s="46"/>
      <c r="AG487" s="46"/>
      <c r="AH487" s="46"/>
      <c r="AI487" s="46"/>
      <c r="AJ487" s="52"/>
    </row>
    <row r="488" spans="1:38" s="3" customFormat="1" x14ac:dyDescent="0.2">
      <c r="A488" s="2">
        <v>682</v>
      </c>
      <c r="B488" s="4"/>
      <c r="C488" s="2"/>
      <c r="D488" t="s">
        <v>1459</v>
      </c>
      <c r="G488" s="4"/>
      <c r="H488" s="4"/>
      <c r="I488" s="16"/>
      <c r="J488" s="16"/>
      <c r="K488" s="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4"/>
      <c r="AE488" s="9"/>
      <c r="AF488" s="46"/>
      <c r="AG488" s="46"/>
      <c r="AH488" s="46"/>
      <c r="AI488" s="46"/>
      <c r="AJ488" s="52"/>
    </row>
    <row r="489" spans="1:38" s="3" customFormat="1" x14ac:dyDescent="0.2">
      <c r="A489" s="2">
        <v>706</v>
      </c>
      <c r="B489" s="4"/>
      <c r="C489" s="2"/>
      <c r="D489" t="s">
        <v>1470</v>
      </c>
      <c r="G489" s="4"/>
      <c r="H489" s="4"/>
      <c r="I489" s="16"/>
      <c r="J489" s="16"/>
      <c r="K489" s="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4"/>
      <c r="AE489" s="9"/>
      <c r="AF489" s="46"/>
      <c r="AG489" s="46"/>
      <c r="AH489" s="46"/>
      <c r="AI489" s="46"/>
      <c r="AJ489" s="52"/>
    </row>
    <row r="490" spans="1:38" s="3" customFormat="1" x14ac:dyDescent="0.2">
      <c r="A490" s="4">
        <v>722</v>
      </c>
      <c r="B490" s="4">
        <v>1256</v>
      </c>
      <c r="C490" s="4">
        <v>714</v>
      </c>
      <c r="D490" s="3" t="s">
        <v>576</v>
      </c>
      <c r="G490" s="4"/>
      <c r="H490" s="4">
        <v>97.66</v>
      </c>
      <c r="I490" s="16"/>
      <c r="J490" s="16"/>
      <c r="K490" s="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4"/>
      <c r="AE490" s="9"/>
      <c r="AF490" s="46"/>
      <c r="AG490" s="46"/>
      <c r="AH490" s="46"/>
      <c r="AI490" s="46"/>
      <c r="AJ490" s="52"/>
    </row>
    <row r="491" spans="1:38" x14ac:dyDescent="0.2">
      <c r="A491" s="2">
        <v>742</v>
      </c>
      <c r="B491" s="2">
        <v>625</v>
      </c>
      <c r="D491" t="s">
        <v>631</v>
      </c>
      <c r="H491" s="2">
        <v>19.7</v>
      </c>
      <c r="AF491" s="14"/>
      <c r="AG491" s="14"/>
      <c r="AH491" s="14"/>
      <c r="AI491" s="14"/>
      <c r="AJ491" s="51"/>
    </row>
    <row r="492" spans="1:38" s="3" customFormat="1" x14ac:dyDescent="0.2">
      <c r="A492" s="4">
        <v>798</v>
      </c>
      <c r="B492" s="4"/>
      <c r="C492" s="4"/>
      <c r="D492" s="3" t="s">
        <v>1203</v>
      </c>
      <c r="G492" s="4"/>
      <c r="H492" s="4"/>
      <c r="I492" s="16"/>
      <c r="J492" s="16"/>
      <c r="K492" s="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4"/>
      <c r="AE492" s="9"/>
      <c r="AF492" s="46"/>
      <c r="AG492" s="46"/>
      <c r="AH492" s="46"/>
      <c r="AI492" s="46"/>
      <c r="AJ492" s="52"/>
    </row>
    <row r="493" spans="1:38" s="3" customFormat="1" x14ac:dyDescent="0.2">
      <c r="A493" s="2">
        <v>811</v>
      </c>
      <c r="B493" s="4"/>
      <c r="C493" s="4"/>
      <c r="D493" t="s">
        <v>1473</v>
      </c>
      <c r="G493" s="4"/>
      <c r="H493" s="4"/>
      <c r="I493" s="16"/>
      <c r="J493" s="16"/>
      <c r="K493" s="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4"/>
      <c r="AE493" s="9"/>
      <c r="AF493" s="46"/>
      <c r="AG493" s="46"/>
      <c r="AH493" s="46"/>
      <c r="AI493" s="46"/>
      <c r="AJ493" s="52"/>
    </row>
    <row r="494" spans="1:38" x14ac:dyDescent="0.2">
      <c r="A494" s="2">
        <v>822</v>
      </c>
      <c r="D494" t="s">
        <v>1460</v>
      </c>
      <c r="J494" s="15"/>
      <c r="AF494" s="14"/>
      <c r="AG494" s="14"/>
      <c r="AH494" s="14"/>
      <c r="AI494" s="14"/>
      <c r="AJ494" s="51"/>
    </row>
    <row r="495" spans="1:38" s="3" customFormat="1" x14ac:dyDescent="0.2">
      <c r="A495" s="4">
        <v>824</v>
      </c>
      <c r="B495" s="2">
        <v>485</v>
      </c>
      <c r="C495" s="4"/>
      <c r="D495" s="3" t="s">
        <v>388</v>
      </c>
      <c r="G495" s="4"/>
      <c r="H495" s="4"/>
      <c r="I495" s="16"/>
      <c r="J495" s="16"/>
      <c r="K495" s="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4"/>
      <c r="AE495" s="9"/>
      <c r="AF495" s="46"/>
      <c r="AG495" s="46"/>
      <c r="AH495" s="46"/>
      <c r="AI495" s="46"/>
      <c r="AJ495" s="52"/>
    </row>
    <row r="496" spans="1:38" s="3" customFormat="1" x14ac:dyDescent="0.2">
      <c r="A496" s="4">
        <v>858</v>
      </c>
      <c r="B496" s="4">
        <v>745</v>
      </c>
      <c r="C496" s="4"/>
      <c r="D496" s="3" t="s">
        <v>584</v>
      </c>
      <c r="E496" s="3" t="s">
        <v>6</v>
      </c>
      <c r="G496" s="4"/>
      <c r="H496" s="4">
        <v>21.86</v>
      </c>
      <c r="I496" s="16"/>
      <c r="J496" s="16"/>
      <c r="K496" s="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4"/>
      <c r="AE496" s="9"/>
      <c r="AF496" s="46"/>
      <c r="AG496" s="46"/>
      <c r="AH496" s="46"/>
      <c r="AI496" s="46"/>
      <c r="AJ496" s="52"/>
    </row>
    <row r="497" spans="1:45" s="3" customFormat="1" x14ac:dyDescent="0.2">
      <c r="A497" s="4">
        <v>876</v>
      </c>
      <c r="B497" s="2">
        <v>488</v>
      </c>
      <c r="C497" s="4"/>
      <c r="D497" s="3" t="s">
        <v>391</v>
      </c>
      <c r="G497" s="4"/>
      <c r="H497" s="4"/>
      <c r="I497" s="16"/>
      <c r="J497" s="16"/>
      <c r="K497" s="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4"/>
      <c r="AE497" s="9"/>
      <c r="AF497" s="46"/>
      <c r="AG497" s="46"/>
      <c r="AH497" s="46"/>
      <c r="AI497" s="46"/>
      <c r="AJ497" s="52"/>
    </row>
    <row r="498" spans="1:45" x14ac:dyDescent="0.2">
      <c r="A498" s="2">
        <v>891</v>
      </c>
      <c r="D498" t="s">
        <v>1472</v>
      </c>
      <c r="J498" s="15"/>
      <c r="AF498" s="14"/>
      <c r="AG498" s="14"/>
      <c r="AH498" s="14"/>
      <c r="AI498" s="14"/>
      <c r="AJ498" s="51"/>
    </row>
    <row r="499" spans="1:45" s="3" customFormat="1" x14ac:dyDescent="0.2">
      <c r="A499" s="4">
        <v>906</v>
      </c>
      <c r="B499" s="4">
        <v>707</v>
      </c>
      <c r="C499" s="4">
        <v>373</v>
      </c>
      <c r="D499" s="3" t="s">
        <v>598</v>
      </c>
      <c r="G499" s="4"/>
      <c r="H499" s="4">
        <v>149</v>
      </c>
      <c r="I499" s="16"/>
      <c r="J499" s="16"/>
      <c r="K499" s="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2"/>
      <c r="AE499" s="9"/>
      <c r="AF499" s="46"/>
      <c r="AG499" s="46"/>
      <c r="AH499" s="46"/>
      <c r="AI499" s="46"/>
      <c r="AJ499" s="52"/>
    </row>
    <row r="500" spans="1:45" s="3" customFormat="1" x14ac:dyDescent="0.2">
      <c r="A500" s="4">
        <v>910</v>
      </c>
      <c r="B500" s="4"/>
      <c r="C500" s="4"/>
      <c r="D500" s="3" t="s">
        <v>1454</v>
      </c>
      <c r="G500" s="4"/>
      <c r="H500" s="4"/>
      <c r="I500" s="16"/>
      <c r="J500" s="16"/>
      <c r="K500" s="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"/>
      <c r="AE500" s="9"/>
      <c r="AF500" s="46"/>
      <c r="AG500" s="46"/>
      <c r="AH500" s="46"/>
      <c r="AI500" s="46"/>
      <c r="AJ500" s="52"/>
    </row>
    <row r="501" spans="1:45" x14ac:dyDescent="0.2">
      <c r="A501" s="2">
        <v>997</v>
      </c>
      <c r="D501" t="s">
        <v>1471</v>
      </c>
      <c r="J501" s="15"/>
      <c r="AF501" s="14"/>
      <c r="AG501" s="14"/>
      <c r="AH501" s="14"/>
      <c r="AI501" s="14"/>
      <c r="AJ501" s="51"/>
    </row>
    <row r="502" spans="1:45" x14ac:dyDescent="0.2">
      <c r="A502" s="2">
        <v>1152</v>
      </c>
      <c r="B502" s="2">
        <v>61</v>
      </c>
      <c r="C502" s="2">
        <v>5477</v>
      </c>
      <c r="D502" t="s">
        <v>69</v>
      </c>
      <c r="E502" t="s">
        <v>6</v>
      </c>
      <c r="G502" s="2">
        <v>500</v>
      </c>
      <c r="H502" s="2">
        <v>181.1</v>
      </c>
      <c r="I502" s="15">
        <v>6.47</v>
      </c>
      <c r="J502" s="15">
        <v>3.0150000000000001</v>
      </c>
      <c r="O502" s="8">
        <v>147.00608700000001</v>
      </c>
      <c r="P502" s="8">
        <v>146.08440300000001</v>
      </c>
      <c r="Q502" s="8">
        <v>151.20167699999999</v>
      </c>
      <c r="R502" s="8">
        <v>146.795852</v>
      </c>
      <c r="S502" s="8">
        <v>172.667125</v>
      </c>
      <c r="T502" s="8">
        <v>19.971360000000001</v>
      </c>
      <c r="U502" s="8">
        <v>142.32711399999999</v>
      </c>
      <c r="V502" s="8">
        <v>140.030303</v>
      </c>
      <c r="W502" s="8">
        <v>196.883747</v>
      </c>
      <c r="X502" s="8">
        <v>166.41912500000001</v>
      </c>
      <c r="Y502" s="8">
        <v>18.953330000000001</v>
      </c>
      <c r="Z502" s="8">
        <v>18.72428</v>
      </c>
      <c r="AA502" s="8">
        <v>23.106853000000001</v>
      </c>
      <c r="AC502" s="2">
        <v>11.57</v>
      </c>
      <c r="AD502" s="2">
        <v>165.2</v>
      </c>
      <c r="AE502" s="2">
        <v>169.9</v>
      </c>
      <c r="AF502" s="2">
        <v>181.1</v>
      </c>
      <c r="AG502" s="2" t="s">
        <v>773</v>
      </c>
      <c r="AH502" s="2">
        <v>181.7</v>
      </c>
      <c r="AI502" s="2" t="s">
        <v>773</v>
      </c>
      <c r="AJ502" s="2" t="s">
        <v>773</v>
      </c>
      <c r="AK502" s="19">
        <v>7.8472222222222221E-2</v>
      </c>
      <c r="AL502" s="8">
        <f>(1+(53/60))*AH502</f>
        <v>342.20166666666665</v>
      </c>
    </row>
    <row r="503" spans="1:45" x14ac:dyDescent="0.2">
      <c r="A503" s="2">
        <v>1195</v>
      </c>
      <c r="B503" s="2">
        <v>444</v>
      </c>
      <c r="C503" s="2">
        <v>12</v>
      </c>
      <c r="D503" t="s">
        <v>772</v>
      </c>
      <c r="E503" t="s">
        <v>1205</v>
      </c>
      <c r="G503" s="2">
        <v>20000</v>
      </c>
      <c r="H503" s="2">
        <v>3013</v>
      </c>
      <c r="I503" s="57">
        <v>107.6</v>
      </c>
      <c r="J503" s="57">
        <v>53.1</v>
      </c>
      <c r="O503" s="2">
        <v>2565.6999999999998</v>
      </c>
      <c r="P503" s="2">
        <v>2521.1</v>
      </c>
      <c r="Q503" s="2">
        <v>2674.4</v>
      </c>
      <c r="R503" s="2">
        <v>2093.1999999999998</v>
      </c>
      <c r="S503" s="2">
        <v>3054</v>
      </c>
      <c r="T503" s="2">
        <v>2418.3000000000002</v>
      </c>
      <c r="U503" s="2">
        <v>2869.7</v>
      </c>
      <c r="V503" s="2">
        <v>2770.6</v>
      </c>
      <c r="W503" s="2">
        <v>2780.6</v>
      </c>
      <c r="X503" s="2">
        <v>2727.1</v>
      </c>
      <c r="Y503" s="2">
        <v>3036.9</v>
      </c>
      <c r="Z503" s="2">
        <v>2853.9</v>
      </c>
      <c r="AA503" s="2">
        <v>3518.2</v>
      </c>
      <c r="AC503" s="2">
        <v>2468</v>
      </c>
      <c r="AD503" s="2">
        <v>2926</v>
      </c>
      <c r="AE503" s="2">
        <v>2953</v>
      </c>
      <c r="AF503" s="2">
        <v>3013</v>
      </c>
      <c r="AG503" s="2">
        <v>3104</v>
      </c>
      <c r="AH503" s="2">
        <v>3107</v>
      </c>
      <c r="AI503" s="2" t="s">
        <v>773</v>
      </c>
      <c r="AJ503" s="2" t="s">
        <v>773</v>
      </c>
      <c r="AK503" s="19">
        <v>0.38194444444444442</v>
      </c>
      <c r="AL503" s="8">
        <f>(9+(10/60))*AH503</f>
        <v>28480.833333333332</v>
      </c>
      <c r="AM503">
        <v>1997</v>
      </c>
      <c r="AQ503" t="s">
        <v>1239</v>
      </c>
      <c r="AR503" s="8">
        <f>AL184</f>
        <v>5511.7333333333336</v>
      </c>
      <c r="AS503" s="49">
        <f>AR503/$AO$3</f>
        <v>2.2130449617090821E-3</v>
      </c>
    </row>
    <row r="504" spans="1:45" s="3" customFormat="1" x14ac:dyDescent="0.2">
      <c r="A504" s="4">
        <v>1963</v>
      </c>
      <c r="B504" s="4">
        <v>3042</v>
      </c>
      <c r="C504" s="4">
        <v>6354</v>
      </c>
      <c r="D504" s="3" t="s">
        <v>597</v>
      </c>
      <c r="G504" s="4"/>
      <c r="H504" s="4">
        <v>9.9039999999999999</v>
      </c>
      <c r="I504" s="16">
        <v>0.295076</v>
      </c>
      <c r="J504" s="16">
        <v>0.23366999999999999</v>
      </c>
      <c r="K504" s="4">
        <v>4.6609999999999996</v>
      </c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76">
        <v>11.16</v>
      </c>
      <c r="AD504" s="76" t="s">
        <v>773</v>
      </c>
      <c r="AE504" s="76" t="s">
        <v>773</v>
      </c>
      <c r="AF504" s="76" t="s">
        <v>773</v>
      </c>
      <c r="AG504" s="76" t="s">
        <v>773</v>
      </c>
      <c r="AH504" s="76" t="s">
        <v>773</v>
      </c>
      <c r="AI504" s="76" t="s">
        <v>773</v>
      </c>
      <c r="AJ504" s="76" t="s">
        <v>773</v>
      </c>
      <c r="AK504" s="48">
        <v>0.10277777777777777</v>
      </c>
      <c r="AL504" s="47">
        <f>(2+(28/60))*AC504</f>
        <v>27.528000000000002</v>
      </c>
    </row>
    <row r="505" spans="1:45" s="3" customFormat="1" x14ac:dyDescent="0.2">
      <c r="A505" s="4">
        <v>4069</v>
      </c>
      <c r="B505" s="4" t="s">
        <v>773</v>
      </c>
      <c r="C505" s="4">
        <v>17258</v>
      </c>
      <c r="D505" s="3" t="s">
        <v>1474</v>
      </c>
      <c r="G505" s="4"/>
      <c r="H505" s="4"/>
      <c r="I505" s="16"/>
      <c r="J505" s="16"/>
      <c r="K505" s="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76">
        <v>3.2519999999999998</v>
      </c>
      <c r="AD505" s="76" t="s">
        <v>773</v>
      </c>
      <c r="AE505" s="76" t="s">
        <v>773</v>
      </c>
      <c r="AF505" s="76" t="s">
        <v>773</v>
      </c>
      <c r="AG505" s="76" t="s">
        <v>773</v>
      </c>
      <c r="AH505" s="76" t="s">
        <v>773</v>
      </c>
      <c r="AI505" s="76" t="s">
        <v>773</v>
      </c>
      <c r="AJ505" s="76" t="s">
        <v>773</v>
      </c>
      <c r="AK505" s="48">
        <v>0.1736111111111111</v>
      </c>
      <c r="AL505" s="47">
        <f>(4+(10/60))*AC505</f>
        <v>13.55</v>
      </c>
    </row>
    <row r="506" spans="1:45" s="3" customFormat="1" x14ac:dyDescent="0.2">
      <c r="A506" s="4">
        <v>4901</v>
      </c>
      <c r="B506" s="4">
        <v>5647</v>
      </c>
      <c r="C506" s="4">
        <v>3716</v>
      </c>
      <c r="D506" s="3" t="s">
        <v>939</v>
      </c>
      <c r="G506" s="4"/>
      <c r="H506" s="63">
        <v>8.4960000000000004</v>
      </c>
      <c r="I506" s="16"/>
      <c r="J506" s="16"/>
      <c r="K506" s="4"/>
      <c r="L506" s="9"/>
      <c r="M506" s="9"/>
      <c r="N506" s="9">
        <f>AE506/AG506-1</f>
        <v>0.37829566854990593</v>
      </c>
      <c r="O506" s="47">
        <v>13.24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77">
        <v>13.24</v>
      </c>
      <c r="AD506" s="76" t="s">
        <v>773</v>
      </c>
      <c r="AE506" s="76">
        <v>11.71</v>
      </c>
      <c r="AF506" s="76" t="s">
        <v>773</v>
      </c>
      <c r="AG506" s="76">
        <v>8.4960000000000004</v>
      </c>
      <c r="AH506" s="76" t="s">
        <v>773</v>
      </c>
      <c r="AI506" s="76" t="s">
        <v>773</v>
      </c>
      <c r="AJ506" s="76" t="s">
        <v>773</v>
      </c>
      <c r="AK506" s="23">
        <v>0.21388888888888888</v>
      </c>
    </row>
    <row r="507" spans="1:45" s="3" customFormat="1" x14ac:dyDescent="0.2">
      <c r="A507" s="4">
        <v>7108</v>
      </c>
      <c r="B507" s="4">
        <v>4732</v>
      </c>
      <c r="C507" s="4">
        <v>11116</v>
      </c>
      <c r="D507" s="3" t="s">
        <v>870</v>
      </c>
      <c r="G507" s="4"/>
      <c r="H507" s="46">
        <v>6.3339999999999996</v>
      </c>
      <c r="I507" s="16"/>
      <c r="J507" s="16"/>
      <c r="K507" s="1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>
        <v>4.7409999999999997</v>
      </c>
      <c r="AD507" s="2"/>
      <c r="AE507" s="9">
        <v>5.9790000000000001</v>
      </c>
      <c r="AF507" s="46"/>
      <c r="AG507" s="46">
        <v>6.3339999999999996</v>
      </c>
      <c r="AH507" s="46"/>
      <c r="AI507" s="46"/>
      <c r="AJ507" s="52"/>
      <c r="AK507" s="23">
        <v>0.1361111111111111</v>
      </c>
      <c r="AQ507"/>
      <c r="AR507"/>
      <c r="AS507"/>
    </row>
    <row r="508" spans="1:45" s="3" customFormat="1" x14ac:dyDescent="0.2">
      <c r="A508" s="4"/>
      <c r="B508" s="4"/>
      <c r="C508" s="4"/>
      <c r="D508" s="3" t="s">
        <v>1475</v>
      </c>
      <c r="G508" s="4"/>
      <c r="H508" s="4"/>
      <c r="I508" s="16"/>
      <c r="J508" s="16"/>
      <c r="K508" s="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4"/>
      <c r="AD508" s="4"/>
      <c r="AE508" s="4"/>
      <c r="AF508" s="46"/>
      <c r="AG508" s="46"/>
      <c r="AH508" s="46"/>
      <c r="AI508" s="46"/>
      <c r="AJ508" s="58"/>
      <c r="AK508" s="48"/>
      <c r="AL508" s="47"/>
    </row>
    <row r="509" spans="1:45" s="3" customFormat="1" x14ac:dyDescent="0.2">
      <c r="A509" s="4"/>
      <c r="B509" s="4"/>
      <c r="C509" s="4"/>
      <c r="D509" s="3" t="s">
        <v>1476</v>
      </c>
      <c r="G509" s="4"/>
      <c r="H509" s="4"/>
      <c r="I509" s="16"/>
      <c r="J509" s="16"/>
      <c r="K509" s="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4"/>
      <c r="AD509" s="4"/>
      <c r="AE509" s="4"/>
      <c r="AF509" s="46"/>
      <c r="AG509" s="46"/>
      <c r="AH509" s="46"/>
      <c r="AI509" s="46"/>
      <c r="AJ509" s="58"/>
      <c r="AK509" s="48"/>
      <c r="AL509" s="47"/>
    </row>
    <row r="510" spans="1:45" x14ac:dyDescent="0.2">
      <c r="A510" s="2">
        <v>1073</v>
      </c>
      <c r="C510" s="2">
        <v>16</v>
      </c>
      <c r="D510" t="s">
        <v>774</v>
      </c>
      <c r="E510" t="s">
        <v>1222</v>
      </c>
      <c r="G510" s="2">
        <v>30900</v>
      </c>
      <c r="H510" s="2">
        <v>1910</v>
      </c>
      <c r="I510" s="57">
        <v>68.23</v>
      </c>
      <c r="J510" s="57">
        <v>29.79</v>
      </c>
      <c r="O510" s="2">
        <v>3410</v>
      </c>
      <c r="P510" s="2">
        <v>3507</v>
      </c>
      <c r="Q510" s="2">
        <v>3407</v>
      </c>
      <c r="R510" s="2">
        <v>3387</v>
      </c>
      <c r="S510" s="2">
        <v>3375</v>
      </c>
      <c r="T510" s="2">
        <v>3513</v>
      </c>
      <c r="U510" s="2">
        <v>3796</v>
      </c>
      <c r="V510" s="2">
        <v>3504</v>
      </c>
      <c r="W510" s="2">
        <v>3469</v>
      </c>
      <c r="X510" s="2">
        <v>3487</v>
      </c>
      <c r="Y510" s="2">
        <v>3904</v>
      </c>
      <c r="Z510" s="2">
        <v>3514</v>
      </c>
      <c r="AA510" s="2">
        <v>3703</v>
      </c>
      <c r="AC510" s="2">
        <v>3134</v>
      </c>
      <c r="AD510" s="2">
        <v>1824</v>
      </c>
      <c r="AE510" s="2">
        <v>1823</v>
      </c>
      <c r="AF510" s="2">
        <v>1910</v>
      </c>
      <c r="AG510" s="2" t="s">
        <v>773</v>
      </c>
      <c r="AH510" s="2">
        <v>1892</v>
      </c>
      <c r="AI510" s="2" t="s">
        <v>773</v>
      </c>
      <c r="AJ510" s="2" t="s">
        <v>773</v>
      </c>
      <c r="AK510" s="19">
        <v>0.39374999999999999</v>
      </c>
      <c r="AL510" s="8">
        <f>(9+(27/60))*AH510</f>
        <v>17879.399999999998</v>
      </c>
      <c r="AM510">
        <v>1996</v>
      </c>
    </row>
    <row r="511" spans="1:45" x14ac:dyDescent="0.2">
      <c r="A511" s="2">
        <v>27217</v>
      </c>
      <c r="C511" s="2">
        <v>18</v>
      </c>
      <c r="D511" t="s">
        <v>775</v>
      </c>
      <c r="E511" t="s">
        <v>1245</v>
      </c>
      <c r="G511" s="2">
        <v>140270</v>
      </c>
      <c r="H511" s="2">
        <v>1814</v>
      </c>
      <c r="I511" s="57">
        <v>64.81</v>
      </c>
      <c r="J511" s="57">
        <v>25.37</v>
      </c>
      <c r="O511" s="8">
        <v>352.7</v>
      </c>
      <c r="P511" s="8">
        <v>405.58</v>
      </c>
      <c r="Q511" s="8">
        <v>359.21776</v>
      </c>
      <c r="R511" s="8">
        <v>336.662734</v>
      </c>
      <c r="S511" s="8">
        <v>334.01014600000002</v>
      </c>
      <c r="T511" s="8">
        <v>362.41020300000002</v>
      </c>
      <c r="U511" s="8">
        <v>400.57457499999998</v>
      </c>
      <c r="V511" s="8">
        <v>415.93900600000001</v>
      </c>
      <c r="W511" s="8">
        <v>393.814459</v>
      </c>
      <c r="X511" s="8">
        <v>441.47230400000001</v>
      </c>
      <c r="Y511" s="8">
        <v>453.35098799999997</v>
      </c>
      <c r="Z511" s="8">
        <v>396.57734299999998</v>
      </c>
      <c r="AA511" s="8">
        <v>414.71050400000001</v>
      </c>
      <c r="AC511" s="2">
        <v>466.1</v>
      </c>
      <c r="AD511" s="2">
        <v>1840</v>
      </c>
      <c r="AE511" s="2">
        <v>1657</v>
      </c>
      <c r="AF511" s="2">
        <v>1814</v>
      </c>
      <c r="AG511" s="2" t="s">
        <v>773</v>
      </c>
      <c r="AH511" s="2">
        <v>1647</v>
      </c>
      <c r="AI511" s="2" t="s">
        <v>773</v>
      </c>
      <c r="AJ511" s="2" t="s">
        <v>773</v>
      </c>
      <c r="AK511" s="19">
        <v>0.23611111111111113</v>
      </c>
      <c r="AL511" s="8">
        <f>(5+(40/60))*AH511</f>
        <v>9333</v>
      </c>
      <c r="AM511">
        <v>1992</v>
      </c>
    </row>
    <row r="512" spans="1:45" x14ac:dyDescent="0.2">
      <c r="A512" s="2">
        <v>3522</v>
      </c>
      <c r="C512" s="2">
        <v>23</v>
      </c>
      <c r="D512" t="s">
        <v>776</v>
      </c>
      <c r="E512" t="s">
        <v>1246</v>
      </c>
      <c r="G512" s="2">
        <v>1700</v>
      </c>
      <c r="H512" s="2">
        <v>1330</v>
      </c>
      <c r="I512" s="57">
        <v>47.51</v>
      </c>
      <c r="J512" s="57">
        <v>19.87</v>
      </c>
      <c r="O512" s="8">
        <v>671.41321000000005</v>
      </c>
      <c r="P512" s="8">
        <v>649.72007399999995</v>
      </c>
      <c r="Q512" s="8">
        <v>718.26497400000005</v>
      </c>
      <c r="R512" s="8">
        <v>547.792461</v>
      </c>
      <c r="S512" s="8">
        <v>717.00321499999995</v>
      </c>
      <c r="T512" s="8">
        <v>600.88959399999999</v>
      </c>
      <c r="U512" s="8">
        <v>648.36924499999998</v>
      </c>
      <c r="V512" s="8">
        <v>671.44078999999999</v>
      </c>
      <c r="W512" s="8">
        <v>736.42003499999998</v>
      </c>
      <c r="X512" s="8">
        <v>680.161835</v>
      </c>
      <c r="Y512" s="8">
        <v>785.89646600000003</v>
      </c>
      <c r="Z512" s="8">
        <v>752.09014000000002</v>
      </c>
      <c r="AA512" s="8">
        <v>843.51755200000002</v>
      </c>
      <c r="AC512" s="2">
        <v>1468</v>
      </c>
      <c r="AD512" s="2">
        <v>1246</v>
      </c>
      <c r="AE512" s="2">
        <v>1278</v>
      </c>
      <c r="AF512" s="2">
        <v>1330</v>
      </c>
      <c r="AG512" s="2" t="s">
        <v>773</v>
      </c>
      <c r="AH512" s="2">
        <v>1343</v>
      </c>
      <c r="AI512" s="2" t="s">
        <v>773</v>
      </c>
      <c r="AJ512" s="2" t="s">
        <v>773</v>
      </c>
      <c r="AK512" s="19">
        <v>0.37083333333333335</v>
      </c>
      <c r="AL512" s="8">
        <f>(8+(54/60))*AH512</f>
        <v>11952.7</v>
      </c>
      <c r="AM512">
        <v>2015</v>
      </c>
    </row>
    <row r="513" spans="1:45" x14ac:dyDescent="0.2">
      <c r="A513" s="2">
        <v>407</v>
      </c>
      <c r="C513" s="2">
        <v>28</v>
      </c>
      <c r="D513" t="s">
        <v>777</v>
      </c>
      <c r="E513" t="s">
        <v>1246</v>
      </c>
      <c r="G513" s="2">
        <v>1700</v>
      </c>
      <c r="H513" s="2">
        <v>1109</v>
      </c>
      <c r="I513" s="57">
        <v>39.619999999999997</v>
      </c>
      <c r="J513" s="57">
        <v>18.62</v>
      </c>
      <c r="O513" s="8">
        <v>1278.553795</v>
      </c>
      <c r="P513" s="8">
        <v>1202.441161</v>
      </c>
      <c r="Q513" s="8">
        <v>1299.942759</v>
      </c>
      <c r="R513" s="8">
        <v>1129.355448</v>
      </c>
      <c r="S513" s="8">
        <v>1486.663939</v>
      </c>
      <c r="T513" s="8">
        <v>1265.4689410000001</v>
      </c>
      <c r="U513" s="8">
        <v>1349.1682920000001</v>
      </c>
      <c r="V513" s="8">
        <v>1488.1335790000001</v>
      </c>
      <c r="W513" s="8">
        <v>1538.3773160000001</v>
      </c>
      <c r="X513" s="8">
        <v>1560.220599</v>
      </c>
      <c r="Y513" s="8">
        <v>1642.6299200000001</v>
      </c>
      <c r="Z513" s="8">
        <v>1545.5089800000001</v>
      </c>
      <c r="AA513" s="8">
        <v>1512.9513549999999</v>
      </c>
      <c r="AC513" s="1">
        <v>991</v>
      </c>
      <c r="AD513" s="2">
        <v>1117</v>
      </c>
      <c r="AE513" s="2">
        <v>1085</v>
      </c>
      <c r="AF513" s="2">
        <v>1109</v>
      </c>
      <c r="AG513" s="2" t="s">
        <v>773</v>
      </c>
      <c r="AH513" s="2">
        <v>1162</v>
      </c>
      <c r="AI513" s="2" t="s">
        <v>773</v>
      </c>
      <c r="AJ513" s="2" t="s">
        <v>773</v>
      </c>
      <c r="AK513" s="19">
        <v>0.52500000000000002</v>
      </c>
      <c r="AL513" s="8">
        <f>(12+(36/60))*AH513</f>
        <v>14641.199999999999</v>
      </c>
      <c r="AM513">
        <v>2006</v>
      </c>
    </row>
    <row r="514" spans="1:45" x14ac:dyDescent="0.2">
      <c r="A514" s="2">
        <v>1719</v>
      </c>
      <c r="B514" s="2">
        <v>489</v>
      </c>
      <c r="C514" s="2">
        <v>45</v>
      </c>
      <c r="D514" t="s">
        <v>1226</v>
      </c>
      <c r="E514" t="s">
        <v>1227</v>
      </c>
      <c r="G514" s="2">
        <v>600000</v>
      </c>
      <c r="H514" s="2">
        <v>638.9</v>
      </c>
      <c r="I514" s="15">
        <v>22.82</v>
      </c>
      <c r="J514" s="15">
        <v>17.38</v>
      </c>
      <c r="O514" s="8">
        <v>126.409514</v>
      </c>
      <c r="P514" s="8">
        <v>107.601553</v>
      </c>
      <c r="Q514" s="8">
        <v>127.76248200000001</v>
      </c>
      <c r="R514" s="8">
        <v>126.778386</v>
      </c>
      <c r="S514" s="8">
        <v>123.96180200000001</v>
      </c>
      <c r="T514" s="8">
        <v>128.72501600000001</v>
      </c>
      <c r="U514" s="8">
        <v>92.027028999999999</v>
      </c>
      <c r="V514" s="8">
        <v>86.629988999999995</v>
      </c>
      <c r="W514" s="8">
        <v>119.68752000000001</v>
      </c>
      <c r="X514" s="8">
        <v>128.90554299999999</v>
      </c>
      <c r="Y514" s="8">
        <v>166.59626800000001</v>
      </c>
      <c r="Z514" s="8">
        <v>178.84894700000001</v>
      </c>
      <c r="AA514" s="8">
        <v>153.530282</v>
      </c>
      <c r="AC514" s="2">
        <v>416.3</v>
      </c>
      <c r="AD514" s="2">
        <v>723.6</v>
      </c>
      <c r="AE514" s="2">
        <v>737.5</v>
      </c>
      <c r="AF514" s="2">
        <v>638.9</v>
      </c>
      <c r="AG514" s="2" t="s">
        <v>773</v>
      </c>
      <c r="AH514" s="2" t="s">
        <v>773</v>
      </c>
      <c r="AI514" s="2" t="s">
        <v>773</v>
      </c>
      <c r="AJ514" s="2" t="s">
        <v>773</v>
      </c>
      <c r="AK514" s="19">
        <v>0.1451388888888889</v>
      </c>
      <c r="AL514" s="8">
        <f>(3+(29/30))*AF514</f>
        <v>2534.3033333333333</v>
      </c>
    </row>
    <row r="515" spans="1:45" x14ac:dyDescent="0.2">
      <c r="A515" s="2">
        <v>3168</v>
      </c>
      <c r="B515" s="2">
        <v>24237</v>
      </c>
      <c r="C515" s="2">
        <v>53</v>
      </c>
      <c r="D515" t="s">
        <v>1230</v>
      </c>
      <c r="E515" t="s">
        <v>1222</v>
      </c>
      <c r="H515" s="2">
        <v>587.5</v>
      </c>
      <c r="I515" s="15">
        <v>20.98</v>
      </c>
      <c r="J515" s="15">
        <v>10.42</v>
      </c>
      <c r="AC515" s="2">
        <v>1041</v>
      </c>
      <c r="AD515" s="2">
        <v>582.6</v>
      </c>
      <c r="AE515" s="2">
        <v>576.9</v>
      </c>
      <c r="AF515" s="2">
        <v>587.5</v>
      </c>
      <c r="AG515" s="2" t="s">
        <v>773</v>
      </c>
      <c r="AH515" s="2" t="s">
        <v>773</v>
      </c>
      <c r="AI515" s="2" t="s">
        <v>773</v>
      </c>
      <c r="AJ515" s="2" t="s">
        <v>773</v>
      </c>
      <c r="AK515" s="19">
        <v>0.27986111111111112</v>
      </c>
      <c r="AL515" s="8">
        <f>(6+(43/60))*AF515</f>
        <v>3946.0416666666665</v>
      </c>
    </row>
    <row r="516" spans="1:45" x14ac:dyDescent="0.2">
      <c r="A516" s="2">
        <v>21092</v>
      </c>
      <c r="B516" s="2">
        <v>3282</v>
      </c>
      <c r="C516" s="2">
        <v>33</v>
      </c>
      <c r="D516" t="s">
        <v>1224</v>
      </c>
      <c r="H516" s="2">
        <v>957.5</v>
      </c>
      <c r="I516" s="15">
        <v>34.19</v>
      </c>
      <c r="J516" s="15">
        <v>25.31</v>
      </c>
      <c r="AC516" s="2">
        <v>310.10000000000002</v>
      </c>
      <c r="AD516" s="2">
        <v>945.5</v>
      </c>
      <c r="AE516" s="2">
        <v>892.8</v>
      </c>
      <c r="AF516" s="2">
        <v>957.5</v>
      </c>
      <c r="AG516" s="2" t="s">
        <v>773</v>
      </c>
      <c r="AH516" s="2" t="s">
        <v>773</v>
      </c>
      <c r="AI516" s="2" t="s">
        <v>773</v>
      </c>
      <c r="AJ516" s="2" t="s">
        <v>773</v>
      </c>
      <c r="AK516" s="19">
        <v>5.6250000000000001E-2</v>
      </c>
      <c r="AL516" s="8">
        <f>(1+(21/60))*AF516</f>
        <v>1292.625</v>
      </c>
    </row>
    <row r="517" spans="1:45" x14ac:dyDescent="0.2">
      <c r="A517" s="2">
        <v>1202</v>
      </c>
      <c r="B517" s="2">
        <v>36</v>
      </c>
      <c r="C517" s="2">
        <v>30</v>
      </c>
      <c r="D517" t="s">
        <v>1225</v>
      </c>
      <c r="H517" s="2">
        <v>1046</v>
      </c>
      <c r="I517" s="15">
        <v>37.369999999999997</v>
      </c>
      <c r="J517" s="15">
        <v>19.16</v>
      </c>
      <c r="AC517" s="2">
        <v>927.4</v>
      </c>
      <c r="AD517" s="2">
        <v>1008</v>
      </c>
      <c r="AE517" s="2">
        <v>1087</v>
      </c>
      <c r="AF517" s="2">
        <v>1046</v>
      </c>
      <c r="AG517" s="14" t="s">
        <v>773</v>
      </c>
      <c r="AH517" s="2" t="s">
        <v>773</v>
      </c>
      <c r="AI517" s="14" t="s">
        <v>773</v>
      </c>
      <c r="AJ517" s="14" t="s">
        <v>773</v>
      </c>
      <c r="AK517" s="19">
        <v>0.33958333333333335</v>
      </c>
      <c r="AL517" s="8">
        <f>(8+(9/60))*AF517</f>
        <v>8524.9</v>
      </c>
    </row>
    <row r="518" spans="1:45" s="5" customFormat="1" x14ac:dyDescent="0.2">
      <c r="A518" s="6">
        <v>5599</v>
      </c>
      <c r="B518" s="2">
        <v>60</v>
      </c>
      <c r="C518" s="6">
        <v>380</v>
      </c>
      <c r="D518" s="5" t="s">
        <v>124</v>
      </c>
      <c r="E518" s="5" t="s">
        <v>533</v>
      </c>
      <c r="G518" s="6">
        <v>30480</v>
      </c>
      <c r="H518" s="6">
        <v>116.5</v>
      </c>
      <c r="I518" s="17">
        <v>4.1639999999999997</v>
      </c>
      <c r="J518" s="17">
        <v>2.552</v>
      </c>
      <c r="K518" s="6"/>
      <c r="L518" s="7"/>
      <c r="M518" s="7"/>
      <c r="N518" s="7"/>
      <c r="O518" s="8">
        <v>106.192201</v>
      </c>
      <c r="P518" s="8">
        <v>103.36802900000001</v>
      </c>
      <c r="Q518" s="8">
        <v>109.769625</v>
      </c>
      <c r="R518" s="8">
        <v>99.814751999999999</v>
      </c>
      <c r="S518" s="8">
        <v>97.856289000000004</v>
      </c>
      <c r="T518" s="8">
        <v>93.128262000000007</v>
      </c>
      <c r="U518" s="8">
        <v>113.265535</v>
      </c>
      <c r="V518" s="8">
        <v>127.227411</v>
      </c>
      <c r="W518" s="8">
        <v>204.18946299999999</v>
      </c>
      <c r="X518" s="8">
        <v>222.25219899999999</v>
      </c>
      <c r="Y518" s="8">
        <v>247.26208199999999</v>
      </c>
      <c r="Z518" s="8">
        <v>254.25969000000001</v>
      </c>
      <c r="AA518" s="8">
        <v>264.50171599999999</v>
      </c>
      <c r="AB518" s="7"/>
      <c r="AC518" s="6">
        <v>8.8810000000000002</v>
      </c>
      <c r="AD518" s="6">
        <v>128.1</v>
      </c>
      <c r="AE518" s="6">
        <v>109.9</v>
      </c>
      <c r="AF518" s="6">
        <v>116.5</v>
      </c>
      <c r="AG518" s="50" t="s">
        <v>773</v>
      </c>
      <c r="AH518" s="6">
        <v>118.7</v>
      </c>
      <c r="AI518" s="6" t="s">
        <v>773</v>
      </c>
      <c r="AJ518" s="6" t="s">
        <v>773</v>
      </c>
      <c r="AK518" s="53">
        <v>0.19097222222222221</v>
      </c>
      <c r="AL518" s="54">
        <f>(4+(35/60))*AH518</f>
        <v>544.04166666666663</v>
      </c>
      <c r="AQ518"/>
      <c r="AR518"/>
      <c r="AS518"/>
    </row>
    <row r="519" spans="1:45" x14ac:dyDescent="0.2">
      <c r="A519" s="2">
        <v>2613</v>
      </c>
      <c r="B519" s="2">
        <v>66</v>
      </c>
      <c r="C519" s="2">
        <v>50</v>
      </c>
      <c r="D519" t="s">
        <v>1231</v>
      </c>
      <c r="E519" t="s">
        <v>2</v>
      </c>
      <c r="F519" t="s">
        <v>1280</v>
      </c>
      <c r="H519" s="2">
        <v>525</v>
      </c>
      <c r="I519" s="15">
        <v>18.75</v>
      </c>
      <c r="J519" s="15">
        <v>11.28</v>
      </c>
      <c r="AC519" s="2">
        <v>522.29999999999995</v>
      </c>
      <c r="AD519" s="2">
        <v>568.9</v>
      </c>
      <c r="AE519" s="2">
        <v>531.20000000000005</v>
      </c>
      <c r="AF519" s="2">
        <v>525</v>
      </c>
      <c r="AG519" s="14" t="s">
        <v>773</v>
      </c>
      <c r="AH519" s="14" t="s">
        <v>773</v>
      </c>
      <c r="AI519" s="14" t="s">
        <v>773</v>
      </c>
      <c r="AJ519" s="14" t="s">
        <v>773</v>
      </c>
      <c r="AK519" s="19">
        <v>0.2722222222222222</v>
      </c>
      <c r="AL519" s="8">
        <f>(6+(32/60))*AF519</f>
        <v>3430</v>
      </c>
    </row>
    <row r="520" spans="1:45" x14ac:dyDescent="0.2">
      <c r="A520" s="2" t="s">
        <v>773</v>
      </c>
      <c r="C520" s="2">
        <v>57</v>
      </c>
      <c r="D520" t="s">
        <v>1344</v>
      </c>
      <c r="AC520" s="2">
        <v>451.4</v>
      </c>
      <c r="AD520" s="2" t="s">
        <v>773</v>
      </c>
      <c r="AE520" s="2" t="s">
        <v>773</v>
      </c>
      <c r="AF520" s="14" t="s">
        <v>773</v>
      </c>
      <c r="AG520" s="14" t="s">
        <v>773</v>
      </c>
      <c r="AH520" s="14" t="s">
        <v>773</v>
      </c>
      <c r="AI520" s="14" t="s">
        <v>773</v>
      </c>
      <c r="AJ520" s="57" t="s">
        <v>773</v>
      </c>
      <c r="AK520" s="19">
        <v>0.26597222222222222</v>
      </c>
      <c r="AL520" s="8">
        <f>(4+(7/60))*AC520</f>
        <v>1858.2633333333331</v>
      </c>
    </row>
    <row r="521" spans="1:45" x14ac:dyDescent="0.2">
      <c r="A521" s="2">
        <v>796</v>
      </c>
      <c r="B521" s="2">
        <v>37</v>
      </c>
      <c r="C521" s="2">
        <v>76</v>
      </c>
      <c r="D521" t="s">
        <v>1229</v>
      </c>
      <c r="E521" t="s">
        <v>6</v>
      </c>
      <c r="G521" s="2">
        <v>5000</v>
      </c>
      <c r="H521" s="2">
        <v>661.3</v>
      </c>
      <c r="I521" s="15">
        <v>23.61</v>
      </c>
      <c r="J521" s="15">
        <v>13.51</v>
      </c>
      <c r="O521" s="8">
        <v>1222.0584429999999</v>
      </c>
      <c r="P521" s="8">
        <v>1034.9689169999999</v>
      </c>
      <c r="Q521" s="8">
        <v>1230.0425069999999</v>
      </c>
      <c r="R521" s="8">
        <v>1261.222771</v>
      </c>
      <c r="S521" s="8">
        <v>1164.42725</v>
      </c>
      <c r="T521" s="8">
        <v>1051.485471</v>
      </c>
      <c r="U521" s="8">
        <v>1079.282913</v>
      </c>
      <c r="V521" s="8">
        <v>1219.8859709999999</v>
      </c>
      <c r="W521" s="8">
        <v>1257.3045549999999</v>
      </c>
      <c r="X521" s="8">
        <v>1207.938367</v>
      </c>
      <c r="Y521" s="8">
        <v>1246.4357339999999</v>
      </c>
      <c r="Z521" s="8">
        <v>1301.051917</v>
      </c>
      <c r="AA521" s="8">
        <v>1296.8722339999999</v>
      </c>
      <c r="AC521" s="2">
        <v>783</v>
      </c>
      <c r="AD521" s="2">
        <v>618.1</v>
      </c>
      <c r="AE521" s="2">
        <v>664</v>
      </c>
      <c r="AF521" s="2">
        <v>661.3</v>
      </c>
      <c r="AG521" s="14" t="s">
        <v>773</v>
      </c>
      <c r="AH521" s="14" t="s">
        <v>773</v>
      </c>
      <c r="AI521" s="14" t="s">
        <v>773</v>
      </c>
      <c r="AJ521" s="14" t="s">
        <v>773</v>
      </c>
      <c r="AK521" s="19">
        <v>0.17708333333333334</v>
      </c>
      <c r="AL521" s="8">
        <f>(4+(15/60))*AF521</f>
        <v>2810.5249999999996</v>
      </c>
    </row>
    <row r="522" spans="1:45" x14ac:dyDescent="0.2">
      <c r="A522" s="2">
        <v>2031</v>
      </c>
      <c r="B522" s="2">
        <v>39</v>
      </c>
      <c r="C522" s="2">
        <v>82</v>
      </c>
      <c r="D522" t="s">
        <v>1240</v>
      </c>
      <c r="H522" s="2">
        <v>505</v>
      </c>
      <c r="I522" s="15">
        <v>18.03</v>
      </c>
      <c r="J522" s="15">
        <v>10.56</v>
      </c>
      <c r="AC522" s="2">
        <v>156.4</v>
      </c>
      <c r="AD522" s="2">
        <v>481.7</v>
      </c>
      <c r="AE522" s="2">
        <v>498.4</v>
      </c>
      <c r="AF522" s="2">
        <v>505</v>
      </c>
      <c r="AG522" s="14" t="s">
        <v>773</v>
      </c>
      <c r="AH522" s="14" t="s">
        <v>773</v>
      </c>
      <c r="AI522" s="14" t="s">
        <v>773</v>
      </c>
      <c r="AJ522" s="14" t="s">
        <v>773</v>
      </c>
      <c r="AK522" s="19">
        <v>3.2638888888888891E-2</v>
      </c>
      <c r="AL522" s="8">
        <f>(47/60)*AF522</f>
        <v>395.58333333333331</v>
      </c>
    </row>
    <row r="523" spans="1:45" x14ac:dyDescent="0.2">
      <c r="A523" s="2">
        <v>738</v>
      </c>
      <c r="B523" s="2">
        <v>57</v>
      </c>
      <c r="C523" s="2">
        <v>101</v>
      </c>
      <c r="D523" s="3" t="s">
        <v>906</v>
      </c>
      <c r="E523" s="3"/>
      <c r="F523" s="3" t="s">
        <v>1257</v>
      </c>
      <c r="H523" s="2">
        <v>223.9</v>
      </c>
      <c r="I523" s="15">
        <v>7.9989999999999997</v>
      </c>
      <c r="J523" s="15">
        <v>4.6280000000000001</v>
      </c>
      <c r="O523" s="8">
        <v>258.37993599999999</v>
      </c>
      <c r="P523" s="8">
        <v>241.021152</v>
      </c>
      <c r="Q523" s="8">
        <v>270.30766599999998</v>
      </c>
      <c r="R523" s="8">
        <v>245.750619</v>
      </c>
      <c r="S523" s="8">
        <v>237.86867599999999</v>
      </c>
      <c r="T523" s="8">
        <v>210.486672</v>
      </c>
      <c r="U523" s="8">
        <v>240.063241</v>
      </c>
      <c r="V523" s="8">
        <v>245.445652</v>
      </c>
      <c r="W523" s="8">
        <v>266.51462299999997</v>
      </c>
      <c r="X523" s="8">
        <v>266.14104800000001</v>
      </c>
      <c r="Y523" s="8">
        <v>300.90450199999998</v>
      </c>
      <c r="Z523" s="8">
        <v>263.21287899999999</v>
      </c>
      <c r="AA523" s="8">
        <v>251.83457100000001</v>
      </c>
      <c r="AC523" s="2">
        <v>187</v>
      </c>
      <c r="AD523" s="2">
        <v>205.9</v>
      </c>
      <c r="AE523" s="2">
        <v>217.7</v>
      </c>
      <c r="AF523" s="2">
        <v>223.9</v>
      </c>
      <c r="AG523" s="2" t="s">
        <v>773</v>
      </c>
      <c r="AH523" s="2" t="s">
        <v>773</v>
      </c>
      <c r="AI523" s="2" t="s">
        <v>773</v>
      </c>
      <c r="AJ523" s="2" t="s">
        <v>773</v>
      </c>
      <c r="AK523" s="19">
        <v>0.35138888888888892</v>
      </c>
      <c r="AL523" s="8">
        <f>(8+(26/30))*AF523</f>
        <v>1985.2466666666669</v>
      </c>
    </row>
    <row r="524" spans="1:45" x14ac:dyDescent="0.2">
      <c r="A524" s="2">
        <v>8907</v>
      </c>
      <c r="B524" s="2">
        <v>59</v>
      </c>
      <c r="C524" s="2">
        <v>136</v>
      </c>
      <c r="D524" t="s">
        <v>1288</v>
      </c>
      <c r="H524" s="2">
        <v>157.19999999999999</v>
      </c>
      <c r="I524" s="15">
        <v>5.6150000000000002</v>
      </c>
      <c r="J524" s="15">
        <v>3.49</v>
      </c>
      <c r="O524" s="8">
        <v>38.865037000000001</v>
      </c>
      <c r="P524" s="8">
        <v>30.654482999999999</v>
      </c>
      <c r="Q524" s="8">
        <v>41.941941999999997</v>
      </c>
      <c r="R524" s="8">
        <v>34.580320999999998</v>
      </c>
      <c r="S524" s="8">
        <v>33.132060000000003</v>
      </c>
      <c r="T524" s="8">
        <v>38.281266000000002</v>
      </c>
      <c r="U524" s="8">
        <v>27.968533999999998</v>
      </c>
      <c r="V524" s="8">
        <v>28.621979</v>
      </c>
      <c r="W524" s="8">
        <v>34.349792000000001</v>
      </c>
      <c r="X524" s="8">
        <v>33.915819999999997</v>
      </c>
      <c r="Y524" s="8">
        <v>40.822899</v>
      </c>
      <c r="Z524" s="8">
        <v>43.749751000000003</v>
      </c>
      <c r="AA524" s="8">
        <v>33.636378000000001</v>
      </c>
      <c r="AC524" s="2">
        <v>46.14</v>
      </c>
      <c r="AD524" s="2">
        <v>72.66</v>
      </c>
      <c r="AE524" s="2">
        <v>157.19999999999999</v>
      </c>
      <c r="AF524" s="2" t="s">
        <v>773</v>
      </c>
      <c r="AG524" s="2" t="s">
        <v>773</v>
      </c>
      <c r="AH524" s="2" t="s">
        <v>773</v>
      </c>
      <c r="AI524" s="2" t="s">
        <v>773</v>
      </c>
      <c r="AJ524" s="2" t="s">
        <v>773</v>
      </c>
      <c r="AK524" s="19">
        <v>0.31597222222222221</v>
      </c>
      <c r="AL524" s="8">
        <f>(7+(35/60))*AE524</f>
        <v>1192.0999999999999</v>
      </c>
    </row>
    <row r="525" spans="1:45" x14ac:dyDescent="0.2">
      <c r="A525" s="2">
        <v>572</v>
      </c>
      <c r="B525" s="2">
        <v>103</v>
      </c>
      <c r="C525" s="2">
        <v>167</v>
      </c>
      <c r="D525" t="s">
        <v>325</v>
      </c>
      <c r="H525" s="2">
        <v>283.3</v>
      </c>
      <c r="I525" s="15">
        <v>10.11</v>
      </c>
      <c r="J525" s="16">
        <v>9.0280000000000005</v>
      </c>
      <c r="O525" s="8">
        <v>2257.3749520000001</v>
      </c>
      <c r="P525" s="8">
        <v>1738.694113</v>
      </c>
      <c r="Q525" s="8">
        <v>2156.9070390000002</v>
      </c>
      <c r="R525" s="8">
        <v>2388.9022420000001</v>
      </c>
      <c r="S525" s="8">
        <v>2476.4790269999999</v>
      </c>
      <c r="T525" s="8">
        <v>2370.1993160000002</v>
      </c>
      <c r="U525" s="8">
        <v>2307.2208409999998</v>
      </c>
      <c r="V525" s="8">
        <v>2441.173288</v>
      </c>
      <c r="W525" s="8">
        <v>2533.6185599999999</v>
      </c>
      <c r="X525" s="8">
        <v>2885.704389</v>
      </c>
      <c r="Y525" s="8">
        <v>2555.279372</v>
      </c>
      <c r="Z525" s="8">
        <v>2543.0102280000001</v>
      </c>
      <c r="AA525" s="8">
        <v>2634.3966489999998</v>
      </c>
      <c r="AC525" s="2">
        <v>364.6</v>
      </c>
      <c r="AD525" s="2">
        <v>428.9</v>
      </c>
      <c r="AE525" s="2">
        <v>283.3</v>
      </c>
      <c r="AF525" s="14" t="s">
        <v>773</v>
      </c>
      <c r="AG525" s="14" t="s">
        <v>773</v>
      </c>
      <c r="AH525" s="14" t="s">
        <v>773</v>
      </c>
      <c r="AI525" s="14" t="s">
        <v>773</v>
      </c>
      <c r="AJ525" s="57" t="s">
        <v>773</v>
      </c>
      <c r="AK525" s="19">
        <v>1.3888888888888888E-2</v>
      </c>
      <c r="AL525" s="8">
        <f>(20/60)*AE525</f>
        <v>94.433333333333337</v>
      </c>
    </row>
    <row r="526" spans="1:45" x14ac:dyDescent="0.2">
      <c r="A526" s="2">
        <v>215</v>
      </c>
      <c r="B526" s="2">
        <v>221</v>
      </c>
      <c r="C526" s="2">
        <v>243</v>
      </c>
      <c r="D526" t="s">
        <v>181</v>
      </c>
      <c r="E526" t="s">
        <v>696</v>
      </c>
      <c r="G526" s="2">
        <v>0</v>
      </c>
      <c r="H526" s="2">
        <v>174</v>
      </c>
      <c r="I526" s="15">
        <v>6.2149999999999999</v>
      </c>
      <c r="J526" s="15">
        <v>2.5489999999999999</v>
      </c>
      <c r="O526" s="8">
        <v>2464.3061750000002</v>
      </c>
      <c r="P526" s="8">
        <v>1898.371979</v>
      </c>
      <c r="Q526" s="8">
        <v>2392.2286389999999</v>
      </c>
      <c r="R526" s="8">
        <v>2856.227359</v>
      </c>
      <c r="S526" s="8">
        <v>2172.723841</v>
      </c>
      <c r="T526" s="8">
        <v>2114.3393209999999</v>
      </c>
      <c r="U526" s="8">
        <v>2251.6762789999998</v>
      </c>
      <c r="V526" s="8">
        <v>1434.9331609999999</v>
      </c>
      <c r="W526" s="8">
        <v>2289.0212689999998</v>
      </c>
      <c r="X526" s="8">
        <v>3242.0873630000001</v>
      </c>
      <c r="Y526" s="8">
        <v>2395.29612</v>
      </c>
      <c r="Z526" s="8">
        <v>2307.5561910000001</v>
      </c>
      <c r="AA526" s="8">
        <v>2005.8505869999999</v>
      </c>
      <c r="AC526" s="2">
        <v>0.65076800000000001</v>
      </c>
      <c r="AD526" s="2">
        <v>58.32</v>
      </c>
      <c r="AE526" s="2">
        <v>148.5</v>
      </c>
      <c r="AF526" s="2">
        <v>174</v>
      </c>
      <c r="AG526" s="14" t="s">
        <v>773</v>
      </c>
      <c r="AH526" s="2">
        <v>176.7</v>
      </c>
      <c r="AI526" s="14" t="s">
        <v>773</v>
      </c>
      <c r="AJ526" s="14" t="s">
        <v>773</v>
      </c>
      <c r="AK526" s="19">
        <v>0.76527777777777783</v>
      </c>
      <c r="AL526" s="8">
        <f>(18+(22/60))*AH526</f>
        <v>3245.39</v>
      </c>
    </row>
    <row r="527" spans="1:45" s="3" customFormat="1" x14ac:dyDescent="0.2">
      <c r="A527" s="4">
        <v>491</v>
      </c>
      <c r="B527" s="6">
        <v>696</v>
      </c>
      <c r="C527" s="4">
        <v>261</v>
      </c>
      <c r="D527" s="3" t="s">
        <v>362</v>
      </c>
      <c r="F527" s="3" t="s">
        <v>1340</v>
      </c>
      <c r="G527" s="4"/>
      <c r="H527" s="4"/>
      <c r="I527" s="16"/>
      <c r="J527" s="16"/>
      <c r="K527" s="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4">
        <v>96.76</v>
      </c>
      <c r="AD527" s="2" t="s">
        <v>773</v>
      </c>
      <c r="AE527" s="2" t="s">
        <v>773</v>
      </c>
      <c r="AF527" s="14" t="s">
        <v>773</v>
      </c>
      <c r="AG527" s="14" t="s">
        <v>773</v>
      </c>
      <c r="AH527" s="14" t="s">
        <v>773</v>
      </c>
      <c r="AI527" s="14" t="s">
        <v>773</v>
      </c>
      <c r="AJ527" s="57" t="s">
        <v>773</v>
      </c>
      <c r="AK527" s="19">
        <v>0.73333333333333328</v>
      </c>
      <c r="AL527" s="8">
        <f>(17+(36/60))*AC527</f>
        <v>1702.9760000000003</v>
      </c>
    </row>
    <row r="528" spans="1:45" s="3" customFormat="1" x14ac:dyDescent="0.2">
      <c r="A528" s="4"/>
      <c r="B528" s="67"/>
      <c r="C528" s="4">
        <v>266</v>
      </c>
      <c r="D528" s="3" t="s">
        <v>1424</v>
      </c>
      <c r="G528" s="4"/>
      <c r="H528" s="4"/>
      <c r="I528" s="16"/>
      <c r="J528" s="16"/>
      <c r="K528" s="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4"/>
      <c r="AD528" s="4"/>
      <c r="AE528" s="4"/>
      <c r="AF528" s="46"/>
      <c r="AG528" s="46"/>
      <c r="AH528" s="46"/>
      <c r="AI528" s="46"/>
      <c r="AJ528" s="58"/>
      <c r="AK528" s="23"/>
      <c r="AL528" s="47"/>
    </row>
    <row r="529" spans="1:38" x14ac:dyDescent="0.2">
      <c r="A529" s="2">
        <v>514</v>
      </c>
      <c r="B529" s="2">
        <v>232</v>
      </c>
      <c r="C529" s="2">
        <v>266</v>
      </c>
      <c r="D529" t="s">
        <v>1305</v>
      </c>
      <c r="H529" s="2">
        <v>85.49</v>
      </c>
      <c r="I529" s="15">
        <v>3.0529999999999999</v>
      </c>
      <c r="J529" s="15">
        <v>2.3919999999999999</v>
      </c>
      <c r="O529" s="8">
        <v>87.466854999999995</v>
      </c>
      <c r="P529" s="8">
        <v>82.430024000000003</v>
      </c>
      <c r="Q529" s="8">
        <v>100.277935</v>
      </c>
      <c r="R529" s="8">
        <v>72.691682999999998</v>
      </c>
      <c r="S529" s="8">
        <v>61.535238999999997</v>
      </c>
      <c r="T529" s="8">
        <v>52.510981000000001</v>
      </c>
      <c r="U529" s="8">
        <v>73.661755999999997</v>
      </c>
      <c r="V529" s="8">
        <v>81.647508999999999</v>
      </c>
      <c r="W529" s="8">
        <v>72.832466999999994</v>
      </c>
      <c r="X529" s="8">
        <v>71.519317999999998</v>
      </c>
      <c r="Y529" s="8">
        <v>72.353177000000002</v>
      </c>
      <c r="Z529" s="8">
        <v>64.438208000000003</v>
      </c>
      <c r="AA529" s="8">
        <v>90.260311000000002</v>
      </c>
      <c r="AC529" s="2">
        <v>96.26</v>
      </c>
      <c r="AD529" s="2">
        <v>101.2</v>
      </c>
      <c r="AE529" s="2">
        <v>85.49</v>
      </c>
      <c r="AF529" s="2" t="s">
        <v>773</v>
      </c>
      <c r="AG529" s="2" t="s">
        <v>773</v>
      </c>
      <c r="AH529" s="2" t="s">
        <v>773</v>
      </c>
      <c r="AI529" s="2" t="s">
        <v>773</v>
      </c>
      <c r="AJ529" s="2" t="s">
        <v>773</v>
      </c>
      <c r="AK529" s="19">
        <v>0.2638888888888889</v>
      </c>
      <c r="AL529" s="8">
        <f>(6+(20/60))*AE529</f>
        <v>541.43666666666661</v>
      </c>
    </row>
    <row r="530" spans="1:38" x14ac:dyDescent="0.2">
      <c r="C530" s="2">
        <v>300</v>
      </c>
      <c r="D530" t="s">
        <v>1422</v>
      </c>
      <c r="J530" s="15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C530" s="2"/>
      <c r="AE530" s="2"/>
      <c r="AF530" s="2"/>
      <c r="AG530" s="2"/>
      <c r="AH530" s="2"/>
      <c r="AI530" s="2"/>
      <c r="AJ530" s="2"/>
      <c r="AK530" s="19"/>
      <c r="AL530" s="8"/>
    </row>
    <row r="531" spans="1:38" x14ac:dyDescent="0.2">
      <c r="A531" s="2">
        <v>165</v>
      </c>
      <c r="B531" s="2">
        <v>273</v>
      </c>
      <c r="C531" s="2">
        <v>340</v>
      </c>
      <c r="D531" t="s">
        <v>195</v>
      </c>
      <c r="E531" t="s">
        <v>701</v>
      </c>
      <c r="F531" t="s">
        <v>1295</v>
      </c>
      <c r="G531" s="2">
        <v>3000</v>
      </c>
      <c r="H531" s="2">
        <v>40.89</v>
      </c>
      <c r="I531" s="15">
        <v>1.46</v>
      </c>
      <c r="J531" s="15">
        <v>0.75080100000000005</v>
      </c>
      <c r="AC531" s="2">
        <v>41.06</v>
      </c>
      <c r="AD531" s="2">
        <v>32.44</v>
      </c>
      <c r="AE531" s="2">
        <v>96.34</v>
      </c>
      <c r="AF531" s="2">
        <v>40.89</v>
      </c>
      <c r="AG531" s="14" t="s">
        <v>773</v>
      </c>
      <c r="AH531" s="2">
        <v>52.43</v>
      </c>
      <c r="AI531" s="14" t="s">
        <v>773</v>
      </c>
      <c r="AJ531" s="14" t="s">
        <v>773</v>
      </c>
      <c r="AK531" s="19">
        <v>0.36388888888888887</v>
      </c>
      <c r="AL531" s="8">
        <f>(8+(44/60))*AH531</f>
        <v>457.88866666666661</v>
      </c>
    </row>
    <row r="532" spans="1:38" s="3" customFormat="1" x14ac:dyDescent="0.2">
      <c r="A532" s="4"/>
      <c r="B532" s="4"/>
      <c r="C532" s="4">
        <v>359</v>
      </c>
      <c r="D532" s="3" t="s">
        <v>1425</v>
      </c>
      <c r="G532" s="4"/>
      <c r="H532" s="4"/>
      <c r="I532" s="16"/>
      <c r="J532" s="16"/>
      <c r="K532" s="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4"/>
      <c r="AD532" s="4"/>
      <c r="AE532" s="4"/>
      <c r="AF532" s="4"/>
      <c r="AG532" s="46"/>
      <c r="AH532" s="4"/>
      <c r="AI532" s="46"/>
      <c r="AJ532" s="46"/>
      <c r="AK532" s="23"/>
      <c r="AL532" s="47"/>
    </row>
    <row r="533" spans="1:38" s="3" customFormat="1" x14ac:dyDescent="0.2">
      <c r="A533" s="4"/>
      <c r="B533" s="4"/>
      <c r="C533" s="4">
        <v>367</v>
      </c>
      <c r="D533" s="3" t="s">
        <v>1426</v>
      </c>
      <c r="G533" s="4"/>
      <c r="H533" s="4"/>
      <c r="I533" s="16"/>
      <c r="J533" s="16"/>
      <c r="K533" s="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4"/>
      <c r="AD533" s="4"/>
      <c r="AE533" s="4"/>
      <c r="AF533" s="4"/>
      <c r="AG533" s="46"/>
      <c r="AH533" s="4"/>
      <c r="AI533" s="46"/>
      <c r="AJ533" s="46"/>
      <c r="AK533" s="23"/>
      <c r="AL533" s="47"/>
    </row>
    <row r="534" spans="1:38" s="3" customFormat="1" x14ac:dyDescent="0.2">
      <c r="A534" s="4"/>
      <c r="B534" s="4"/>
      <c r="C534" s="4">
        <v>368</v>
      </c>
      <c r="D534" s="3" t="s">
        <v>1427</v>
      </c>
      <c r="G534" s="4"/>
      <c r="H534" s="4"/>
      <c r="I534" s="16"/>
      <c r="J534" s="16"/>
      <c r="K534" s="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4"/>
      <c r="AD534" s="4"/>
      <c r="AE534" s="4"/>
      <c r="AF534" s="4"/>
      <c r="AG534" s="46"/>
      <c r="AH534" s="4"/>
      <c r="AI534" s="46"/>
      <c r="AJ534" s="46"/>
      <c r="AK534" s="23"/>
      <c r="AL534" s="47"/>
    </row>
    <row r="535" spans="1:38" x14ac:dyDescent="0.2">
      <c r="C535" s="2">
        <v>374</v>
      </c>
      <c r="D535" t="s">
        <v>1423</v>
      </c>
      <c r="J535" s="15"/>
      <c r="AC535" s="2"/>
      <c r="AE535" s="2"/>
      <c r="AF535" s="2"/>
      <c r="AG535" s="14"/>
      <c r="AH535" s="2"/>
      <c r="AI535" s="14"/>
      <c r="AJ535" s="14"/>
      <c r="AK535" s="19"/>
      <c r="AL535" s="8"/>
    </row>
    <row r="536" spans="1:38" x14ac:dyDescent="0.2">
      <c r="C536" s="2">
        <v>383</v>
      </c>
      <c r="D536" t="s">
        <v>1420</v>
      </c>
      <c r="J536" s="15"/>
      <c r="AC536" s="2"/>
      <c r="AE536" s="2"/>
      <c r="AF536" s="2"/>
      <c r="AG536" s="14"/>
      <c r="AH536" s="2"/>
      <c r="AI536" s="14"/>
      <c r="AJ536" s="14"/>
      <c r="AK536" s="19"/>
      <c r="AL536" s="8"/>
    </row>
    <row r="537" spans="1:38" x14ac:dyDescent="0.2">
      <c r="C537" s="4">
        <v>395</v>
      </c>
      <c r="D537" s="3" t="s">
        <v>1428</v>
      </c>
      <c r="J537" s="15"/>
      <c r="AC537" s="2"/>
      <c r="AE537" s="2"/>
      <c r="AF537" s="2"/>
      <c r="AG537" s="14"/>
      <c r="AH537" s="2"/>
      <c r="AI537" s="14"/>
      <c r="AJ537" s="14"/>
      <c r="AK537" s="19"/>
      <c r="AL537" s="8"/>
    </row>
    <row r="538" spans="1:38" x14ac:dyDescent="0.2">
      <c r="A538" s="2">
        <v>185</v>
      </c>
      <c r="B538" s="2">
        <v>397</v>
      </c>
      <c r="C538" s="2">
        <v>402</v>
      </c>
      <c r="D538" t="s">
        <v>211</v>
      </c>
      <c r="E538" t="s">
        <v>704</v>
      </c>
      <c r="F538" t="s">
        <v>1315</v>
      </c>
      <c r="G538" s="2">
        <v>100</v>
      </c>
      <c r="H538" s="2">
        <v>131.4</v>
      </c>
      <c r="I538" s="15">
        <v>4.6929999999999996</v>
      </c>
      <c r="J538" s="15">
        <v>2.5499999999999998</v>
      </c>
      <c r="O538" s="57">
        <v>91.753</v>
      </c>
      <c r="P538" s="57">
        <v>96.531000000000006</v>
      </c>
      <c r="Q538" s="57">
        <v>88.542000000000002</v>
      </c>
      <c r="R538" s="57">
        <v>94.876999999999995</v>
      </c>
      <c r="S538" s="57">
        <v>94.262</v>
      </c>
      <c r="T538" s="57">
        <v>104.8</v>
      </c>
      <c r="U538" s="57">
        <v>113.4</v>
      </c>
      <c r="V538" s="57">
        <v>127</v>
      </c>
      <c r="W538" s="57">
        <v>60.773000000000003</v>
      </c>
      <c r="X538" s="57">
        <v>79.558000000000007</v>
      </c>
      <c r="Y538" s="57">
        <v>63.726999999999997</v>
      </c>
      <c r="Z538" s="57">
        <v>34.871000000000002</v>
      </c>
      <c r="AA538" s="57">
        <v>14.757999999999999</v>
      </c>
      <c r="AC538" s="2">
        <v>90.19</v>
      </c>
      <c r="AD538" s="2">
        <v>126.4</v>
      </c>
      <c r="AE538" s="2">
        <v>115.6</v>
      </c>
      <c r="AF538" s="2">
        <v>131.4</v>
      </c>
      <c r="AG538" s="2" t="s">
        <v>773</v>
      </c>
      <c r="AH538" s="2">
        <v>165</v>
      </c>
      <c r="AI538" s="2" t="s">
        <v>773</v>
      </c>
      <c r="AJ538" s="2" t="s">
        <v>773</v>
      </c>
      <c r="AK538" s="19">
        <v>0.24166666666666667</v>
      </c>
      <c r="AL538" s="8">
        <f>(5+(48/60))*AH538</f>
        <v>957</v>
      </c>
    </row>
    <row r="539" spans="1:38" x14ac:dyDescent="0.2">
      <c r="A539" s="2">
        <v>204</v>
      </c>
      <c r="B539" s="2">
        <v>361</v>
      </c>
      <c r="C539" s="2">
        <v>407</v>
      </c>
      <c r="D539" t="s">
        <v>148</v>
      </c>
      <c r="E539" t="s">
        <v>697</v>
      </c>
      <c r="G539" s="2">
        <v>1000</v>
      </c>
      <c r="H539" s="2">
        <v>114.4</v>
      </c>
      <c r="I539" s="15">
        <v>4.0880000000000001</v>
      </c>
      <c r="J539" s="15">
        <v>3.202</v>
      </c>
      <c r="AC539" s="2">
        <v>0.79500000000000004</v>
      </c>
      <c r="AD539" s="2">
        <v>13.8</v>
      </c>
      <c r="AE539" s="2">
        <v>121.7</v>
      </c>
      <c r="AF539" s="2">
        <v>114.4</v>
      </c>
      <c r="AG539" s="14" t="s">
        <v>773</v>
      </c>
      <c r="AH539" s="2">
        <v>113.1</v>
      </c>
      <c r="AI539" s="14" t="s">
        <v>773</v>
      </c>
      <c r="AJ539" s="14" t="s">
        <v>773</v>
      </c>
      <c r="AK539" s="19">
        <v>0.125</v>
      </c>
      <c r="AL539" s="8">
        <f>3*AH539</f>
        <v>339.29999999999995</v>
      </c>
    </row>
    <row r="540" spans="1:38" x14ac:dyDescent="0.2">
      <c r="A540" s="2">
        <v>6896</v>
      </c>
      <c r="B540" s="2">
        <v>5999</v>
      </c>
      <c r="C540" s="2">
        <v>409</v>
      </c>
      <c r="D540" t="s">
        <v>577</v>
      </c>
      <c r="H540" s="14">
        <v>51.9</v>
      </c>
      <c r="AF540" s="14"/>
      <c r="AG540" s="14">
        <v>51.9</v>
      </c>
      <c r="AH540" s="14"/>
      <c r="AI540" s="14"/>
      <c r="AJ540" s="51"/>
      <c r="AK540" s="19">
        <v>0.38125000000000003</v>
      </c>
    </row>
    <row r="541" spans="1:38" x14ac:dyDescent="0.2">
      <c r="A541" s="2">
        <v>122</v>
      </c>
      <c r="B541" s="2">
        <v>329</v>
      </c>
      <c r="C541" s="2">
        <v>435</v>
      </c>
      <c r="D541" t="s">
        <v>197</v>
      </c>
      <c r="E541" t="s">
        <v>6</v>
      </c>
      <c r="F541" t="s">
        <v>1314</v>
      </c>
      <c r="G541" s="2">
        <v>0</v>
      </c>
      <c r="H541" s="2">
        <v>44.14</v>
      </c>
      <c r="I541" s="15">
        <v>0.82471099999999997</v>
      </c>
      <c r="J541" s="15">
        <v>0.57424699999999995</v>
      </c>
      <c r="K541" s="2">
        <v>12.55</v>
      </c>
      <c r="AC541" s="2">
        <v>16.760000000000002</v>
      </c>
      <c r="AD541" s="2">
        <v>118.6</v>
      </c>
      <c r="AE541" s="2">
        <v>102.8</v>
      </c>
      <c r="AF541" s="2">
        <v>38.57</v>
      </c>
      <c r="AG541" s="14" t="s">
        <v>773</v>
      </c>
      <c r="AH541" s="2">
        <v>19.78</v>
      </c>
      <c r="AI541" s="14" t="s">
        <v>773</v>
      </c>
      <c r="AJ541" s="14" t="s">
        <v>773</v>
      </c>
      <c r="AK541" s="19">
        <v>0.12013888888888889</v>
      </c>
      <c r="AL541" s="8">
        <f>(2+(53/60))*AH541</f>
        <v>57.032333333333334</v>
      </c>
    </row>
    <row r="542" spans="1:38" x14ac:dyDescent="0.2">
      <c r="A542" s="2">
        <v>475</v>
      </c>
      <c r="B542" s="2">
        <v>362</v>
      </c>
      <c r="C542" s="2">
        <v>495</v>
      </c>
      <c r="D542" t="s">
        <v>304</v>
      </c>
      <c r="H542" s="2">
        <v>113</v>
      </c>
      <c r="I542" s="15">
        <v>4.0380000000000003</v>
      </c>
      <c r="J542" s="15">
        <v>3.5830000000000002</v>
      </c>
      <c r="AC542" s="2">
        <v>155.30000000000001</v>
      </c>
      <c r="AD542" s="2">
        <v>94.58</v>
      </c>
      <c r="AE542" s="2">
        <v>117.8</v>
      </c>
      <c r="AF542" s="2">
        <v>113</v>
      </c>
      <c r="AG542" s="14" t="s">
        <v>773</v>
      </c>
      <c r="AH542" s="14" t="s">
        <v>773</v>
      </c>
      <c r="AI542" s="14" t="s">
        <v>773</v>
      </c>
      <c r="AJ542" s="14" t="s">
        <v>773</v>
      </c>
      <c r="AK542" s="19">
        <v>2.2222222222222223E-2</v>
      </c>
      <c r="AL542" s="8">
        <f>(32/60)*AF542</f>
        <v>60.266666666666666</v>
      </c>
    </row>
    <row r="543" spans="1:38" x14ac:dyDescent="0.2">
      <c r="C543" s="2">
        <v>583</v>
      </c>
      <c r="D543" t="s">
        <v>1421</v>
      </c>
      <c r="J543" s="15"/>
      <c r="AC543" s="2"/>
      <c r="AE543" s="2"/>
      <c r="AF543" s="2"/>
      <c r="AG543" s="14"/>
      <c r="AH543" s="14"/>
      <c r="AI543" s="14"/>
      <c r="AJ543" s="14"/>
      <c r="AK543" s="19"/>
      <c r="AL543" s="8"/>
    </row>
    <row r="544" spans="1:38" x14ac:dyDescent="0.2">
      <c r="A544" s="2">
        <v>171</v>
      </c>
      <c r="B544" s="2">
        <v>656</v>
      </c>
      <c r="C544" s="2">
        <v>592</v>
      </c>
      <c r="D544" t="s">
        <v>332</v>
      </c>
      <c r="H544" s="2">
        <v>60.2</v>
      </c>
      <c r="I544" s="15">
        <v>2.15</v>
      </c>
      <c r="J544" s="16">
        <v>1.159</v>
      </c>
      <c r="AC544" s="2">
        <v>19.77</v>
      </c>
      <c r="AD544" s="2">
        <v>17.62</v>
      </c>
      <c r="AE544" s="2">
        <v>60.2</v>
      </c>
      <c r="AF544" s="2" t="s">
        <v>773</v>
      </c>
      <c r="AG544" s="2" t="s">
        <v>773</v>
      </c>
      <c r="AH544" s="2" t="s">
        <v>773</v>
      </c>
      <c r="AI544" s="2" t="s">
        <v>773</v>
      </c>
      <c r="AJ544" s="2" t="s">
        <v>773</v>
      </c>
      <c r="AK544" s="19">
        <v>0.3347222222222222</v>
      </c>
      <c r="AL544" s="8">
        <f>(8+(2/60))*AE544</f>
        <v>483.60666666666668</v>
      </c>
    </row>
    <row r="545" spans="1:38" x14ac:dyDescent="0.2">
      <c r="C545" s="2">
        <v>596</v>
      </c>
      <c r="D545" t="s">
        <v>1435</v>
      </c>
      <c r="AC545" s="2"/>
      <c r="AE545" s="2"/>
      <c r="AF545" s="2"/>
      <c r="AG545" s="2"/>
      <c r="AH545" s="2"/>
      <c r="AI545" s="2"/>
      <c r="AJ545" s="2"/>
      <c r="AK545" s="19"/>
      <c r="AL545" s="8"/>
    </row>
    <row r="546" spans="1:38" x14ac:dyDescent="0.2">
      <c r="C546" s="2">
        <v>631</v>
      </c>
      <c r="D546" t="s">
        <v>1431</v>
      </c>
      <c r="AC546" s="2"/>
      <c r="AE546" s="2"/>
      <c r="AF546" s="2"/>
      <c r="AG546" s="2"/>
      <c r="AH546" s="2"/>
      <c r="AI546" s="2"/>
      <c r="AJ546" s="2"/>
      <c r="AK546" s="19"/>
      <c r="AL546" s="8"/>
    </row>
    <row r="547" spans="1:38" x14ac:dyDescent="0.2">
      <c r="A547" s="2">
        <v>184</v>
      </c>
      <c r="B547" s="4">
        <v>742</v>
      </c>
      <c r="C547" s="2">
        <v>631</v>
      </c>
      <c r="D547" t="s">
        <v>252</v>
      </c>
      <c r="E547" t="s">
        <v>708</v>
      </c>
      <c r="G547" s="2">
        <v>1160</v>
      </c>
      <c r="H547" s="2">
        <v>20.97</v>
      </c>
      <c r="I547" s="15">
        <v>0.74927600000000005</v>
      </c>
      <c r="J547" s="15">
        <v>0.51495400000000002</v>
      </c>
      <c r="AC547" s="2">
        <v>18.440000000000001</v>
      </c>
      <c r="AD547" s="2">
        <v>17.88</v>
      </c>
      <c r="AE547" s="2">
        <v>56.6</v>
      </c>
      <c r="AF547" s="57">
        <v>20.97</v>
      </c>
      <c r="AG547" s="57" t="s">
        <v>773</v>
      </c>
      <c r="AH547" s="57">
        <v>24.63</v>
      </c>
      <c r="AI547" s="57" t="s">
        <v>773</v>
      </c>
      <c r="AJ547" s="57" t="s">
        <v>773</v>
      </c>
      <c r="AK547" s="19">
        <v>0.45763888888888887</v>
      </c>
      <c r="AL547" s="8">
        <f>(10+(59/60))*AH547</f>
        <v>270.51949999999999</v>
      </c>
    </row>
    <row r="548" spans="1:38" x14ac:dyDescent="0.2">
      <c r="A548" s="2">
        <v>169</v>
      </c>
      <c r="B548" s="2" t="s">
        <v>773</v>
      </c>
      <c r="C548" s="2">
        <v>652</v>
      </c>
      <c r="D548" t="s">
        <v>206</v>
      </c>
      <c r="E548" t="s">
        <v>703</v>
      </c>
      <c r="F548" t="s">
        <v>1283</v>
      </c>
      <c r="G548" s="2">
        <v>3430</v>
      </c>
      <c r="H548" s="2">
        <v>15.65</v>
      </c>
      <c r="I548" s="15">
        <v>0.55903899999999995</v>
      </c>
      <c r="J548" s="15">
        <v>0.33919300000000002</v>
      </c>
      <c r="AC548" s="2">
        <v>7.7720000000000002</v>
      </c>
      <c r="AD548" s="2">
        <v>30.86</v>
      </c>
      <c r="AE548" s="2">
        <v>60.92</v>
      </c>
      <c r="AF548" s="2">
        <v>15.65</v>
      </c>
      <c r="AG548" s="14" t="s">
        <v>773</v>
      </c>
      <c r="AH548" s="2">
        <v>10.82</v>
      </c>
      <c r="AI548" s="14" t="s">
        <v>773</v>
      </c>
      <c r="AJ548" s="14" t="s">
        <v>773</v>
      </c>
      <c r="AK548" s="19">
        <v>0.35625000000000001</v>
      </c>
      <c r="AL548" s="8">
        <f>(8+(33/60))*AH548</f>
        <v>92.51100000000001</v>
      </c>
    </row>
    <row r="549" spans="1:38" x14ac:dyDescent="0.2">
      <c r="C549" s="2">
        <v>683</v>
      </c>
      <c r="D549" t="s">
        <v>1432</v>
      </c>
      <c r="J549" s="15"/>
      <c r="AC549" s="2"/>
      <c r="AE549" s="2"/>
      <c r="AF549" s="2"/>
      <c r="AG549" s="14"/>
      <c r="AH549" s="2"/>
      <c r="AI549" s="14"/>
      <c r="AJ549" s="14"/>
      <c r="AK549" s="19"/>
      <c r="AL549" s="8"/>
    </row>
    <row r="550" spans="1:38" x14ac:dyDescent="0.2">
      <c r="C550" s="2">
        <v>695</v>
      </c>
      <c r="D550" t="s">
        <v>1437</v>
      </c>
      <c r="J550" s="15"/>
      <c r="AC550" s="2"/>
      <c r="AE550" s="2"/>
      <c r="AF550" s="2"/>
      <c r="AG550" s="14"/>
      <c r="AH550" s="2"/>
      <c r="AI550" s="14"/>
      <c r="AJ550" s="14"/>
      <c r="AK550" s="19"/>
      <c r="AL550" s="8"/>
    </row>
    <row r="551" spans="1:38" x14ac:dyDescent="0.2">
      <c r="A551" s="2">
        <v>326</v>
      </c>
      <c r="B551" s="2">
        <v>626</v>
      </c>
      <c r="C551" s="2">
        <v>710</v>
      </c>
      <c r="D551" t="s">
        <v>347</v>
      </c>
      <c r="H551" s="2">
        <v>84.53</v>
      </c>
      <c r="I551" s="15">
        <v>2.504</v>
      </c>
      <c r="J551" s="15">
        <v>2.1749999999999998</v>
      </c>
      <c r="AC551" s="2">
        <v>39.85</v>
      </c>
      <c r="AD551" s="2">
        <v>55.32</v>
      </c>
      <c r="AE551" s="2">
        <v>70.13</v>
      </c>
      <c r="AF551" s="14" t="s">
        <v>773</v>
      </c>
      <c r="AG551" s="14" t="s">
        <v>773</v>
      </c>
      <c r="AH551" s="14" t="s">
        <v>773</v>
      </c>
      <c r="AI551" s="14" t="s">
        <v>773</v>
      </c>
      <c r="AJ551" s="14" t="s">
        <v>773</v>
      </c>
      <c r="AK551" s="19">
        <v>0.1076388888888889</v>
      </c>
      <c r="AL551" s="8">
        <f>(2+(35/60))*AE551</f>
        <v>181.16916666666665</v>
      </c>
    </row>
    <row r="552" spans="1:38" x14ac:dyDescent="0.2">
      <c r="C552" s="2">
        <v>752</v>
      </c>
      <c r="D552" t="s">
        <v>1434</v>
      </c>
      <c r="J552" s="15"/>
      <c r="AC552" s="2"/>
      <c r="AE552" s="2"/>
      <c r="AF552" s="14"/>
      <c r="AG552" s="14"/>
      <c r="AH552" s="14"/>
      <c r="AI552" s="14"/>
      <c r="AJ552" s="14"/>
      <c r="AK552" s="19"/>
      <c r="AL552" s="8"/>
    </row>
    <row r="553" spans="1:38" x14ac:dyDescent="0.2">
      <c r="C553" s="2">
        <v>775</v>
      </c>
      <c r="D553" t="s">
        <v>1464</v>
      </c>
      <c r="J553" s="15"/>
      <c r="AC553" s="2"/>
      <c r="AE553" s="2"/>
      <c r="AF553" s="14"/>
      <c r="AG553" s="14"/>
      <c r="AH553" s="14"/>
      <c r="AI553" s="14"/>
      <c r="AJ553" s="14"/>
      <c r="AK553" s="19"/>
      <c r="AL553" s="8"/>
    </row>
    <row r="554" spans="1:38" x14ac:dyDescent="0.2">
      <c r="C554" s="2">
        <v>791</v>
      </c>
      <c r="D554" t="s">
        <v>1433</v>
      </c>
      <c r="J554" s="15"/>
      <c r="AC554" s="2"/>
      <c r="AE554" s="2"/>
      <c r="AF554" s="14"/>
      <c r="AG554" s="14"/>
      <c r="AH554" s="14"/>
      <c r="AI554" s="14"/>
      <c r="AJ554" s="14"/>
      <c r="AK554" s="19"/>
      <c r="AL554" s="8"/>
    </row>
    <row r="555" spans="1:38" x14ac:dyDescent="0.2">
      <c r="A555" s="2">
        <v>548</v>
      </c>
      <c r="B555" s="2" t="s">
        <v>773</v>
      </c>
      <c r="C555" s="2">
        <v>799</v>
      </c>
      <c r="D555" t="s">
        <v>356</v>
      </c>
      <c r="E555" t="s">
        <v>1234</v>
      </c>
      <c r="G555" s="2">
        <v>0</v>
      </c>
      <c r="H555" s="2">
        <v>69.55</v>
      </c>
      <c r="I555" s="15">
        <v>2.484</v>
      </c>
      <c r="J555" s="15">
        <v>2.1949999999999998</v>
      </c>
      <c r="AC555" s="2">
        <v>27.42</v>
      </c>
      <c r="AD555" s="2">
        <v>69.86</v>
      </c>
      <c r="AE555" s="2">
        <v>69.55</v>
      </c>
      <c r="AF555" s="14" t="s">
        <v>773</v>
      </c>
      <c r="AG555" s="14" t="s">
        <v>773</v>
      </c>
      <c r="AH555" s="14" t="s">
        <v>773</v>
      </c>
      <c r="AI555" s="14" t="s">
        <v>773</v>
      </c>
      <c r="AJ555" s="57" t="s">
        <v>773</v>
      </c>
      <c r="AK555" s="19">
        <v>6.805555555555555E-2</v>
      </c>
      <c r="AL555" s="8">
        <f>(1+(38/60))*AE555</f>
        <v>113.59833333333333</v>
      </c>
    </row>
    <row r="556" spans="1:38" s="3" customFormat="1" x14ac:dyDescent="0.2">
      <c r="A556" s="4"/>
      <c r="B556" s="4"/>
      <c r="C556" s="4">
        <v>818</v>
      </c>
      <c r="D556" s="3" t="s">
        <v>1429</v>
      </c>
      <c r="G556" s="4"/>
      <c r="H556" s="4"/>
      <c r="I556" s="16"/>
      <c r="J556" s="16"/>
      <c r="K556" s="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4"/>
      <c r="AD556" s="4"/>
      <c r="AE556" s="4"/>
      <c r="AF556" s="46"/>
      <c r="AG556" s="46"/>
      <c r="AH556" s="46"/>
      <c r="AI556" s="46"/>
      <c r="AJ556" s="58"/>
      <c r="AK556" s="23"/>
      <c r="AL556" s="47"/>
    </row>
    <row r="557" spans="1:38" s="3" customFormat="1" x14ac:dyDescent="0.2">
      <c r="A557" s="4"/>
      <c r="B557" s="4"/>
      <c r="C557" s="2">
        <v>838</v>
      </c>
      <c r="D557" t="s">
        <v>1468</v>
      </c>
      <c r="G557" s="4"/>
      <c r="H557" s="4"/>
      <c r="I557" s="16"/>
      <c r="J557" s="16"/>
      <c r="K557" s="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4"/>
      <c r="AD557" s="4"/>
      <c r="AE557" s="4"/>
      <c r="AF557" s="46"/>
      <c r="AG557" s="46"/>
      <c r="AH557" s="46"/>
      <c r="AI557" s="46"/>
      <c r="AJ557" s="58"/>
      <c r="AK557" s="23"/>
      <c r="AL557" s="47"/>
    </row>
    <row r="558" spans="1:38" s="3" customFormat="1" x14ac:dyDescent="0.2">
      <c r="A558" s="4"/>
      <c r="B558" s="4"/>
      <c r="C558" s="4">
        <v>885</v>
      </c>
      <c r="D558" s="3" t="s">
        <v>1436</v>
      </c>
      <c r="G558" s="4"/>
      <c r="H558" s="4"/>
      <c r="I558" s="16"/>
      <c r="J558" s="16"/>
      <c r="K558" s="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4"/>
      <c r="AD558" s="4"/>
      <c r="AE558" s="4"/>
      <c r="AF558" s="46"/>
      <c r="AG558" s="46"/>
      <c r="AH558" s="46"/>
      <c r="AI558" s="46"/>
      <c r="AJ558" s="58"/>
      <c r="AK558" s="23"/>
      <c r="AL558" s="47"/>
    </row>
    <row r="559" spans="1:38" s="3" customFormat="1" x14ac:dyDescent="0.2">
      <c r="A559" s="4"/>
      <c r="B559" s="4"/>
      <c r="C559" s="2">
        <v>895</v>
      </c>
      <c r="D559" t="s">
        <v>1467</v>
      </c>
      <c r="G559" s="4"/>
      <c r="H559" s="4"/>
      <c r="I559" s="16"/>
      <c r="J559" s="16"/>
      <c r="K559" s="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4"/>
      <c r="AD559" s="4"/>
      <c r="AE559" s="4"/>
      <c r="AF559" s="46"/>
      <c r="AG559" s="46"/>
      <c r="AH559" s="46"/>
      <c r="AI559" s="46"/>
      <c r="AJ559" s="58"/>
      <c r="AK559" s="23"/>
      <c r="AL559" s="47"/>
    </row>
    <row r="560" spans="1:38" x14ac:dyDescent="0.2">
      <c r="A560" s="2">
        <v>206</v>
      </c>
      <c r="B560" s="2">
        <v>765</v>
      </c>
      <c r="C560" s="2">
        <v>902</v>
      </c>
      <c r="D560" t="s">
        <v>264</v>
      </c>
      <c r="H560" s="2">
        <v>16.64</v>
      </c>
      <c r="I560" s="15">
        <v>0.59441699999999997</v>
      </c>
      <c r="J560" s="15">
        <v>0.44917699999999999</v>
      </c>
      <c r="AC560" s="2">
        <v>15.03</v>
      </c>
      <c r="AD560" s="2">
        <v>20.25</v>
      </c>
      <c r="AE560" s="2">
        <v>35.54</v>
      </c>
      <c r="AF560" s="2">
        <v>16.64</v>
      </c>
      <c r="AG560" s="14" t="s">
        <v>773</v>
      </c>
      <c r="AH560" s="14" t="s">
        <v>773</v>
      </c>
      <c r="AI560" s="14" t="s">
        <v>773</v>
      </c>
      <c r="AJ560" s="14" t="s">
        <v>773</v>
      </c>
      <c r="AK560" s="19">
        <v>0.21527777777777779</v>
      </c>
      <c r="AL560" s="8">
        <f>(5+(10/60))*AF560</f>
        <v>85.973333333333343</v>
      </c>
    </row>
    <row r="561" spans="1:38" x14ac:dyDescent="0.2">
      <c r="C561" s="2">
        <v>906</v>
      </c>
      <c r="D561" t="s">
        <v>1438</v>
      </c>
      <c r="J561" s="15"/>
      <c r="AC561" s="2"/>
      <c r="AE561" s="2"/>
      <c r="AF561" s="2"/>
      <c r="AG561" s="14"/>
      <c r="AH561" s="14"/>
      <c r="AI561" s="14"/>
      <c r="AJ561" s="14"/>
      <c r="AK561" s="19"/>
      <c r="AL561" s="8"/>
    </row>
    <row r="562" spans="1:38" x14ac:dyDescent="0.2">
      <c r="C562" s="2">
        <v>918</v>
      </c>
      <c r="D562" t="s">
        <v>1442</v>
      </c>
      <c r="J562" s="15"/>
      <c r="AC562" s="2"/>
      <c r="AE562" s="2"/>
      <c r="AF562" s="2"/>
      <c r="AG562" s="14"/>
      <c r="AH562" s="14"/>
      <c r="AI562" s="14"/>
      <c r="AJ562" s="14"/>
      <c r="AK562" s="19"/>
      <c r="AL562" s="8"/>
    </row>
    <row r="563" spans="1:38" x14ac:dyDescent="0.2">
      <c r="C563" s="2">
        <v>918</v>
      </c>
      <c r="D563" t="s">
        <v>1465</v>
      </c>
      <c r="J563" s="15"/>
      <c r="AC563" s="2"/>
      <c r="AE563" s="2"/>
      <c r="AF563" s="2"/>
      <c r="AG563" s="14"/>
      <c r="AH563" s="14"/>
      <c r="AI563" s="14"/>
      <c r="AJ563" s="14"/>
      <c r="AK563" s="19"/>
      <c r="AL563" s="8"/>
    </row>
    <row r="564" spans="1:38" x14ac:dyDescent="0.2">
      <c r="C564" s="2">
        <v>927</v>
      </c>
      <c r="D564" t="s">
        <v>1469</v>
      </c>
      <c r="J564" s="15"/>
      <c r="AC564" s="2"/>
      <c r="AE564" s="2"/>
      <c r="AF564" s="2"/>
      <c r="AG564" s="14"/>
      <c r="AH564" s="14"/>
      <c r="AI564" s="14"/>
      <c r="AJ564" s="14"/>
      <c r="AK564" s="19"/>
      <c r="AL564" s="8"/>
    </row>
    <row r="565" spans="1:38" x14ac:dyDescent="0.2">
      <c r="C565" s="2">
        <v>945</v>
      </c>
      <c r="D565" t="s">
        <v>1186</v>
      </c>
      <c r="J565" s="15"/>
      <c r="AC565" s="2"/>
      <c r="AE565" s="2"/>
      <c r="AF565" s="2"/>
      <c r="AG565" s="14"/>
      <c r="AH565" s="14"/>
      <c r="AI565" s="14"/>
      <c r="AJ565" s="14"/>
      <c r="AK565" s="19"/>
      <c r="AL565" s="8"/>
    </row>
    <row r="566" spans="1:38" x14ac:dyDescent="0.2">
      <c r="C566" s="2">
        <v>948</v>
      </c>
      <c r="D566" t="s">
        <v>1439</v>
      </c>
      <c r="J566" s="15"/>
      <c r="AC566" s="2"/>
      <c r="AE566" s="2"/>
      <c r="AF566" s="2"/>
      <c r="AG566" s="14"/>
      <c r="AH566" s="14"/>
      <c r="AI566" s="14"/>
      <c r="AJ566" s="14"/>
      <c r="AK566" s="19"/>
      <c r="AL566" s="8"/>
    </row>
    <row r="567" spans="1:38" x14ac:dyDescent="0.2">
      <c r="C567" s="2">
        <v>951</v>
      </c>
      <c r="D567" t="s">
        <v>1466</v>
      </c>
      <c r="J567" s="15"/>
      <c r="AC567" s="2"/>
      <c r="AE567" s="2"/>
      <c r="AF567" s="2"/>
      <c r="AG567" s="14"/>
      <c r="AH567" s="14"/>
      <c r="AI567" s="14"/>
      <c r="AJ567" s="14"/>
      <c r="AK567" s="19"/>
      <c r="AL567" s="8"/>
    </row>
    <row r="568" spans="1:38" x14ac:dyDescent="0.2">
      <c r="C568" s="2">
        <v>967</v>
      </c>
      <c r="D568" t="s">
        <v>1430</v>
      </c>
      <c r="J568" s="15"/>
      <c r="AC568" s="2"/>
      <c r="AE568" s="2"/>
      <c r="AF568" s="2"/>
      <c r="AG568" s="14"/>
      <c r="AH568" s="14"/>
      <c r="AI568" s="14"/>
      <c r="AJ568" s="14"/>
      <c r="AK568" s="19"/>
      <c r="AL568" s="8"/>
    </row>
    <row r="569" spans="1:38" x14ac:dyDescent="0.2">
      <c r="C569" s="2">
        <v>993</v>
      </c>
      <c r="D569" t="s">
        <v>1441</v>
      </c>
      <c r="J569" s="15"/>
      <c r="AC569" s="2"/>
      <c r="AE569" s="2"/>
      <c r="AF569" s="2"/>
      <c r="AG569" s="14"/>
      <c r="AH569" s="14"/>
      <c r="AI569" s="14"/>
      <c r="AJ569" s="14"/>
      <c r="AK569" s="19"/>
      <c r="AL569" s="8"/>
    </row>
    <row r="570" spans="1:38" x14ac:dyDescent="0.2">
      <c r="C570" s="2">
        <v>994</v>
      </c>
      <c r="D570" t="s">
        <v>1440</v>
      </c>
      <c r="J570" s="15"/>
      <c r="AC570" s="2"/>
      <c r="AE570" s="2"/>
      <c r="AF570" s="2"/>
      <c r="AG570" s="14"/>
      <c r="AH570" s="14"/>
      <c r="AI570" s="14"/>
      <c r="AJ570" s="14"/>
      <c r="AK570" s="19"/>
      <c r="AL570" s="8"/>
    </row>
    <row r="571" spans="1:38" x14ac:dyDescent="0.2">
      <c r="C571" s="2">
        <v>998</v>
      </c>
      <c r="D571" t="s">
        <v>1443</v>
      </c>
      <c r="J571" s="15"/>
      <c r="AC571" s="2"/>
      <c r="AE571" s="2"/>
      <c r="AF571" s="2"/>
      <c r="AG571" s="14"/>
      <c r="AH571" s="14"/>
      <c r="AI571" s="14"/>
      <c r="AJ571" s="14"/>
      <c r="AK571" s="19"/>
      <c r="AL571" s="8"/>
    </row>
    <row r="572" spans="1:38" x14ac:dyDescent="0.2">
      <c r="B572" s="2">
        <v>1226</v>
      </c>
      <c r="D572" t="s">
        <v>1338</v>
      </c>
      <c r="J572" s="15"/>
      <c r="AC572" s="2">
        <v>30.5</v>
      </c>
      <c r="AE572" s="2"/>
      <c r="AF572" s="2"/>
      <c r="AG572" s="14"/>
      <c r="AH572" s="2"/>
      <c r="AI572" s="14"/>
      <c r="AJ572" s="14"/>
      <c r="AK572" s="19"/>
      <c r="AL572" s="8"/>
    </row>
    <row r="573" spans="1:38" x14ac:dyDescent="0.2">
      <c r="A573" s="2">
        <v>4977</v>
      </c>
      <c r="B573" s="2">
        <v>1038</v>
      </c>
      <c r="C573" s="2">
        <v>1064</v>
      </c>
      <c r="D573" t="s">
        <v>157</v>
      </c>
      <c r="H573" s="2">
        <v>699.7</v>
      </c>
      <c r="I573" s="15">
        <v>24.99</v>
      </c>
      <c r="J573" s="15">
        <v>21.46</v>
      </c>
      <c r="AC573" s="2">
        <v>33.79</v>
      </c>
      <c r="AD573" s="2">
        <v>47.6</v>
      </c>
      <c r="AE573" s="2">
        <v>58.86</v>
      </c>
      <c r="AF573" s="2">
        <v>699.7</v>
      </c>
      <c r="AG573" s="14" t="s">
        <v>773</v>
      </c>
      <c r="AH573" s="2" t="s">
        <v>773</v>
      </c>
      <c r="AI573" s="14" t="s">
        <v>773</v>
      </c>
      <c r="AJ573" s="14" t="s">
        <v>773</v>
      </c>
      <c r="AK573" s="19">
        <v>5.0694444444444452E-2</v>
      </c>
      <c r="AL573" s="8">
        <f>(1+(13/60))*AF573</f>
        <v>851.30166666666685</v>
      </c>
    </row>
    <row r="574" spans="1:38" s="3" customFormat="1" x14ac:dyDescent="0.2">
      <c r="A574" s="4">
        <v>368</v>
      </c>
      <c r="B574" s="2">
        <v>816</v>
      </c>
      <c r="C574" s="4">
        <v>1132</v>
      </c>
      <c r="D574" s="3" t="s">
        <v>284</v>
      </c>
      <c r="E574" s="3" t="s">
        <v>540</v>
      </c>
      <c r="F574" s="3" t="s">
        <v>1284</v>
      </c>
      <c r="G574" s="4">
        <v>0</v>
      </c>
      <c r="H574" s="4">
        <v>45.02</v>
      </c>
      <c r="I574" s="16">
        <v>1.607</v>
      </c>
      <c r="J574" s="16">
        <v>1.444</v>
      </c>
      <c r="K574" s="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4">
        <v>23.37</v>
      </c>
      <c r="AD574" s="4">
        <v>42.89</v>
      </c>
      <c r="AE574" s="4">
        <v>52.37</v>
      </c>
      <c r="AF574" s="4">
        <v>45.02</v>
      </c>
      <c r="AG574" s="46" t="s">
        <v>773</v>
      </c>
      <c r="AH574" s="46" t="s">
        <v>773</v>
      </c>
      <c r="AI574" s="46" t="s">
        <v>773</v>
      </c>
      <c r="AJ574" s="46" t="s">
        <v>773</v>
      </c>
      <c r="AK574" s="23">
        <v>7.7083333333333337E-2</v>
      </c>
      <c r="AL574" s="47">
        <f>(1+(51/60))*AF574</f>
        <v>83.287000000000006</v>
      </c>
    </row>
    <row r="575" spans="1:38" x14ac:dyDescent="0.2">
      <c r="A575" s="2">
        <v>372</v>
      </c>
      <c r="B575" s="2">
        <v>38</v>
      </c>
      <c r="C575" s="2">
        <v>1157</v>
      </c>
      <c r="D575" t="s">
        <v>271</v>
      </c>
      <c r="H575" s="2">
        <v>49.78</v>
      </c>
      <c r="I575" s="15">
        <v>1.778</v>
      </c>
      <c r="J575" s="15">
        <v>1.613</v>
      </c>
      <c r="AC575" s="2">
        <v>26.62</v>
      </c>
      <c r="AD575" s="2">
        <v>60.6</v>
      </c>
      <c r="AE575" s="2">
        <v>50.89</v>
      </c>
      <c r="AF575" s="2">
        <v>49.78</v>
      </c>
      <c r="AG575" s="14" t="s">
        <v>773</v>
      </c>
      <c r="AH575" s="14" t="s">
        <v>773</v>
      </c>
      <c r="AI575" s="14" t="s">
        <v>773</v>
      </c>
      <c r="AJ575" s="14" t="s">
        <v>773</v>
      </c>
      <c r="AK575" s="19">
        <v>5.2777777777777778E-2</v>
      </c>
      <c r="AL575" s="8">
        <f>(1+(16/60))*AF575</f>
        <v>63.054666666666662</v>
      </c>
    </row>
    <row r="576" spans="1:38" x14ac:dyDescent="0.2">
      <c r="A576" s="2">
        <v>650</v>
      </c>
      <c r="B576" s="4">
        <v>1123</v>
      </c>
      <c r="C576" s="2">
        <v>1164</v>
      </c>
      <c r="D576" t="s">
        <v>316</v>
      </c>
      <c r="E576" t="s">
        <v>0</v>
      </c>
      <c r="G576" s="2">
        <v>1000000</v>
      </c>
      <c r="H576" s="2">
        <v>76.150000000000006</v>
      </c>
      <c r="I576" s="15">
        <v>2.7189999999999999</v>
      </c>
      <c r="J576" s="15">
        <v>1.8149999999999999</v>
      </c>
      <c r="AC576" s="2">
        <v>182.9</v>
      </c>
      <c r="AD576" s="2">
        <v>68.61</v>
      </c>
      <c r="AE576" s="2">
        <v>72.599999999999994</v>
      </c>
      <c r="AF576" s="2">
        <v>76.150000000000006</v>
      </c>
      <c r="AG576" s="14" t="s">
        <v>773</v>
      </c>
      <c r="AH576" s="14" t="s">
        <v>773</v>
      </c>
      <c r="AI576" s="14" t="s">
        <v>773</v>
      </c>
      <c r="AJ576" s="14" t="s">
        <v>773</v>
      </c>
      <c r="AK576" s="19">
        <v>2.0833333333333332E-2</v>
      </c>
      <c r="AL576" s="8">
        <f>AF576*0.5</f>
        <v>38.075000000000003</v>
      </c>
    </row>
    <row r="577" spans="1:38" x14ac:dyDescent="0.2">
      <c r="A577" s="2">
        <v>5298</v>
      </c>
      <c r="B577" s="2">
        <v>1087</v>
      </c>
      <c r="C577" s="2">
        <v>1195</v>
      </c>
      <c r="D577" t="s">
        <v>1266</v>
      </c>
      <c r="J577" s="15"/>
      <c r="K577" s="4"/>
      <c r="AC577" s="2">
        <v>76.239999999999995</v>
      </c>
      <c r="AD577" s="2">
        <v>36.979999999999997</v>
      </c>
      <c r="AE577" s="2">
        <v>53.91</v>
      </c>
      <c r="AF577" s="2" t="s">
        <v>773</v>
      </c>
      <c r="AG577" s="2" t="s">
        <v>773</v>
      </c>
      <c r="AH577" s="2" t="s">
        <v>773</v>
      </c>
      <c r="AI577" s="2" t="s">
        <v>773</v>
      </c>
      <c r="AJ577" s="2" t="s">
        <v>773</v>
      </c>
      <c r="AK577" s="19">
        <v>7.2916666666666671E-2</v>
      </c>
      <c r="AL577" s="8">
        <f>(1+(45/60))*AE577</f>
        <v>94.342500000000001</v>
      </c>
    </row>
    <row r="578" spans="1:38" x14ac:dyDescent="0.2">
      <c r="A578" s="2">
        <v>582</v>
      </c>
      <c r="B578" s="2" t="s">
        <v>773</v>
      </c>
      <c r="C578" s="2">
        <v>1211</v>
      </c>
      <c r="D578" t="s">
        <v>238</v>
      </c>
      <c r="E578" t="s">
        <v>562</v>
      </c>
      <c r="G578" s="2">
        <v>66370</v>
      </c>
      <c r="H578" s="2">
        <v>53.81</v>
      </c>
      <c r="I578" s="15">
        <v>1.921</v>
      </c>
      <c r="J578" s="15">
        <v>1.4570000000000001</v>
      </c>
      <c r="AC578" s="2">
        <v>35.1</v>
      </c>
      <c r="AD578" s="2">
        <v>38.89</v>
      </c>
      <c r="AE578" s="2">
        <v>37.61</v>
      </c>
      <c r="AF578" s="57">
        <v>53.81</v>
      </c>
      <c r="AG578" s="57" t="s">
        <v>773</v>
      </c>
      <c r="AH578" s="57">
        <v>78.05</v>
      </c>
      <c r="AI578" s="57" t="s">
        <v>773</v>
      </c>
      <c r="AJ578" s="57" t="s">
        <v>773</v>
      </c>
      <c r="AK578" s="19">
        <v>0.32569444444444445</v>
      </c>
      <c r="AL578" s="8">
        <f>(7+(49/60))*AH578</f>
        <v>610.09083333333331</v>
      </c>
    </row>
    <row r="579" spans="1:38" x14ac:dyDescent="0.2">
      <c r="A579" s="2">
        <v>835</v>
      </c>
      <c r="B579" s="2">
        <v>1303</v>
      </c>
      <c r="C579" s="2">
        <v>2667</v>
      </c>
      <c r="D579" t="s">
        <v>340</v>
      </c>
      <c r="H579" s="2">
        <v>34.44</v>
      </c>
      <c r="I579" s="15">
        <v>1.23</v>
      </c>
      <c r="J579" s="15">
        <v>1.048</v>
      </c>
      <c r="AC579" s="2">
        <v>25.82</v>
      </c>
      <c r="AD579" s="2">
        <v>37.19</v>
      </c>
      <c r="AE579" s="2">
        <v>34.44</v>
      </c>
      <c r="AF579" s="14" t="s">
        <v>773</v>
      </c>
      <c r="AG579" s="14" t="s">
        <v>773</v>
      </c>
      <c r="AH579" s="14" t="s">
        <v>773</v>
      </c>
      <c r="AI579" s="14" t="s">
        <v>773</v>
      </c>
      <c r="AJ579" s="14" t="s">
        <v>773</v>
      </c>
      <c r="AK579" s="19">
        <v>6.6666666666666666E-2</v>
      </c>
      <c r="AL579" s="8">
        <f>(2+(7/60))*AE579</f>
        <v>72.897999999999996</v>
      </c>
    </row>
    <row r="580" spans="1:38" x14ac:dyDescent="0.2">
      <c r="A580" s="2">
        <v>17357</v>
      </c>
      <c r="B580" s="2">
        <v>291</v>
      </c>
      <c r="C580" s="2">
        <v>57771</v>
      </c>
      <c r="D580" t="s">
        <v>176</v>
      </c>
      <c r="F580" t="s">
        <v>1237</v>
      </c>
      <c r="H580" s="2">
        <v>63.58</v>
      </c>
      <c r="I580" s="15">
        <v>1.6850000000000001</v>
      </c>
      <c r="J580" s="15">
        <v>1.552</v>
      </c>
      <c r="K580" s="2">
        <v>39.81</v>
      </c>
      <c r="AC580" s="2">
        <v>1.262</v>
      </c>
      <c r="AD580" s="2">
        <v>19.29</v>
      </c>
      <c r="AE580" s="2">
        <v>41.9</v>
      </c>
      <c r="AF580" s="2">
        <v>47.16</v>
      </c>
      <c r="AG580" s="14" t="s">
        <v>773</v>
      </c>
      <c r="AH580" s="2">
        <v>65.3</v>
      </c>
      <c r="AI580" s="14" t="s">
        <v>773</v>
      </c>
      <c r="AJ580" s="14" t="s">
        <v>773</v>
      </c>
      <c r="AK580" s="19">
        <v>3.1944444444444442E-2</v>
      </c>
      <c r="AL580" s="8">
        <f>(1+(13/60))*AH580</f>
        <v>79.448333333333338</v>
      </c>
    </row>
    <row r="581" spans="1:38" x14ac:dyDescent="0.2">
      <c r="A581" s="2">
        <v>1047</v>
      </c>
      <c r="B581" s="4">
        <v>411</v>
      </c>
      <c r="C581" s="2">
        <v>2225</v>
      </c>
      <c r="D581" t="s">
        <v>235</v>
      </c>
      <c r="E581" t="s">
        <v>1234</v>
      </c>
      <c r="F581" t="s">
        <v>1234</v>
      </c>
      <c r="G581" s="2">
        <v>0</v>
      </c>
      <c r="H581" s="2">
        <v>29.85</v>
      </c>
      <c r="I581" s="15">
        <v>1.0660000000000001</v>
      </c>
      <c r="J581" s="15">
        <v>0.95082100000000003</v>
      </c>
      <c r="AC581" s="2">
        <v>26.06</v>
      </c>
      <c r="AD581" s="2">
        <v>35.19</v>
      </c>
      <c r="AE581" s="2">
        <v>33.67</v>
      </c>
      <c r="AF581" s="2">
        <v>29.85</v>
      </c>
      <c r="AG581" s="2" t="s">
        <v>773</v>
      </c>
      <c r="AH581" s="2">
        <v>34.020000000000003</v>
      </c>
      <c r="AI581" s="2" t="s">
        <v>773</v>
      </c>
      <c r="AJ581" s="2" t="s">
        <v>773</v>
      </c>
      <c r="AK581" s="19">
        <v>6.6666666666666666E-2</v>
      </c>
      <c r="AL581" s="8">
        <f>(1+(36/60))*AH581</f>
        <v>54.432000000000009</v>
      </c>
    </row>
    <row r="582" spans="1:38" x14ac:dyDescent="0.2">
      <c r="A582" s="2">
        <v>2930</v>
      </c>
      <c r="B582" s="2">
        <v>420</v>
      </c>
      <c r="C582" s="2">
        <v>2083</v>
      </c>
      <c r="D582" t="s">
        <v>270</v>
      </c>
      <c r="F582" s="2">
        <v>403</v>
      </c>
      <c r="H582" s="2">
        <v>160.4</v>
      </c>
      <c r="I582" s="15">
        <v>5.73</v>
      </c>
      <c r="J582" s="15">
        <v>3.0960000000000001</v>
      </c>
      <c r="AC582" s="2">
        <v>57.09</v>
      </c>
      <c r="AD582" s="2">
        <v>41.53</v>
      </c>
      <c r="AE582" s="2">
        <v>59.52</v>
      </c>
      <c r="AF582" s="2">
        <v>160.4</v>
      </c>
      <c r="AG582" s="14" t="s">
        <v>773</v>
      </c>
      <c r="AH582" s="14" t="s">
        <v>773</v>
      </c>
      <c r="AI582" s="14" t="s">
        <v>773</v>
      </c>
      <c r="AJ582" s="14" t="s">
        <v>773</v>
      </c>
      <c r="AK582" s="19">
        <v>6.9444444444444448E-2</v>
      </c>
      <c r="AL582" s="8">
        <f>(1+(46/60))*AF582</f>
        <v>283.37333333333333</v>
      </c>
    </row>
    <row r="583" spans="1:38" x14ac:dyDescent="0.2">
      <c r="A583" s="2">
        <v>1276</v>
      </c>
      <c r="B583" s="2">
        <v>338</v>
      </c>
      <c r="C583" s="2">
        <v>3351</v>
      </c>
      <c r="D583" t="s">
        <v>338</v>
      </c>
      <c r="E583" t="s">
        <v>6</v>
      </c>
      <c r="F583" s="2" t="s">
        <v>1269</v>
      </c>
      <c r="H583" s="2">
        <v>28.76</v>
      </c>
      <c r="I583" s="15">
        <v>1.0269999999999999</v>
      </c>
      <c r="J583" s="16">
        <v>0.74551100000000003</v>
      </c>
      <c r="AC583" s="2">
        <v>19</v>
      </c>
      <c r="AD583" s="2">
        <v>37.93</v>
      </c>
      <c r="AE583" s="2">
        <v>28.76</v>
      </c>
      <c r="AF583" s="14" t="s">
        <v>773</v>
      </c>
      <c r="AG583" s="14" t="s">
        <v>773</v>
      </c>
      <c r="AH583" s="14" t="s">
        <v>773</v>
      </c>
      <c r="AI583" s="14" t="s">
        <v>773</v>
      </c>
      <c r="AJ583" s="14" t="s">
        <v>773</v>
      </c>
      <c r="AK583" s="19">
        <v>0.11597222222222223</v>
      </c>
      <c r="AL583" s="8">
        <f>(2+(47/60))*AE583</f>
        <v>80.048666666666662</v>
      </c>
    </row>
    <row r="584" spans="1:38" x14ac:dyDescent="0.2">
      <c r="A584" s="2">
        <v>718</v>
      </c>
      <c r="B584" s="2">
        <v>335</v>
      </c>
      <c r="C584" s="2">
        <v>3720</v>
      </c>
      <c r="D584" t="s">
        <v>234</v>
      </c>
      <c r="E584" t="s">
        <v>538</v>
      </c>
      <c r="F584" t="s">
        <v>1269</v>
      </c>
      <c r="G584" s="2">
        <v>178000</v>
      </c>
      <c r="H584" s="2">
        <v>28.6</v>
      </c>
      <c r="I584" s="15">
        <v>1.0209999999999999</v>
      </c>
      <c r="J584" s="15">
        <v>0.74318200000000001</v>
      </c>
      <c r="AC584" s="2">
        <v>21.4</v>
      </c>
      <c r="AD584" s="2">
        <v>42.37</v>
      </c>
      <c r="AE584" s="2">
        <v>38.380000000000003</v>
      </c>
      <c r="AF584" s="2">
        <v>28.6</v>
      </c>
      <c r="AG584" s="2" t="s">
        <v>773</v>
      </c>
      <c r="AH584" s="2">
        <v>23.54</v>
      </c>
      <c r="AI584" s="2" t="s">
        <v>773</v>
      </c>
      <c r="AJ584" s="2" t="s">
        <v>773</v>
      </c>
      <c r="AK584" s="19">
        <v>9.0972222222222218E-2</v>
      </c>
      <c r="AL584" s="8">
        <f>(2+(11/60))*AH584</f>
        <v>51.395666666666656</v>
      </c>
    </row>
    <row r="585" spans="1:38" x14ac:dyDescent="0.2">
      <c r="A585" s="2">
        <v>795</v>
      </c>
      <c r="B585" s="2">
        <v>336</v>
      </c>
      <c r="C585" s="2">
        <v>4529</v>
      </c>
      <c r="D585" t="s">
        <v>249</v>
      </c>
      <c r="F585" t="s">
        <v>1280</v>
      </c>
      <c r="H585" s="2">
        <v>38.99</v>
      </c>
      <c r="I585" s="15">
        <v>1.3919999999999999</v>
      </c>
      <c r="J585" s="15">
        <v>0.91042699999999999</v>
      </c>
      <c r="AC585" s="2">
        <v>16.149999999999999</v>
      </c>
      <c r="AD585" s="2">
        <v>36.08</v>
      </c>
      <c r="AE585" s="2">
        <v>33.92</v>
      </c>
      <c r="AF585" s="57">
        <v>38.99</v>
      </c>
      <c r="AG585" s="57" t="s">
        <v>773</v>
      </c>
      <c r="AH585" s="57">
        <v>38.130000000000003</v>
      </c>
      <c r="AI585" s="57" t="s">
        <v>773</v>
      </c>
      <c r="AJ585" s="57" t="s">
        <v>773</v>
      </c>
      <c r="AK585" s="19">
        <v>0.12847222222222224</v>
      </c>
      <c r="AL585" s="8">
        <f>(3+(5/60))*AH585</f>
        <v>117.56750000000001</v>
      </c>
    </row>
    <row r="586" spans="1:38" x14ac:dyDescent="0.2">
      <c r="A586" s="2">
        <v>748</v>
      </c>
      <c r="B586" s="2">
        <v>526</v>
      </c>
      <c r="C586" s="2">
        <v>3490</v>
      </c>
      <c r="D586" t="s">
        <v>343</v>
      </c>
      <c r="E586" t="s">
        <v>6</v>
      </c>
      <c r="F586" t="s">
        <v>1312</v>
      </c>
      <c r="H586" s="2">
        <v>28.32</v>
      </c>
      <c r="I586" s="15">
        <v>1.0109999999999999</v>
      </c>
      <c r="J586" s="15">
        <v>0.47144599999999998</v>
      </c>
      <c r="AC586" s="2">
        <v>17.79</v>
      </c>
      <c r="AD586" s="2">
        <v>29.15</v>
      </c>
      <c r="AE586" s="2">
        <v>28.32</v>
      </c>
      <c r="AF586" s="14" t="s">
        <v>773</v>
      </c>
      <c r="AG586" s="14" t="s">
        <v>773</v>
      </c>
      <c r="AH586" s="14" t="s">
        <v>773</v>
      </c>
      <c r="AI586" s="14" t="s">
        <v>773</v>
      </c>
      <c r="AJ586" s="14" t="s">
        <v>773</v>
      </c>
      <c r="AK586" s="19">
        <v>0.27500000000000002</v>
      </c>
      <c r="AL586" s="8">
        <f>(6+(36/60))*AE586</f>
        <v>186.91199999999998</v>
      </c>
    </row>
    <row r="587" spans="1:38" x14ac:dyDescent="0.2">
      <c r="A587" s="2">
        <v>450</v>
      </c>
      <c r="B587" s="2">
        <v>325</v>
      </c>
      <c r="C587" s="2">
        <v>2178</v>
      </c>
      <c r="D587" t="s">
        <v>358</v>
      </c>
      <c r="F587" t="s">
        <v>1237</v>
      </c>
      <c r="H587" s="2">
        <v>31.63</v>
      </c>
      <c r="I587" s="15">
        <v>1.129</v>
      </c>
      <c r="J587" s="15">
        <v>0.90152399999999999</v>
      </c>
      <c r="AC587" s="2">
        <v>31.12</v>
      </c>
      <c r="AD587" s="2">
        <v>27.67</v>
      </c>
      <c r="AE587" s="2">
        <v>31.63</v>
      </c>
      <c r="AF587" s="14" t="s">
        <v>773</v>
      </c>
      <c r="AG587" s="14" t="s">
        <v>773</v>
      </c>
      <c r="AH587" s="14" t="s">
        <v>773</v>
      </c>
      <c r="AI587" s="14" t="s">
        <v>773</v>
      </c>
      <c r="AJ587" s="57" t="s">
        <v>773</v>
      </c>
      <c r="AK587" s="19">
        <v>8.819444444444445E-2</v>
      </c>
      <c r="AL587" s="8">
        <f>(2+(7/60))*AE587</f>
        <v>66.950166666666661</v>
      </c>
    </row>
    <row r="588" spans="1:38" x14ac:dyDescent="0.2">
      <c r="A588" s="2">
        <v>568</v>
      </c>
      <c r="B588" s="4">
        <v>377</v>
      </c>
      <c r="C588" s="2">
        <v>2952</v>
      </c>
      <c r="D588" t="s">
        <v>333</v>
      </c>
      <c r="E588" t="s">
        <v>682</v>
      </c>
      <c r="F588" s="12" t="s">
        <v>1237</v>
      </c>
      <c r="G588" s="2">
        <v>5500</v>
      </c>
      <c r="H588" s="2">
        <v>25.1</v>
      </c>
      <c r="I588" s="15">
        <v>0.896675</v>
      </c>
      <c r="J588" s="15">
        <v>0.72070199999999995</v>
      </c>
      <c r="AC588" s="2">
        <v>24.31</v>
      </c>
      <c r="AD588" s="2">
        <v>24.46</v>
      </c>
      <c r="AE588" s="2">
        <v>25.1</v>
      </c>
      <c r="AF588" s="14" t="s">
        <v>773</v>
      </c>
      <c r="AG588" s="14" t="s">
        <v>773</v>
      </c>
      <c r="AH588" s="14" t="s">
        <v>773</v>
      </c>
      <c r="AI588" s="14" t="s">
        <v>773</v>
      </c>
      <c r="AJ588" s="57" t="s">
        <v>773</v>
      </c>
      <c r="AK588" s="19">
        <v>6.6666666666666666E-2</v>
      </c>
      <c r="AL588" s="2">
        <f>(1+(36/60))*AE588</f>
        <v>40.160000000000004</v>
      </c>
    </row>
    <row r="589" spans="1:38" x14ac:dyDescent="0.2">
      <c r="A589" s="2">
        <v>777</v>
      </c>
      <c r="B589" s="2">
        <v>826</v>
      </c>
      <c r="C589" s="2">
        <v>3559</v>
      </c>
      <c r="D589" t="s">
        <v>286</v>
      </c>
      <c r="H589" s="2">
        <v>25</v>
      </c>
      <c r="I589" s="15">
        <v>0.89293199999999995</v>
      </c>
      <c r="J589" s="15">
        <v>0.85719400000000001</v>
      </c>
      <c r="AC589" s="2">
        <v>12.94</v>
      </c>
      <c r="AD589" s="2">
        <v>27.41</v>
      </c>
      <c r="AE589" s="2">
        <v>24.55</v>
      </c>
      <c r="AF589" s="2">
        <v>25</v>
      </c>
      <c r="AG589" s="14" t="s">
        <v>773</v>
      </c>
      <c r="AH589" s="14" t="s">
        <v>773</v>
      </c>
      <c r="AI589" s="14" t="s">
        <v>773</v>
      </c>
      <c r="AJ589" s="14" t="s">
        <v>773</v>
      </c>
      <c r="AK589" s="19">
        <v>2.013888888888889E-2</v>
      </c>
      <c r="AL589" s="8">
        <f>((29/60))*AF589</f>
        <v>12.083333333333334</v>
      </c>
    </row>
    <row r="590" spans="1:38" x14ac:dyDescent="0.2">
      <c r="A590" s="2">
        <v>1185</v>
      </c>
      <c r="B590" s="2">
        <v>398</v>
      </c>
      <c r="C590" s="2">
        <v>3586</v>
      </c>
      <c r="D590" t="s">
        <v>163</v>
      </c>
      <c r="E590" t="s">
        <v>6</v>
      </c>
      <c r="F590" t="s">
        <v>1324</v>
      </c>
      <c r="G590" s="2">
        <v>10000</v>
      </c>
      <c r="H590" s="2">
        <v>97.97</v>
      </c>
      <c r="I590" s="15">
        <v>3.4990000000000001</v>
      </c>
      <c r="J590" s="15">
        <v>2.6240000000000001</v>
      </c>
      <c r="AC590" s="2">
        <v>25.18</v>
      </c>
      <c r="AD590" s="2">
        <v>47.44</v>
      </c>
      <c r="AE590" s="2">
        <v>20.079999999999998</v>
      </c>
      <c r="AF590" s="2">
        <v>97.97</v>
      </c>
      <c r="AG590" s="14" t="s">
        <v>773</v>
      </c>
      <c r="AH590" s="2">
        <v>132.30000000000001</v>
      </c>
      <c r="AI590" s="14" t="s">
        <v>773</v>
      </c>
      <c r="AJ590" s="14" t="s">
        <v>773</v>
      </c>
      <c r="AK590" s="19">
        <v>7.2916666666666671E-2</v>
      </c>
      <c r="AL590" s="8">
        <f>(1+(45/60))*AH590</f>
        <v>231.52500000000003</v>
      </c>
    </row>
    <row r="591" spans="1:38" x14ac:dyDescent="0.2">
      <c r="A591" s="2">
        <v>754</v>
      </c>
      <c r="B591" s="2">
        <v>374</v>
      </c>
      <c r="C591" s="2">
        <v>3593</v>
      </c>
      <c r="D591" t="s">
        <v>359</v>
      </c>
      <c r="H591" s="2">
        <v>28.02</v>
      </c>
      <c r="I591" s="15">
        <v>1</v>
      </c>
      <c r="J591" s="15">
        <v>0.86579899999999999</v>
      </c>
      <c r="AC591" s="2">
        <v>19.22</v>
      </c>
      <c r="AD591" s="2">
        <v>33.369999999999997</v>
      </c>
      <c r="AE591" s="2">
        <v>28.02</v>
      </c>
      <c r="AF591" s="14" t="s">
        <v>773</v>
      </c>
      <c r="AG591" s="14" t="s">
        <v>773</v>
      </c>
      <c r="AH591" s="14" t="s">
        <v>773</v>
      </c>
      <c r="AI591" s="14" t="s">
        <v>773</v>
      </c>
      <c r="AJ591" s="57" t="s">
        <v>773</v>
      </c>
      <c r="AK591" s="19">
        <v>8.7499999999999994E-2</v>
      </c>
      <c r="AL591" s="8">
        <f>(2+(6/60))*AE591</f>
        <v>58.841999999999999</v>
      </c>
    </row>
    <row r="592" spans="1:38" x14ac:dyDescent="0.2">
      <c r="A592" s="2">
        <v>2575</v>
      </c>
      <c r="B592" s="2">
        <v>655</v>
      </c>
      <c r="C592" s="2">
        <v>4336</v>
      </c>
      <c r="D592" t="s">
        <v>308</v>
      </c>
      <c r="F592" t="s">
        <v>1293</v>
      </c>
      <c r="H592" s="2">
        <v>111</v>
      </c>
      <c r="I592" s="15">
        <v>3.9660000000000002</v>
      </c>
      <c r="J592" s="15">
        <v>1.728</v>
      </c>
      <c r="AC592" s="2">
        <v>3.3260000000000001</v>
      </c>
      <c r="AD592" s="2">
        <v>14.39</v>
      </c>
      <c r="AE592" s="2">
        <v>18.39</v>
      </c>
      <c r="AF592" s="2">
        <v>111</v>
      </c>
      <c r="AG592" s="14" t="s">
        <v>773</v>
      </c>
      <c r="AH592" s="14" t="s">
        <v>773</v>
      </c>
      <c r="AI592" s="14" t="s">
        <v>773</v>
      </c>
      <c r="AJ592" s="14" t="s">
        <v>773</v>
      </c>
      <c r="AK592" s="19">
        <v>5.7638888888888892E-2</v>
      </c>
      <c r="AL592" s="8">
        <f>(1+(23/60))*AF592</f>
        <v>153.54999999999998</v>
      </c>
    </row>
    <row r="593" spans="1:38" x14ac:dyDescent="0.2">
      <c r="A593" s="2">
        <v>846</v>
      </c>
      <c r="B593" s="2">
        <v>557</v>
      </c>
      <c r="C593" s="2">
        <v>4439</v>
      </c>
      <c r="D593" t="s">
        <v>299</v>
      </c>
      <c r="F593" t="s">
        <v>1265</v>
      </c>
      <c r="H593" s="2">
        <v>15.37</v>
      </c>
      <c r="I593" s="15">
        <v>0.54905700000000002</v>
      </c>
      <c r="J593" s="15">
        <v>0.50130799999999998</v>
      </c>
      <c r="AC593" s="2">
        <v>3.0710000000000002</v>
      </c>
      <c r="AD593" s="2">
        <v>2.7629999999999999</v>
      </c>
      <c r="AE593" s="2">
        <v>7.7080000000000002</v>
      </c>
      <c r="AF593" s="2">
        <v>15.37</v>
      </c>
      <c r="AG593" s="14" t="s">
        <v>773</v>
      </c>
      <c r="AH593" s="14" t="s">
        <v>773</v>
      </c>
      <c r="AI593" s="14" t="s">
        <v>773</v>
      </c>
      <c r="AJ593" s="14" t="s">
        <v>773</v>
      </c>
      <c r="AK593" s="19">
        <v>0.13333333333333333</v>
      </c>
      <c r="AL593" s="8">
        <f>(3+(12/60))*AF593</f>
        <v>49.183999999999997</v>
      </c>
    </row>
    <row r="594" spans="1:38" x14ac:dyDescent="0.2">
      <c r="A594" s="2">
        <v>1969</v>
      </c>
      <c r="B594" s="2">
        <v>432</v>
      </c>
      <c r="C594" s="2">
        <v>4912</v>
      </c>
      <c r="D594" t="s">
        <v>200</v>
      </c>
      <c r="F594" t="s">
        <v>1290</v>
      </c>
      <c r="H594" s="2">
        <v>42.07</v>
      </c>
      <c r="I594" s="15">
        <v>1.502</v>
      </c>
      <c r="J594" s="15">
        <v>1.2749999999999999</v>
      </c>
      <c r="AC594" s="2">
        <v>15.61</v>
      </c>
      <c r="AD594" s="2">
        <v>4.1150000000000002</v>
      </c>
      <c r="AE594" s="2">
        <v>19.37</v>
      </c>
      <c r="AF594" s="2">
        <v>42.07</v>
      </c>
      <c r="AG594" s="14" t="s">
        <v>773</v>
      </c>
      <c r="AH594" s="2">
        <v>40.83</v>
      </c>
      <c r="AI594" s="14" t="s">
        <v>773</v>
      </c>
      <c r="AJ594" s="14" t="s">
        <v>773</v>
      </c>
      <c r="AK594" s="19">
        <v>4.0972222222222222E-2</v>
      </c>
      <c r="AL594" s="8">
        <f>(59/60)*AH594</f>
        <v>40.149499999999996</v>
      </c>
    </row>
    <row r="595" spans="1:38" x14ac:dyDescent="0.2">
      <c r="A595" s="2">
        <v>1100</v>
      </c>
      <c r="B595" s="2">
        <v>465</v>
      </c>
      <c r="C595" s="2">
        <v>5093</v>
      </c>
      <c r="D595" t="s">
        <v>1169</v>
      </c>
      <c r="E595" t="s">
        <v>1318</v>
      </c>
      <c r="H595" s="2">
        <v>12.63</v>
      </c>
      <c r="I595" s="15">
        <v>0.45132499999999998</v>
      </c>
      <c r="J595" s="15">
        <v>0.37930999999999998</v>
      </c>
      <c r="AC595" s="2">
        <v>11.95</v>
      </c>
      <c r="AD595" s="2">
        <v>7.6360000000000001</v>
      </c>
      <c r="AE595" s="2">
        <v>9.8829999999999991</v>
      </c>
      <c r="AF595" s="2">
        <v>12.63</v>
      </c>
      <c r="AG595" s="14" t="s">
        <v>773</v>
      </c>
      <c r="AH595" s="14" t="s">
        <v>773</v>
      </c>
      <c r="AI595" s="14" t="s">
        <v>773</v>
      </c>
      <c r="AJ595" s="14" t="s">
        <v>773</v>
      </c>
      <c r="AK595" s="19">
        <v>0.16666666666666666</v>
      </c>
      <c r="AL595" s="8">
        <f>(4+(0.01/60))*AF595</f>
        <v>50.522105000000003</v>
      </c>
    </row>
    <row r="596" spans="1:38" s="3" customFormat="1" x14ac:dyDescent="0.2">
      <c r="A596" s="4">
        <v>1883</v>
      </c>
      <c r="B596" s="2">
        <v>505</v>
      </c>
      <c r="C596" s="4">
        <v>5296</v>
      </c>
      <c r="D596" s="3" t="s">
        <v>1120</v>
      </c>
      <c r="F596" s="3" t="s">
        <v>1284</v>
      </c>
      <c r="G596" s="4"/>
      <c r="H596" s="4">
        <v>17.75</v>
      </c>
      <c r="I596" s="16">
        <v>0.63400400000000001</v>
      </c>
      <c r="J596" s="16">
        <v>0.58486199999999999</v>
      </c>
      <c r="K596" s="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2">
        <v>7.07</v>
      </c>
      <c r="AD596" s="4">
        <v>12.93</v>
      </c>
      <c r="AE596" s="4">
        <v>15.69</v>
      </c>
      <c r="AF596" s="4">
        <v>17.75</v>
      </c>
      <c r="AG596" s="46" t="s">
        <v>773</v>
      </c>
      <c r="AH596" s="46" t="s">
        <v>773</v>
      </c>
      <c r="AI596" s="46" t="s">
        <v>773</v>
      </c>
      <c r="AJ596" s="46" t="s">
        <v>773</v>
      </c>
      <c r="AK596" s="23">
        <v>3.888888888888889E-2</v>
      </c>
      <c r="AL596" s="47">
        <f>((56/60))*AF596</f>
        <v>16.566666666666666</v>
      </c>
    </row>
    <row r="597" spans="1:38" x14ac:dyDescent="0.2">
      <c r="A597" s="2">
        <v>1318</v>
      </c>
      <c r="B597" s="2">
        <v>492</v>
      </c>
      <c r="C597" s="2">
        <v>5892</v>
      </c>
      <c r="D597" t="s">
        <v>273</v>
      </c>
      <c r="H597" s="2">
        <v>18.55</v>
      </c>
      <c r="I597" s="15">
        <v>0.66282799999999997</v>
      </c>
      <c r="J597" s="15">
        <v>0.62997099999999995</v>
      </c>
      <c r="AC597" s="2">
        <v>6.508</v>
      </c>
      <c r="AD597" s="2">
        <v>12.99</v>
      </c>
      <c r="AE597" s="2">
        <v>15.08</v>
      </c>
      <c r="AF597" s="2">
        <v>18.55</v>
      </c>
      <c r="AG597" s="14" t="s">
        <v>773</v>
      </c>
      <c r="AH597" s="14" t="s">
        <v>773</v>
      </c>
      <c r="AI597" s="14" t="s">
        <v>773</v>
      </c>
      <c r="AJ597" s="14" t="s">
        <v>773</v>
      </c>
      <c r="AK597" s="19">
        <v>3.6805555555555557E-2</v>
      </c>
      <c r="AL597" s="8">
        <f>(53/60)*AF597</f>
        <v>16.385833333333334</v>
      </c>
    </row>
    <row r="598" spans="1:38" s="3" customFormat="1" x14ac:dyDescent="0.2">
      <c r="A598" s="4">
        <v>211956</v>
      </c>
      <c r="B598" s="2">
        <v>451</v>
      </c>
      <c r="C598" s="4">
        <v>8207</v>
      </c>
      <c r="D598" s="3" t="s">
        <v>1119</v>
      </c>
      <c r="F598" s="3" t="s">
        <v>1284</v>
      </c>
      <c r="G598" s="4"/>
      <c r="H598" s="4">
        <v>4.407</v>
      </c>
      <c r="I598" s="16">
        <v>0.15739300000000001</v>
      </c>
      <c r="J598" s="16">
        <v>0.12548799999999999</v>
      </c>
      <c r="K598" s="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4">
        <v>3.9020000000000001</v>
      </c>
      <c r="AD598" s="4">
        <v>4.0449999999999999</v>
      </c>
      <c r="AE598" s="4">
        <v>4.5629999999999997</v>
      </c>
      <c r="AF598" s="2">
        <v>4.407</v>
      </c>
      <c r="AG598" s="14" t="s">
        <v>773</v>
      </c>
      <c r="AH598" s="14" t="s">
        <v>773</v>
      </c>
      <c r="AI598" s="14" t="s">
        <v>773</v>
      </c>
      <c r="AJ598" s="14" t="s">
        <v>773</v>
      </c>
      <c r="AK598" s="19">
        <v>0.22083333333333333</v>
      </c>
      <c r="AL598" s="8">
        <f>(5+(18/60))*AF598</f>
        <v>23.357099999999999</v>
      </c>
    </row>
    <row r="599" spans="1:38" x14ac:dyDescent="0.2">
      <c r="A599" s="2">
        <v>2558</v>
      </c>
      <c r="B599" s="2">
        <v>565</v>
      </c>
      <c r="C599" s="2">
        <v>8280</v>
      </c>
      <c r="D599" t="s">
        <v>1170</v>
      </c>
      <c r="F599" t="s">
        <v>1318</v>
      </c>
      <c r="H599" s="2">
        <v>10.09</v>
      </c>
      <c r="I599" s="15">
        <v>0.36067199999999999</v>
      </c>
      <c r="J599" s="15">
        <v>0.324965</v>
      </c>
      <c r="AC599" s="2">
        <v>7.2969999999999997</v>
      </c>
      <c r="AD599" s="2">
        <v>5.95</v>
      </c>
      <c r="AE599" s="2">
        <v>6.6719999999999997</v>
      </c>
      <c r="AF599" s="2">
        <v>10.09</v>
      </c>
      <c r="AG599" s="14" t="s">
        <v>773</v>
      </c>
      <c r="AH599" s="14" t="s">
        <v>773</v>
      </c>
      <c r="AI599" s="14" t="s">
        <v>773</v>
      </c>
      <c r="AJ599" s="14" t="s">
        <v>773</v>
      </c>
      <c r="AK599" s="19">
        <v>0.15</v>
      </c>
      <c r="AL599" s="8">
        <f>(3+(36/60))*AF599</f>
        <v>36.323999999999998</v>
      </c>
    </row>
    <row r="600" spans="1:38" x14ac:dyDescent="0.2">
      <c r="A600" s="2">
        <v>6077</v>
      </c>
      <c r="B600" s="2">
        <v>502</v>
      </c>
      <c r="C600" s="2">
        <v>10229</v>
      </c>
      <c r="D600" t="s">
        <v>309</v>
      </c>
      <c r="F600" t="s">
        <v>1294</v>
      </c>
      <c r="H600" s="2">
        <v>66.45</v>
      </c>
      <c r="I600" s="15">
        <v>2.3730000000000002</v>
      </c>
      <c r="J600" s="15">
        <v>1.198</v>
      </c>
      <c r="AC600" s="2">
        <v>1.8160000000000001</v>
      </c>
      <c r="AD600" s="2">
        <v>6.38</v>
      </c>
      <c r="AE600" s="2">
        <v>7.859</v>
      </c>
      <c r="AF600" s="2">
        <v>66.45</v>
      </c>
      <c r="AG600" s="14" t="s">
        <v>773</v>
      </c>
      <c r="AH600" s="14" t="s">
        <v>773</v>
      </c>
      <c r="AI600" s="14" t="s">
        <v>773</v>
      </c>
      <c r="AJ600" s="14" t="s">
        <v>773</v>
      </c>
      <c r="AK600" s="19">
        <v>9.4444444444444442E-2</v>
      </c>
      <c r="AL600" s="8">
        <f>(2+(16/60))*AF600</f>
        <v>150.62</v>
      </c>
    </row>
    <row r="601" spans="1:38" x14ac:dyDescent="0.2">
      <c r="A601" s="2">
        <v>59558</v>
      </c>
      <c r="B601" s="2">
        <v>3529</v>
      </c>
      <c r="C601" s="2">
        <v>11936</v>
      </c>
      <c r="D601" t="s">
        <v>1320</v>
      </c>
      <c r="F601" s="2" t="s">
        <v>1341</v>
      </c>
      <c r="H601" s="2">
        <v>3.99</v>
      </c>
      <c r="I601" s="15">
        <v>0.142512</v>
      </c>
      <c r="J601" s="15">
        <v>0.112479</v>
      </c>
      <c r="AC601" s="2">
        <v>3.8959999999999999</v>
      </c>
      <c r="AD601" s="2">
        <v>4.0380000000000003</v>
      </c>
      <c r="AE601" s="2">
        <v>3.99</v>
      </c>
      <c r="AF601" s="2" t="s">
        <v>773</v>
      </c>
      <c r="AG601" s="14" t="s">
        <v>773</v>
      </c>
      <c r="AH601" s="14" t="s">
        <v>773</v>
      </c>
      <c r="AI601" s="14" t="s">
        <v>773</v>
      </c>
      <c r="AJ601" s="14" t="s">
        <v>773</v>
      </c>
      <c r="AK601" s="19">
        <v>0.3347222222222222</v>
      </c>
      <c r="AL601" s="8">
        <f>(8+(2/60))*AE601</f>
        <v>32.053000000000004</v>
      </c>
    </row>
    <row r="602" spans="1:38" x14ac:dyDescent="0.2">
      <c r="A602" s="2">
        <v>3001</v>
      </c>
      <c r="B602" s="2">
        <v>535</v>
      </c>
      <c r="C602" s="2">
        <v>13457</v>
      </c>
      <c r="D602" s="3" t="s">
        <v>368</v>
      </c>
      <c r="H602" s="2">
        <v>28.96</v>
      </c>
      <c r="I602" s="15">
        <v>0.93873399999999996</v>
      </c>
      <c r="J602" s="16">
        <v>0.86621899999999996</v>
      </c>
      <c r="K602" s="2">
        <v>22.42</v>
      </c>
      <c r="AC602" s="2">
        <v>3.8769999999999998</v>
      </c>
      <c r="AD602" s="2" t="s">
        <v>773</v>
      </c>
      <c r="AE602" s="2" t="s">
        <v>773</v>
      </c>
      <c r="AF602" s="14" t="s">
        <v>773</v>
      </c>
      <c r="AG602" s="14" t="s">
        <v>773</v>
      </c>
      <c r="AH602" s="14" t="s">
        <v>773</v>
      </c>
      <c r="AI602" s="14" t="s">
        <v>773</v>
      </c>
      <c r="AJ602" s="57" t="s">
        <v>773</v>
      </c>
      <c r="AK602" s="19">
        <v>0.10347222222222222</v>
      </c>
      <c r="AL602" s="8">
        <f>(2+(29/60))*AC602</f>
        <v>9.6278833333333331</v>
      </c>
    </row>
    <row r="603" spans="1:38" x14ac:dyDescent="0.2">
      <c r="A603" s="2">
        <v>56076</v>
      </c>
      <c r="B603" s="2">
        <v>539</v>
      </c>
      <c r="C603" s="2">
        <v>33091</v>
      </c>
      <c r="D603" t="s">
        <v>179</v>
      </c>
      <c r="E603" t="s">
        <v>696</v>
      </c>
      <c r="F603" t="s">
        <v>1303</v>
      </c>
      <c r="G603" s="2">
        <v>0</v>
      </c>
      <c r="H603" s="2">
        <v>9.8889999999999993</v>
      </c>
      <c r="I603" s="15">
        <v>0.35319600000000001</v>
      </c>
      <c r="J603" s="15">
        <v>0.228269</v>
      </c>
      <c r="AC603" s="2">
        <v>0.75726700000000002</v>
      </c>
      <c r="AD603" s="2">
        <v>0.81598000000000004</v>
      </c>
      <c r="AE603" s="2">
        <v>4.4790000000000001</v>
      </c>
      <c r="AF603" s="2">
        <v>9.8889999999999993</v>
      </c>
      <c r="AG603" s="14" t="s">
        <v>773</v>
      </c>
      <c r="AH603" s="2">
        <v>112</v>
      </c>
      <c r="AI603" s="14" t="s">
        <v>773</v>
      </c>
      <c r="AJ603" s="14" t="s">
        <v>773</v>
      </c>
      <c r="AK603" s="19">
        <v>1.9444444444444445E-2</v>
      </c>
      <c r="AL603" s="8">
        <f>(28/60)*AE603</f>
        <v>2.0902000000000003</v>
      </c>
    </row>
    <row r="604" spans="1:38" x14ac:dyDescent="0.2">
      <c r="A604" s="2">
        <v>16711</v>
      </c>
      <c r="B604" s="2">
        <v>440</v>
      </c>
      <c r="C604" s="2">
        <v>39125</v>
      </c>
      <c r="D604" t="s">
        <v>1157</v>
      </c>
      <c r="H604" s="2">
        <v>1.506</v>
      </c>
      <c r="I604" s="15">
        <v>5.3804999999999999E-2</v>
      </c>
      <c r="J604" s="15">
        <v>4.5036E-2</v>
      </c>
      <c r="AC604" s="2">
        <v>1.5369999999999999</v>
      </c>
      <c r="AD604" s="2">
        <v>1.4419999999999999</v>
      </c>
      <c r="AE604" s="2">
        <v>1.506</v>
      </c>
      <c r="AF604" s="14" t="s">
        <v>773</v>
      </c>
      <c r="AG604" s="14" t="s">
        <v>773</v>
      </c>
      <c r="AH604" s="14" t="s">
        <v>773</v>
      </c>
      <c r="AI604" s="14" t="s">
        <v>773</v>
      </c>
      <c r="AJ604" s="14" t="s">
        <v>773</v>
      </c>
      <c r="AK604" s="19">
        <v>0.12222222222222222</v>
      </c>
      <c r="AL604" s="8">
        <f>(2+(56/60))*AE604</f>
        <v>4.4176000000000002</v>
      </c>
    </row>
    <row r="605" spans="1:38" x14ac:dyDescent="0.2">
      <c r="A605" s="2">
        <v>12839</v>
      </c>
      <c r="B605" s="2">
        <v>2065</v>
      </c>
      <c r="C605" s="2">
        <v>40434</v>
      </c>
      <c r="D605" t="s">
        <v>151</v>
      </c>
      <c r="E605" t="s">
        <v>696</v>
      </c>
      <c r="G605" s="2">
        <v>0</v>
      </c>
      <c r="H605" s="2">
        <v>2.952</v>
      </c>
      <c r="I605" s="15">
        <v>0.105463</v>
      </c>
      <c r="J605" s="15">
        <v>9.2238000000000001E-2</v>
      </c>
      <c r="AC605" s="2">
        <v>0.81640000000000001</v>
      </c>
      <c r="AD605" s="2">
        <v>1.427</v>
      </c>
      <c r="AE605" s="2">
        <v>1.4930000000000001</v>
      </c>
      <c r="AF605" s="2">
        <v>2.952</v>
      </c>
      <c r="AG605" s="14" t="s">
        <v>773</v>
      </c>
      <c r="AH605" s="2">
        <v>8.8130000000000006</v>
      </c>
      <c r="AI605" s="14" t="s">
        <v>773</v>
      </c>
      <c r="AJ605" s="14" t="s">
        <v>773</v>
      </c>
      <c r="AK605" s="19">
        <v>8.3333333333333332E-3</v>
      </c>
      <c r="AL605" s="8">
        <f>(12/60)*AE605</f>
        <v>0.29860000000000003</v>
      </c>
    </row>
    <row r="606" spans="1:38" x14ac:dyDescent="0.2">
      <c r="A606" s="2" t="s">
        <v>773</v>
      </c>
      <c r="B606" s="2">
        <v>1727</v>
      </c>
      <c r="C606" s="2" t="s">
        <v>773</v>
      </c>
      <c r="D606" t="s">
        <v>241</v>
      </c>
      <c r="H606" s="2">
        <v>247.5</v>
      </c>
      <c r="I606" s="15">
        <v>8.8390000000000004</v>
      </c>
      <c r="J606" s="15">
        <v>8.0359999999999996</v>
      </c>
      <c r="AC606" s="2">
        <v>356.8</v>
      </c>
      <c r="AD606" s="2">
        <v>276.10000000000002</v>
      </c>
      <c r="AE606" s="2">
        <v>244.7</v>
      </c>
      <c r="AF606" s="57">
        <v>247.5</v>
      </c>
      <c r="AG606" s="57" t="s">
        <v>773</v>
      </c>
      <c r="AH606" s="57">
        <v>259.5</v>
      </c>
      <c r="AI606" s="57" t="s">
        <v>773</v>
      </c>
      <c r="AJ606" s="57" t="s">
        <v>773</v>
      </c>
      <c r="AK606" s="19">
        <v>2.0833333333333332E-2</v>
      </c>
      <c r="AL606" s="8">
        <f>(30/60)*AE606</f>
        <v>122.35</v>
      </c>
    </row>
    <row r="607" spans="1:38" x14ac:dyDescent="0.2">
      <c r="A607" s="2">
        <v>687</v>
      </c>
      <c r="B607" s="4">
        <v>4741</v>
      </c>
      <c r="C607" s="2">
        <v>1283</v>
      </c>
      <c r="D607" t="s">
        <v>377</v>
      </c>
      <c r="AC607" s="2">
        <v>29.92</v>
      </c>
      <c r="AD607" s="2" t="s">
        <v>773</v>
      </c>
      <c r="AE607" s="2" t="s">
        <v>773</v>
      </c>
      <c r="AF607" s="14" t="s">
        <v>773</v>
      </c>
      <c r="AG607" s="14" t="s">
        <v>773</v>
      </c>
      <c r="AH607" s="14" t="s">
        <v>773</v>
      </c>
      <c r="AI607" s="14" t="s">
        <v>773</v>
      </c>
      <c r="AJ607" s="57" t="s">
        <v>773</v>
      </c>
      <c r="AK607" s="19">
        <v>0.21805555555555556</v>
      </c>
      <c r="AL607" s="8">
        <f>(5+(14/60))*AC607</f>
        <v>156.58133333333333</v>
      </c>
    </row>
    <row r="608" spans="1:38" x14ac:dyDescent="0.2">
      <c r="A608" s="2">
        <v>620</v>
      </c>
      <c r="B608" s="2" t="s">
        <v>773</v>
      </c>
      <c r="C608" s="2">
        <v>1950</v>
      </c>
      <c r="D608" t="s">
        <v>383</v>
      </c>
      <c r="AC608" s="2">
        <v>28.34</v>
      </c>
      <c r="AD608" s="2" t="s">
        <v>773</v>
      </c>
      <c r="AE608" s="2" t="s">
        <v>773</v>
      </c>
      <c r="AF608" s="14" t="s">
        <v>773</v>
      </c>
      <c r="AG608" s="14" t="s">
        <v>773</v>
      </c>
      <c r="AH608" s="14" t="s">
        <v>773</v>
      </c>
      <c r="AI608" s="14" t="s">
        <v>773</v>
      </c>
      <c r="AJ608" s="57" t="s">
        <v>773</v>
      </c>
      <c r="AK608" s="19">
        <v>0.12430555555555556</v>
      </c>
      <c r="AL608" s="8">
        <f>(2+(59/60))*AC608</f>
        <v>84.547666666666672</v>
      </c>
    </row>
    <row r="609" spans="1:38" x14ac:dyDescent="0.2">
      <c r="A609" s="2" t="s">
        <v>773</v>
      </c>
      <c r="B609" s="2">
        <v>399</v>
      </c>
      <c r="C609" s="2">
        <v>2810</v>
      </c>
      <c r="D609" t="s">
        <v>1343</v>
      </c>
      <c r="AC609" s="2">
        <v>22.34</v>
      </c>
      <c r="AD609" s="2" t="s">
        <v>773</v>
      </c>
      <c r="AE609" s="2" t="s">
        <v>773</v>
      </c>
      <c r="AF609" s="14" t="s">
        <v>773</v>
      </c>
      <c r="AG609" s="14" t="s">
        <v>773</v>
      </c>
      <c r="AH609" s="14" t="s">
        <v>773</v>
      </c>
      <c r="AI609" s="14" t="s">
        <v>773</v>
      </c>
      <c r="AJ609" s="57" t="s">
        <v>773</v>
      </c>
      <c r="AK609" s="19">
        <v>0.13750000000000001</v>
      </c>
      <c r="AL609" s="8">
        <f>(3+(18/60))*AC609</f>
        <v>73.721999999999994</v>
      </c>
    </row>
    <row r="610" spans="1:38" x14ac:dyDescent="0.2">
      <c r="A610" s="2">
        <v>883</v>
      </c>
      <c r="B610" s="2">
        <v>398</v>
      </c>
      <c r="C610" s="2">
        <v>3231</v>
      </c>
      <c r="D610" t="s">
        <v>366</v>
      </c>
      <c r="E610" t="s">
        <v>581</v>
      </c>
      <c r="AC610" s="2">
        <v>24.36</v>
      </c>
      <c r="AD610" s="2" t="s">
        <v>773</v>
      </c>
      <c r="AE610" s="2" t="s">
        <v>773</v>
      </c>
      <c r="AF610" s="14" t="s">
        <v>773</v>
      </c>
      <c r="AG610" s="14" t="s">
        <v>773</v>
      </c>
      <c r="AH610" s="14" t="s">
        <v>773</v>
      </c>
      <c r="AI610" s="14" t="s">
        <v>773</v>
      </c>
      <c r="AJ610" s="57" t="s">
        <v>773</v>
      </c>
      <c r="AK610" s="19">
        <v>3.4722222222222224E-2</v>
      </c>
      <c r="AL610" s="8">
        <f>(50/60)*AC610</f>
        <v>20.3</v>
      </c>
    </row>
    <row r="611" spans="1:38" x14ac:dyDescent="0.2">
      <c r="A611" s="2">
        <v>1159</v>
      </c>
      <c r="B611" s="2">
        <v>402</v>
      </c>
      <c r="C611" s="2">
        <v>4591</v>
      </c>
      <c r="D611" t="s">
        <v>378</v>
      </c>
      <c r="AC611" s="2">
        <v>12.27</v>
      </c>
      <c r="AD611" s="2" t="s">
        <v>773</v>
      </c>
      <c r="AE611" s="2" t="s">
        <v>773</v>
      </c>
      <c r="AF611" s="14" t="s">
        <v>773</v>
      </c>
      <c r="AG611" s="14" t="s">
        <v>773</v>
      </c>
      <c r="AH611" s="14" t="s">
        <v>773</v>
      </c>
      <c r="AI611" s="14" t="s">
        <v>773</v>
      </c>
      <c r="AJ611" s="57" t="s">
        <v>773</v>
      </c>
      <c r="AK611" s="19">
        <v>0.15277777777777779</v>
      </c>
      <c r="AL611" s="8">
        <f>(3+(40/60))*AC611</f>
        <v>44.989999999999995</v>
      </c>
    </row>
    <row r="612" spans="1:38" x14ac:dyDescent="0.2">
      <c r="A612" s="2">
        <v>837</v>
      </c>
      <c r="B612" s="2">
        <v>395</v>
      </c>
      <c r="C612" s="2">
        <v>4878</v>
      </c>
      <c r="D612" t="s">
        <v>375</v>
      </c>
      <c r="AC612" s="2">
        <v>13.39</v>
      </c>
      <c r="AD612" s="2" t="s">
        <v>773</v>
      </c>
      <c r="AE612" s="2" t="s">
        <v>773</v>
      </c>
      <c r="AF612" s="14" t="s">
        <v>773</v>
      </c>
      <c r="AG612" s="14" t="s">
        <v>773</v>
      </c>
      <c r="AH612" s="14" t="s">
        <v>773</v>
      </c>
      <c r="AI612" s="14" t="s">
        <v>773</v>
      </c>
      <c r="AJ612" s="57" t="s">
        <v>773</v>
      </c>
      <c r="AK612" s="19">
        <v>0.10347222222222222</v>
      </c>
      <c r="AL612" s="8">
        <f>(2+(29/60))*AC612</f>
        <v>33.251833333333337</v>
      </c>
    </row>
    <row r="613" spans="1:38" x14ac:dyDescent="0.2">
      <c r="A613" s="2">
        <v>1004</v>
      </c>
      <c r="B613" s="2">
        <v>479</v>
      </c>
      <c r="C613" s="2">
        <v>5173</v>
      </c>
      <c r="D613" t="s">
        <v>385</v>
      </c>
      <c r="AC613" s="2">
        <v>12.61</v>
      </c>
      <c r="AD613" s="2" t="s">
        <v>773</v>
      </c>
      <c r="AE613" s="2" t="s">
        <v>773</v>
      </c>
      <c r="AF613" s="14" t="s">
        <v>773</v>
      </c>
      <c r="AG613" s="14" t="s">
        <v>773</v>
      </c>
      <c r="AH613" s="14" t="s">
        <v>773</v>
      </c>
      <c r="AI613" s="14" t="s">
        <v>773</v>
      </c>
      <c r="AJ613" s="57" t="s">
        <v>773</v>
      </c>
      <c r="AK613" s="19">
        <v>0.17152777777777778</v>
      </c>
      <c r="AL613" s="8">
        <f>(4+(7/60))*AC613</f>
        <v>51.911166666666659</v>
      </c>
    </row>
    <row r="614" spans="1:38" x14ac:dyDescent="0.2">
      <c r="A614" s="2">
        <v>486</v>
      </c>
      <c r="B614" s="2">
        <v>480</v>
      </c>
      <c r="D614" t="s">
        <v>389</v>
      </c>
      <c r="AF614" s="14"/>
      <c r="AG614" s="14"/>
      <c r="AH614" s="14"/>
      <c r="AI614" s="14"/>
      <c r="AJ614" s="51"/>
    </row>
    <row r="615" spans="1:38" x14ac:dyDescent="0.2">
      <c r="A615" s="2">
        <v>487</v>
      </c>
      <c r="B615" s="2">
        <v>481</v>
      </c>
      <c r="D615" t="s">
        <v>390</v>
      </c>
      <c r="E615" t="s">
        <v>6</v>
      </c>
      <c r="AF615" s="14"/>
      <c r="AG615" s="14"/>
      <c r="AH615" s="14"/>
      <c r="AI615" s="14"/>
      <c r="AJ615" s="51"/>
    </row>
    <row r="616" spans="1:38" x14ac:dyDescent="0.2">
      <c r="A616" s="2">
        <v>489</v>
      </c>
      <c r="B616" s="2">
        <v>478</v>
      </c>
      <c r="D616" t="s">
        <v>392</v>
      </c>
      <c r="AF616" s="14"/>
      <c r="AG616" s="14"/>
      <c r="AH616" s="14"/>
      <c r="AI616" s="14"/>
      <c r="AJ616" s="51"/>
    </row>
    <row r="617" spans="1:38" x14ac:dyDescent="0.2">
      <c r="A617" s="2">
        <v>490</v>
      </c>
      <c r="B617" s="2">
        <v>406</v>
      </c>
      <c r="D617" t="s">
        <v>393</v>
      </c>
      <c r="AF617" s="14"/>
      <c r="AG617" s="14"/>
      <c r="AH617" s="14"/>
      <c r="AI617" s="14"/>
      <c r="AJ617" s="51"/>
    </row>
    <row r="618" spans="1:38" x14ac:dyDescent="0.2">
      <c r="A618" s="2">
        <f>A452+1</f>
        <v>524</v>
      </c>
      <c r="B618" s="2">
        <v>476</v>
      </c>
      <c r="D618" t="s">
        <v>397</v>
      </c>
      <c r="AF618" s="14"/>
      <c r="AG618" s="14"/>
      <c r="AH618" s="14"/>
      <c r="AI618" s="14"/>
      <c r="AJ618" s="51"/>
    </row>
    <row r="619" spans="1:38" x14ac:dyDescent="0.2">
      <c r="A619" s="2">
        <v>495</v>
      </c>
      <c r="B619" s="2">
        <v>473</v>
      </c>
      <c r="D619" t="s">
        <v>398</v>
      </c>
      <c r="AF619" s="14"/>
      <c r="AG619" s="14"/>
      <c r="AH619" s="14"/>
      <c r="AI619" s="14"/>
      <c r="AJ619" s="51"/>
    </row>
    <row r="620" spans="1:38" x14ac:dyDescent="0.2">
      <c r="A620" s="2">
        <f>A340+1</f>
        <v>340</v>
      </c>
      <c r="B620" s="2">
        <v>487</v>
      </c>
      <c r="D620" t="s">
        <v>404</v>
      </c>
      <c r="AF620" s="14"/>
      <c r="AG620" s="14"/>
      <c r="AH620" s="14"/>
      <c r="AI620" s="14"/>
      <c r="AJ620" s="51"/>
    </row>
    <row r="621" spans="1:38" x14ac:dyDescent="0.2">
      <c r="A621" s="2">
        <v>392</v>
      </c>
      <c r="B621" s="2">
        <v>490</v>
      </c>
      <c r="D621" t="s">
        <v>407</v>
      </c>
      <c r="AF621" s="14"/>
      <c r="AG621" s="14"/>
      <c r="AH621" s="14"/>
      <c r="AI621" s="14"/>
      <c r="AJ621" s="51"/>
    </row>
    <row r="622" spans="1:38" x14ac:dyDescent="0.2">
      <c r="A622" s="2">
        <f t="shared" ref="A622:A624" si="2">A621+1</f>
        <v>393</v>
      </c>
      <c r="B622" s="2">
        <v>491</v>
      </c>
      <c r="D622" t="s">
        <v>408</v>
      </c>
      <c r="AF622" s="14"/>
      <c r="AG622" s="14"/>
      <c r="AH622" s="14"/>
      <c r="AI622" s="14"/>
      <c r="AJ622" s="51"/>
    </row>
    <row r="623" spans="1:38" x14ac:dyDescent="0.2">
      <c r="A623" s="2">
        <f t="shared" si="2"/>
        <v>394</v>
      </c>
      <c r="B623" s="2">
        <v>492</v>
      </c>
      <c r="D623" t="s">
        <v>409</v>
      </c>
      <c r="AF623" s="14"/>
      <c r="AG623" s="14"/>
      <c r="AH623" s="14"/>
      <c r="AI623" s="14"/>
      <c r="AJ623" s="51"/>
    </row>
    <row r="624" spans="1:38" x14ac:dyDescent="0.2">
      <c r="A624" s="2">
        <f t="shared" si="2"/>
        <v>395</v>
      </c>
      <c r="B624" s="2">
        <v>493</v>
      </c>
      <c r="D624" t="s">
        <v>410</v>
      </c>
      <c r="AF624" s="14"/>
      <c r="AG624" s="14"/>
      <c r="AH624" s="14"/>
      <c r="AI624" s="14"/>
      <c r="AJ624" s="51"/>
    </row>
    <row r="625" spans="1:36" x14ac:dyDescent="0.2">
      <c r="D625" t="s">
        <v>1158</v>
      </c>
      <c r="AF625" s="14"/>
      <c r="AG625" s="14"/>
      <c r="AH625" s="14"/>
      <c r="AI625" s="14"/>
      <c r="AJ625" s="51"/>
    </row>
    <row r="626" spans="1:36" x14ac:dyDescent="0.2">
      <c r="A626" s="2">
        <v>396</v>
      </c>
      <c r="D626" t="s">
        <v>411</v>
      </c>
      <c r="AF626" s="14"/>
      <c r="AG626" s="14"/>
      <c r="AH626" s="14"/>
      <c r="AI626" s="14"/>
      <c r="AJ626" s="51"/>
    </row>
    <row r="627" spans="1:36" x14ac:dyDescent="0.2">
      <c r="A627" s="2">
        <v>417</v>
      </c>
      <c r="D627" t="s">
        <v>417</v>
      </c>
      <c r="AF627" s="14"/>
      <c r="AG627" s="14"/>
      <c r="AH627" s="14"/>
      <c r="AI627" s="14"/>
      <c r="AJ627" s="51"/>
    </row>
    <row r="628" spans="1:36" x14ac:dyDescent="0.2">
      <c r="A628" s="2">
        <f t="shared" ref="A628:A641" si="3">A627+1</f>
        <v>418</v>
      </c>
      <c r="D628" t="s">
        <v>418</v>
      </c>
      <c r="AF628" s="14"/>
      <c r="AG628" s="14"/>
      <c r="AH628" s="14"/>
      <c r="AI628" s="14"/>
      <c r="AJ628" s="51"/>
    </row>
    <row r="629" spans="1:36" x14ac:dyDescent="0.2">
      <c r="A629" s="2">
        <f t="shared" si="3"/>
        <v>419</v>
      </c>
      <c r="D629" t="s">
        <v>419</v>
      </c>
      <c r="AF629" s="14"/>
      <c r="AG629" s="14"/>
      <c r="AH629" s="14"/>
      <c r="AI629" s="14"/>
      <c r="AJ629" s="51"/>
    </row>
    <row r="630" spans="1:36" x14ac:dyDescent="0.2">
      <c r="A630" s="2">
        <v>420</v>
      </c>
      <c r="D630" t="s">
        <v>420</v>
      </c>
      <c r="AF630" s="14"/>
      <c r="AG630" s="14"/>
      <c r="AH630" s="14"/>
      <c r="AI630" s="14"/>
      <c r="AJ630" s="51"/>
    </row>
    <row r="631" spans="1:36" x14ac:dyDescent="0.2">
      <c r="A631" s="2">
        <v>422</v>
      </c>
      <c r="D631" t="s">
        <v>422</v>
      </c>
      <c r="AF631" s="14"/>
      <c r="AG631" s="14"/>
      <c r="AH631" s="14"/>
      <c r="AI631" s="14"/>
      <c r="AJ631" s="51"/>
    </row>
    <row r="632" spans="1:36" x14ac:dyDescent="0.2">
      <c r="A632" s="2">
        <v>423</v>
      </c>
      <c r="D632" t="s">
        <v>423</v>
      </c>
      <c r="AF632" s="14"/>
      <c r="AG632" s="14"/>
      <c r="AH632" s="14"/>
      <c r="AI632" s="14"/>
      <c r="AJ632" s="51"/>
    </row>
    <row r="633" spans="1:36" x14ac:dyDescent="0.2">
      <c r="A633" s="2">
        <v>426</v>
      </c>
      <c r="D633" t="s">
        <v>426</v>
      </c>
      <c r="AF633" s="14"/>
      <c r="AG633" s="14"/>
      <c r="AH633" s="14"/>
      <c r="AI633" s="14"/>
      <c r="AJ633" s="51"/>
    </row>
    <row r="634" spans="1:36" x14ac:dyDescent="0.2">
      <c r="A634" s="2">
        <v>428</v>
      </c>
      <c r="D634" t="s">
        <v>428</v>
      </c>
      <c r="AF634" s="14"/>
      <c r="AG634" s="14"/>
      <c r="AH634" s="14"/>
      <c r="AI634" s="14"/>
      <c r="AJ634" s="51"/>
    </row>
    <row r="635" spans="1:36" x14ac:dyDescent="0.2">
      <c r="A635" s="2">
        <v>429</v>
      </c>
      <c r="D635" t="s">
        <v>429</v>
      </c>
      <c r="AF635" s="14"/>
      <c r="AG635" s="14"/>
      <c r="AH635" s="14"/>
      <c r="AI635" s="14"/>
      <c r="AJ635" s="51"/>
    </row>
    <row r="636" spans="1:36" x14ac:dyDescent="0.2">
      <c r="A636" s="2">
        <v>431</v>
      </c>
      <c r="D636" t="s">
        <v>431</v>
      </c>
      <c r="AF636" s="14"/>
      <c r="AG636" s="14"/>
      <c r="AH636" s="14"/>
      <c r="AI636" s="14"/>
      <c r="AJ636" s="51"/>
    </row>
    <row r="637" spans="1:36" x14ac:dyDescent="0.2">
      <c r="A637" s="2">
        <v>433</v>
      </c>
      <c r="D637" t="s">
        <v>433</v>
      </c>
      <c r="AF637" s="14"/>
      <c r="AG637" s="14"/>
      <c r="AH637" s="14"/>
      <c r="AI637" s="14"/>
      <c r="AJ637" s="51"/>
    </row>
    <row r="638" spans="1:36" x14ac:dyDescent="0.2">
      <c r="A638" s="2">
        <v>434</v>
      </c>
      <c r="D638" t="s">
        <v>434</v>
      </c>
      <c r="AF638" s="14"/>
      <c r="AG638" s="14"/>
      <c r="AH638" s="14"/>
      <c r="AI638" s="14"/>
      <c r="AJ638" s="51"/>
    </row>
    <row r="639" spans="1:36" x14ac:dyDescent="0.2">
      <c r="A639" s="2">
        <v>436</v>
      </c>
      <c r="D639" t="s">
        <v>436</v>
      </c>
      <c r="E639" t="s">
        <v>6</v>
      </c>
      <c r="AF639" s="14"/>
      <c r="AG639" s="14"/>
      <c r="AH639" s="14"/>
      <c r="AI639" s="14"/>
      <c r="AJ639" s="51"/>
    </row>
    <row r="640" spans="1:36" x14ac:dyDescent="0.2">
      <c r="A640" s="2">
        <v>438</v>
      </c>
      <c r="D640" t="s">
        <v>438</v>
      </c>
      <c r="E640" t="s">
        <v>717</v>
      </c>
      <c r="AF640" s="14"/>
      <c r="AG640" s="14"/>
      <c r="AH640" s="14"/>
      <c r="AI640" s="14"/>
      <c r="AJ640" s="51"/>
    </row>
    <row r="641" spans="1:36" x14ac:dyDescent="0.2">
      <c r="A641" s="2">
        <f t="shared" si="3"/>
        <v>439</v>
      </c>
      <c r="D641" t="s">
        <v>439</v>
      </c>
      <c r="AF641" s="14"/>
      <c r="AG641" s="14"/>
      <c r="AH641" s="14"/>
      <c r="AI641" s="14"/>
      <c r="AJ641" s="51"/>
    </row>
    <row r="642" spans="1:36" x14ac:dyDescent="0.2">
      <c r="A642" s="2">
        <v>440</v>
      </c>
      <c r="D642" t="s">
        <v>440</v>
      </c>
      <c r="AF642" s="14"/>
      <c r="AG642" s="14"/>
      <c r="AH642" s="14"/>
      <c r="AI642" s="14"/>
      <c r="AJ642" s="51"/>
    </row>
    <row r="643" spans="1:36" x14ac:dyDescent="0.2">
      <c r="A643" s="2">
        <v>444</v>
      </c>
      <c r="D643" t="s">
        <v>444</v>
      </c>
      <c r="AF643" s="14"/>
      <c r="AG643" s="14"/>
      <c r="AH643" s="14"/>
      <c r="AI643" s="14"/>
      <c r="AJ643" s="51"/>
    </row>
    <row r="644" spans="1:36" x14ac:dyDescent="0.2">
      <c r="A644" s="2">
        <v>424</v>
      </c>
      <c r="D644" t="s">
        <v>448</v>
      </c>
      <c r="E644" t="s">
        <v>6</v>
      </c>
      <c r="AF644" s="14"/>
      <c r="AG644" s="14"/>
      <c r="AH644" s="14"/>
      <c r="AI644" s="14"/>
      <c r="AJ644" s="51"/>
    </row>
    <row r="645" spans="1:36" x14ac:dyDescent="0.2">
      <c r="A645" s="2">
        <v>425</v>
      </c>
      <c r="D645" t="s">
        <v>449</v>
      </c>
      <c r="AF645" s="14"/>
      <c r="AG645" s="14"/>
      <c r="AH645" s="14"/>
      <c r="AI645" s="14"/>
      <c r="AJ645" s="51"/>
    </row>
    <row r="646" spans="1:36" x14ac:dyDescent="0.2">
      <c r="A646" s="2">
        <v>429</v>
      </c>
      <c r="D646" t="s">
        <v>453</v>
      </c>
      <c r="AF646" s="14"/>
      <c r="AG646" s="14"/>
      <c r="AH646" s="14"/>
      <c r="AI646" s="14"/>
      <c r="AJ646" s="51"/>
    </row>
    <row r="647" spans="1:36" x14ac:dyDescent="0.2">
      <c r="A647" s="2">
        <v>433</v>
      </c>
      <c r="D647" t="s">
        <v>458</v>
      </c>
      <c r="AF647" s="14"/>
      <c r="AG647" s="14"/>
      <c r="AH647" s="14"/>
      <c r="AI647" s="14"/>
      <c r="AJ647" s="51"/>
    </row>
    <row r="648" spans="1:36" x14ac:dyDescent="0.2">
      <c r="A648" s="2">
        <v>434</v>
      </c>
      <c r="D648" t="s">
        <v>459</v>
      </c>
      <c r="AF648" s="14"/>
      <c r="AG648" s="14"/>
      <c r="AH648" s="14"/>
      <c r="AI648" s="14"/>
      <c r="AJ648" s="51"/>
    </row>
    <row r="649" spans="1:36" x14ac:dyDescent="0.2">
      <c r="A649" s="2">
        <v>436</v>
      </c>
      <c r="D649" t="s">
        <v>461</v>
      </c>
      <c r="AF649" s="14"/>
      <c r="AG649" s="14"/>
      <c r="AH649" s="14"/>
      <c r="AI649" s="14"/>
      <c r="AJ649" s="51"/>
    </row>
    <row r="650" spans="1:36" x14ac:dyDescent="0.2">
      <c r="A650" s="2">
        <v>441</v>
      </c>
      <c r="D650" t="s">
        <v>467</v>
      </c>
      <c r="AF650" s="14"/>
      <c r="AG650" s="14"/>
      <c r="AH650" s="14"/>
      <c r="AI650" s="14"/>
      <c r="AJ650" s="51"/>
    </row>
    <row r="651" spans="1:36" x14ac:dyDescent="0.2">
      <c r="A651" s="2">
        <v>443</v>
      </c>
      <c r="D651" s="3" t="s">
        <v>468</v>
      </c>
      <c r="AF651" s="14"/>
      <c r="AG651" s="14"/>
      <c r="AH651" s="14"/>
      <c r="AI651" s="14"/>
      <c r="AJ651" s="51"/>
    </row>
    <row r="652" spans="1:36" x14ac:dyDescent="0.2">
      <c r="A652" s="2">
        <v>445</v>
      </c>
      <c r="D652" t="s">
        <v>470</v>
      </c>
      <c r="AF652" s="14"/>
      <c r="AG652" s="14"/>
      <c r="AH652" s="14"/>
      <c r="AI652" s="14"/>
      <c r="AJ652" s="51"/>
    </row>
    <row r="653" spans="1:36" x14ac:dyDescent="0.2">
      <c r="A653" s="2">
        <v>472</v>
      </c>
      <c r="D653" t="s">
        <v>475</v>
      </c>
      <c r="AF653" s="14"/>
      <c r="AG653" s="14"/>
      <c r="AH653" s="14"/>
      <c r="AI653" s="14"/>
      <c r="AJ653" s="51"/>
    </row>
    <row r="654" spans="1:36" x14ac:dyDescent="0.2">
      <c r="A654" s="2">
        <v>473</v>
      </c>
      <c r="D654" t="s">
        <v>476</v>
      </c>
      <c r="E654" t="s">
        <v>7</v>
      </c>
      <c r="AF654" s="14"/>
      <c r="AG654" s="14"/>
      <c r="AH654" s="14"/>
      <c r="AI654" s="14"/>
      <c r="AJ654" s="51"/>
    </row>
    <row r="655" spans="1:36" x14ac:dyDescent="0.2">
      <c r="A655" s="2">
        <v>476</v>
      </c>
      <c r="D655" t="s">
        <v>480</v>
      </c>
      <c r="AF655" s="14"/>
      <c r="AG655" s="14"/>
      <c r="AH655" s="14"/>
      <c r="AI655" s="14"/>
      <c r="AJ655" s="51"/>
    </row>
    <row r="656" spans="1:36" x14ac:dyDescent="0.2">
      <c r="A656" s="2">
        <v>480</v>
      </c>
      <c r="D656" t="s">
        <v>484</v>
      </c>
      <c r="AF656" s="14"/>
      <c r="AG656" s="14"/>
      <c r="AH656" s="14"/>
      <c r="AI656" s="14"/>
      <c r="AJ656" s="51"/>
    </row>
    <row r="657" spans="1:36" x14ac:dyDescent="0.2">
      <c r="A657" s="2">
        <f t="shared" ref="A657:A676" si="4">A656+1</f>
        <v>481</v>
      </c>
      <c r="D657" t="s">
        <v>486</v>
      </c>
      <c r="AF657" s="14"/>
      <c r="AG657" s="14"/>
      <c r="AH657" s="14"/>
      <c r="AI657" s="14"/>
      <c r="AJ657" s="51"/>
    </row>
    <row r="658" spans="1:36" x14ac:dyDescent="0.2">
      <c r="A658" s="2">
        <f t="shared" si="4"/>
        <v>482</v>
      </c>
      <c r="D658" t="s">
        <v>487</v>
      </c>
      <c r="AF658" s="14"/>
      <c r="AG658" s="14"/>
      <c r="AH658" s="14"/>
      <c r="AI658" s="14"/>
      <c r="AJ658" s="51"/>
    </row>
    <row r="659" spans="1:36" x14ac:dyDescent="0.2">
      <c r="A659" s="2">
        <f t="shared" si="4"/>
        <v>483</v>
      </c>
      <c r="B659" s="2">
        <v>471</v>
      </c>
      <c r="D659" s="3" t="s">
        <v>488</v>
      </c>
      <c r="AF659" s="14"/>
      <c r="AG659" s="14"/>
      <c r="AH659" s="14"/>
      <c r="AI659" s="14"/>
      <c r="AJ659" s="51"/>
    </row>
    <row r="660" spans="1:36" x14ac:dyDescent="0.2">
      <c r="A660" s="2">
        <f t="shared" si="4"/>
        <v>484</v>
      </c>
      <c r="D660" t="s">
        <v>489</v>
      </c>
      <c r="AF660" s="14"/>
      <c r="AG660" s="14"/>
      <c r="AH660" s="14"/>
      <c r="AI660" s="14"/>
      <c r="AJ660" s="51"/>
    </row>
    <row r="661" spans="1:36" x14ac:dyDescent="0.2">
      <c r="A661" s="2">
        <v>485</v>
      </c>
      <c r="D661" t="s">
        <v>490</v>
      </c>
      <c r="E661" t="s">
        <v>6</v>
      </c>
      <c r="G661" s="2">
        <v>8000</v>
      </c>
      <c r="AF661" s="14"/>
      <c r="AG661" s="14"/>
      <c r="AH661" s="14"/>
      <c r="AI661" s="14"/>
      <c r="AJ661" s="51"/>
    </row>
    <row r="662" spans="1:36" x14ac:dyDescent="0.2">
      <c r="D662" t="s">
        <v>1002</v>
      </c>
      <c r="AF662" s="14"/>
      <c r="AG662" s="14"/>
      <c r="AH662" s="14"/>
      <c r="AI662" s="14"/>
      <c r="AJ662" s="51"/>
    </row>
    <row r="663" spans="1:36" x14ac:dyDescent="0.2">
      <c r="A663" s="4">
        <v>488</v>
      </c>
      <c r="C663" s="4"/>
      <c r="D663" s="3" t="s">
        <v>493</v>
      </c>
      <c r="AF663" s="14"/>
      <c r="AG663" s="14"/>
      <c r="AH663" s="14"/>
      <c r="AI663" s="14"/>
      <c r="AJ663" s="51"/>
    </row>
    <row r="664" spans="1:36" x14ac:dyDescent="0.2">
      <c r="A664" s="2">
        <v>490</v>
      </c>
      <c r="D664" t="s">
        <v>495</v>
      </c>
      <c r="AF664" s="14"/>
      <c r="AG664" s="14"/>
      <c r="AH664" s="14"/>
      <c r="AI664" s="14"/>
      <c r="AJ664" s="51"/>
    </row>
    <row r="665" spans="1:36" x14ac:dyDescent="0.2">
      <c r="A665" s="2">
        <v>492</v>
      </c>
      <c r="D665" t="s">
        <v>498</v>
      </c>
      <c r="AF665" s="14"/>
      <c r="AG665" s="14"/>
      <c r="AH665" s="14"/>
      <c r="AI665" s="14"/>
      <c r="AJ665" s="51"/>
    </row>
    <row r="666" spans="1:36" x14ac:dyDescent="0.2">
      <c r="A666" s="2">
        <v>495</v>
      </c>
      <c r="D666" t="s">
        <v>502</v>
      </c>
      <c r="AF666" s="14"/>
      <c r="AG666" s="14"/>
      <c r="AH666" s="14"/>
      <c r="AI666" s="14"/>
      <c r="AJ666" s="51"/>
    </row>
    <row r="667" spans="1:36" x14ac:dyDescent="0.2">
      <c r="A667" s="2">
        <v>496</v>
      </c>
      <c r="D667" t="s">
        <v>503</v>
      </c>
      <c r="AF667" s="14"/>
      <c r="AG667" s="14"/>
      <c r="AH667" s="14"/>
      <c r="AI667" s="14"/>
      <c r="AJ667" s="51"/>
    </row>
    <row r="668" spans="1:36" x14ac:dyDescent="0.2">
      <c r="A668" s="2">
        <v>500</v>
      </c>
      <c r="D668" t="s">
        <v>507</v>
      </c>
      <c r="AF668" s="14"/>
      <c r="AG668" s="14"/>
      <c r="AH668" s="14"/>
      <c r="AI668" s="14"/>
      <c r="AJ668" s="51"/>
    </row>
    <row r="669" spans="1:36" x14ac:dyDescent="0.2">
      <c r="A669" s="2">
        <f t="shared" si="4"/>
        <v>501</v>
      </c>
      <c r="B669" s="4"/>
      <c r="D669" t="s">
        <v>508</v>
      </c>
      <c r="AF669" s="14"/>
      <c r="AG669" s="14"/>
      <c r="AH669" s="14"/>
      <c r="AI669" s="14"/>
      <c r="AJ669" s="51"/>
    </row>
    <row r="670" spans="1:36" x14ac:dyDescent="0.2">
      <c r="A670" s="2">
        <f t="shared" si="4"/>
        <v>502</v>
      </c>
      <c r="D670" t="s">
        <v>509</v>
      </c>
      <c r="AF670" s="14"/>
      <c r="AG670" s="14"/>
      <c r="AH670" s="14"/>
      <c r="AI670" s="14"/>
      <c r="AJ670" s="51"/>
    </row>
    <row r="671" spans="1:36" x14ac:dyDescent="0.2">
      <c r="A671" s="2">
        <f t="shared" si="4"/>
        <v>503</v>
      </c>
      <c r="B671" s="4"/>
      <c r="C671" s="2">
        <v>60</v>
      </c>
      <c r="D671" t="s">
        <v>510</v>
      </c>
      <c r="AF671" s="14"/>
      <c r="AG671" s="14"/>
      <c r="AH671" s="14"/>
      <c r="AI671" s="14"/>
      <c r="AJ671" s="51"/>
    </row>
    <row r="672" spans="1:36" x14ac:dyDescent="0.2">
      <c r="A672" s="2">
        <v>504</v>
      </c>
      <c r="D672" t="s">
        <v>511</v>
      </c>
      <c r="AF672" s="14"/>
      <c r="AG672" s="14"/>
      <c r="AH672" s="14"/>
      <c r="AI672" s="14"/>
      <c r="AJ672" s="51"/>
    </row>
    <row r="673" spans="1:37" x14ac:dyDescent="0.2">
      <c r="A673" s="2">
        <v>506</v>
      </c>
      <c r="D673" t="s">
        <v>513</v>
      </c>
      <c r="AF673" s="14"/>
      <c r="AG673" s="14"/>
      <c r="AH673" s="14"/>
      <c r="AI673" s="14"/>
      <c r="AJ673" s="51"/>
    </row>
    <row r="674" spans="1:37" x14ac:dyDescent="0.2">
      <c r="A674" s="2">
        <v>507</v>
      </c>
      <c r="D674" t="s">
        <v>514</v>
      </c>
      <c r="AF674" s="14"/>
      <c r="AG674" s="14"/>
      <c r="AH674" s="14"/>
      <c r="AI674" s="14"/>
      <c r="AJ674" s="51"/>
    </row>
    <row r="675" spans="1:37" x14ac:dyDescent="0.2">
      <c r="A675" s="2">
        <v>509</v>
      </c>
      <c r="D675" s="3" t="s">
        <v>516</v>
      </c>
      <c r="AF675" s="14"/>
      <c r="AG675" s="14"/>
      <c r="AH675" s="14"/>
      <c r="AI675" s="14"/>
      <c r="AJ675" s="51"/>
    </row>
    <row r="676" spans="1:37" x14ac:dyDescent="0.2">
      <c r="A676" s="2">
        <f t="shared" si="4"/>
        <v>510</v>
      </c>
      <c r="D676" t="s">
        <v>517</v>
      </c>
      <c r="AF676" s="14"/>
      <c r="AG676" s="14"/>
      <c r="AH676" s="14"/>
      <c r="AI676" s="14"/>
      <c r="AJ676" s="51"/>
    </row>
    <row r="677" spans="1:37" x14ac:dyDescent="0.2">
      <c r="A677" s="2">
        <v>489</v>
      </c>
      <c r="D677" t="s">
        <v>622</v>
      </c>
      <c r="E677" t="s">
        <v>621</v>
      </c>
      <c r="H677" s="2">
        <v>23.18</v>
      </c>
      <c r="AF677" s="14"/>
      <c r="AG677" s="14"/>
      <c r="AH677" s="14"/>
      <c r="AI677" s="14"/>
      <c r="AJ677" s="51"/>
    </row>
    <row r="678" spans="1:37" x14ac:dyDescent="0.2">
      <c r="A678" s="2">
        <v>524</v>
      </c>
      <c r="C678" s="2">
        <v>233</v>
      </c>
      <c r="D678" t="s">
        <v>1063</v>
      </c>
      <c r="H678" s="15">
        <v>142.30000000000001</v>
      </c>
      <c r="K678" s="15"/>
      <c r="AF678" s="14"/>
      <c r="AG678" s="14">
        <v>142.30000000000001</v>
      </c>
      <c r="AH678" s="14"/>
      <c r="AI678" s="14"/>
      <c r="AJ678" s="51"/>
      <c r="AK678" s="19">
        <v>0.22013888888888888</v>
      </c>
    </row>
    <row r="679" spans="1:37" x14ac:dyDescent="0.2">
      <c r="A679" s="2">
        <v>587</v>
      </c>
      <c r="D679" t="s">
        <v>617</v>
      </c>
      <c r="H679" s="2">
        <v>48.41</v>
      </c>
      <c r="AF679" s="14"/>
      <c r="AG679" s="14"/>
      <c r="AH679" s="14"/>
      <c r="AI679" s="14"/>
      <c r="AJ679" s="51"/>
    </row>
    <row r="680" spans="1:37" x14ac:dyDescent="0.2">
      <c r="A680" s="2">
        <v>599</v>
      </c>
      <c r="C680" s="2">
        <v>255</v>
      </c>
      <c r="D680" t="s">
        <v>941</v>
      </c>
      <c r="E680" t="s">
        <v>546</v>
      </c>
      <c r="H680" s="15">
        <v>75.209999999999994</v>
      </c>
      <c r="K680" s="15"/>
      <c r="AF680" s="14"/>
      <c r="AG680" s="14">
        <v>75.209999999999994</v>
      </c>
      <c r="AH680" s="14"/>
      <c r="AI680" s="14"/>
      <c r="AJ680" s="51"/>
      <c r="AK680" s="19">
        <v>0.62847222222222221</v>
      </c>
    </row>
    <row r="681" spans="1:37" x14ac:dyDescent="0.2">
      <c r="D681" t="s">
        <v>1003</v>
      </c>
      <c r="AF681" s="14"/>
      <c r="AG681" s="14"/>
      <c r="AH681" s="14"/>
      <c r="AI681" s="14"/>
      <c r="AJ681" s="51"/>
    </row>
    <row r="682" spans="1:37" x14ac:dyDescent="0.2">
      <c r="D682" t="s">
        <v>1004</v>
      </c>
      <c r="AF682" s="14"/>
      <c r="AG682" s="14"/>
      <c r="AH682" s="14"/>
      <c r="AI682" s="14"/>
      <c r="AJ682" s="51"/>
    </row>
    <row r="683" spans="1:37" x14ac:dyDescent="0.2">
      <c r="A683" s="2">
        <v>601</v>
      </c>
      <c r="D683" t="s">
        <v>718</v>
      </c>
      <c r="E683" t="s">
        <v>719</v>
      </c>
      <c r="G683" s="2">
        <v>10000</v>
      </c>
      <c r="H683" s="2">
        <v>16.29</v>
      </c>
      <c r="AF683" s="14"/>
      <c r="AG683" s="14"/>
      <c r="AH683" s="14"/>
      <c r="AI683" s="14"/>
      <c r="AJ683" s="51"/>
    </row>
    <row r="684" spans="1:37" x14ac:dyDescent="0.2">
      <c r="D684" t="s">
        <v>840</v>
      </c>
      <c r="AF684" s="14"/>
      <c r="AG684" s="14"/>
      <c r="AH684" s="14"/>
      <c r="AI684" s="14"/>
      <c r="AJ684" s="51"/>
    </row>
    <row r="685" spans="1:37" x14ac:dyDescent="0.2">
      <c r="B685" s="2">
        <v>233</v>
      </c>
      <c r="D685" t="s">
        <v>841</v>
      </c>
      <c r="AF685" s="14"/>
      <c r="AG685" s="14"/>
      <c r="AH685" s="14"/>
      <c r="AI685" s="14"/>
      <c r="AJ685" s="51"/>
    </row>
    <row r="686" spans="1:37" x14ac:dyDescent="0.2">
      <c r="D686" t="s">
        <v>842</v>
      </c>
      <c r="AF686" s="14"/>
      <c r="AG686" s="14"/>
      <c r="AH686" s="14"/>
      <c r="AI686" s="14"/>
      <c r="AJ686" s="51"/>
    </row>
    <row r="687" spans="1:37" x14ac:dyDescent="0.2">
      <c r="A687" s="2">
        <v>691</v>
      </c>
      <c r="D687" t="s">
        <v>592</v>
      </c>
      <c r="H687" s="2">
        <v>24.11</v>
      </c>
      <c r="AF687" s="14"/>
      <c r="AG687" s="14"/>
      <c r="AH687" s="14"/>
      <c r="AI687" s="14"/>
      <c r="AJ687" s="51"/>
    </row>
    <row r="688" spans="1:37" x14ac:dyDescent="0.2">
      <c r="A688" s="2">
        <v>720</v>
      </c>
      <c r="D688" t="s">
        <v>627</v>
      </c>
      <c r="H688" s="2">
        <v>126.9</v>
      </c>
      <c r="AF688" s="14"/>
      <c r="AG688" s="14"/>
      <c r="AH688" s="14"/>
      <c r="AI688" s="14"/>
      <c r="AJ688" s="51"/>
    </row>
    <row r="689" spans="1:37" x14ac:dyDescent="0.2">
      <c r="A689" s="2">
        <v>729</v>
      </c>
      <c r="B689" s="2">
        <v>599</v>
      </c>
      <c r="D689" t="s">
        <v>625</v>
      </c>
      <c r="H689" s="2">
        <v>18.29</v>
      </c>
      <c r="AF689" s="14"/>
      <c r="AG689" s="14"/>
      <c r="AH689" s="14"/>
      <c r="AI689" s="14"/>
      <c r="AJ689" s="51"/>
    </row>
    <row r="690" spans="1:37" x14ac:dyDescent="0.2">
      <c r="A690" s="2">
        <v>737</v>
      </c>
      <c r="D690" t="s">
        <v>660</v>
      </c>
      <c r="H690" s="2">
        <v>28.83</v>
      </c>
      <c r="AF690" s="14"/>
      <c r="AG690" s="14"/>
      <c r="AH690" s="14"/>
      <c r="AI690" s="14"/>
      <c r="AJ690" s="51"/>
    </row>
    <row r="691" spans="1:37" x14ac:dyDescent="0.2">
      <c r="A691" s="2">
        <v>739</v>
      </c>
      <c r="C691" s="2">
        <v>1883</v>
      </c>
      <c r="D691" t="s">
        <v>661</v>
      </c>
      <c r="E691" t="s">
        <v>778</v>
      </c>
      <c r="G691" s="2">
        <v>750000</v>
      </c>
      <c r="H691" s="2">
        <v>22.08</v>
      </c>
      <c r="AF691" s="14"/>
      <c r="AG691" s="14">
        <v>20.48</v>
      </c>
      <c r="AH691" s="14"/>
      <c r="AI691" s="14"/>
      <c r="AJ691" s="51"/>
      <c r="AK691" s="19">
        <v>0.15694444444444444</v>
      </c>
    </row>
    <row r="692" spans="1:37" x14ac:dyDescent="0.2">
      <c r="A692" s="2">
        <v>804</v>
      </c>
      <c r="D692" t="s">
        <v>620</v>
      </c>
      <c r="E692" t="s">
        <v>621</v>
      </c>
      <c r="H692" s="2">
        <v>87.23</v>
      </c>
      <c r="AF692" s="14"/>
      <c r="AG692" s="14"/>
      <c r="AH692" s="14"/>
      <c r="AI692" s="14"/>
      <c r="AJ692" s="51"/>
    </row>
    <row r="693" spans="1:37" x14ac:dyDescent="0.2">
      <c r="A693" s="2">
        <v>855</v>
      </c>
      <c r="D693" t="s">
        <v>659</v>
      </c>
      <c r="H693" s="2">
        <v>18.73</v>
      </c>
      <c r="AF693" s="14"/>
      <c r="AG693" s="14"/>
      <c r="AH693" s="14"/>
      <c r="AI693" s="14"/>
      <c r="AJ693" s="51"/>
    </row>
    <row r="694" spans="1:37" x14ac:dyDescent="0.2">
      <c r="A694" s="2">
        <v>903</v>
      </c>
      <c r="D694" t="s">
        <v>644</v>
      </c>
      <c r="H694" s="2">
        <v>22.7</v>
      </c>
      <c r="AF694" s="14"/>
      <c r="AG694" s="14"/>
      <c r="AH694" s="14"/>
      <c r="AI694" s="14"/>
      <c r="AJ694" s="51"/>
    </row>
    <row r="695" spans="1:37" x14ac:dyDescent="0.2">
      <c r="A695" s="2">
        <v>928</v>
      </c>
      <c r="C695" s="2">
        <v>545</v>
      </c>
      <c r="D695" t="s">
        <v>1161</v>
      </c>
      <c r="H695" s="15">
        <v>84.84</v>
      </c>
      <c r="K695" s="15"/>
      <c r="AF695" s="14"/>
      <c r="AG695" s="14">
        <v>84.84</v>
      </c>
      <c r="AH695" s="14"/>
      <c r="AI695" s="14"/>
      <c r="AJ695" s="51"/>
      <c r="AK695" s="19">
        <v>0.1423611111111111</v>
      </c>
    </row>
    <row r="696" spans="1:37" x14ac:dyDescent="0.2">
      <c r="A696" s="2">
        <v>946</v>
      </c>
      <c r="D696" t="s">
        <v>643</v>
      </c>
      <c r="H696" s="2">
        <v>14.63</v>
      </c>
      <c r="AF696" s="14"/>
      <c r="AG696" s="14"/>
      <c r="AH696" s="14"/>
      <c r="AI696" s="14"/>
      <c r="AJ696" s="51"/>
    </row>
    <row r="697" spans="1:37" x14ac:dyDescent="0.2">
      <c r="A697" s="2">
        <v>1004</v>
      </c>
      <c r="D697" t="s">
        <v>580</v>
      </c>
      <c r="H697" s="2">
        <v>32</v>
      </c>
      <c r="AF697" s="14"/>
      <c r="AG697" s="14"/>
      <c r="AH697" s="14"/>
      <c r="AI697" s="14"/>
      <c r="AJ697" s="51"/>
    </row>
    <row r="698" spans="1:37" x14ac:dyDescent="0.2">
      <c r="A698" s="2">
        <v>1017</v>
      </c>
      <c r="B698" s="4"/>
      <c r="D698" t="s">
        <v>665</v>
      </c>
      <c r="H698" s="2">
        <v>18.64</v>
      </c>
      <c r="AF698" s="14"/>
      <c r="AG698" s="14"/>
      <c r="AH698" s="14"/>
      <c r="AI698" s="14"/>
      <c r="AJ698" s="51"/>
    </row>
    <row r="699" spans="1:37" x14ac:dyDescent="0.2">
      <c r="A699" s="2">
        <v>1018</v>
      </c>
      <c r="C699" s="2">
        <v>1418</v>
      </c>
      <c r="D699" t="s">
        <v>1082</v>
      </c>
      <c r="H699" s="15">
        <v>36.590000000000003</v>
      </c>
      <c r="K699" s="15"/>
      <c r="AF699" s="14"/>
      <c r="AG699" s="14">
        <v>36.590000000000003</v>
      </c>
      <c r="AH699" s="14"/>
      <c r="AI699" s="14"/>
      <c r="AJ699" s="51"/>
      <c r="AK699" s="19">
        <v>0.37777777777777777</v>
      </c>
    </row>
    <row r="700" spans="1:37" x14ac:dyDescent="0.2">
      <c r="A700" s="2">
        <v>1020</v>
      </c>
      <c r="D700" t="s">
        <v>575</v>
      </c>
      <c r="H700" s="2">
        <v>18.77</v>
      </c>
      <c r="I700" s="15">
        <v>0.52566199999999996</v>
      </c>
      <c r="J700" s="16">
        <v>0.42083700000000002</v>
      </c>
      <c r="K700" s="2">
        <v>9.3979999999999997</v>
      </c>
      <c r="AF700" s="14"/>
      <c r="AG700" s="14"/>
      <c r="AH700" s="14"/>
      <c r="AI700" s="14"/>
      <c r="AJ700" s="51"/>
      <c r="AK700" s="20" t="s">
        <v>753</v>
      </c>
    </row>
    <row r="701" spans="1:37" x14ac:dyDescent="0.2">
      <c r="A701" s="2">
        <v>1057</v>
      </c>
      <c r="D701" t="s">
        <v>618</v>
      </c>
      <c r="H701" s="2">
        <v>37.200000000000003</v>
      </c>
      <c r="AF701" s="14"/>
      <c r="AG701" s="14"/>
      <c r="AH701" s="14"/>
      <c r="AI701" s="14"/>
      <c r="AJ701" s="51"/>
    </row>
    <row r="702" spans="1:37" x14ac:dyDescent="0.2">
      <c r="B702" s="4"/>
      <c r="D702" t="s">
        <v>1192</v>
      </c>
      <c r="AF702" s="14"/>
      <c r="AG702" s="14"/>
      <c r="AH702" s="14"/>
      <c r="AI702" s="14"/>
      <c r="AJ702" s="51"/>
    </row>
    <row r="703" spans="1:37" x14ac:dyDescent="0.2">
      <c r="A703" s="2">
        <v>1058</v>
      </c>
      <c r="B703" s="2">
        <v>784</v>
      </c>
      <c r="D703" t="s">
        <v>727</v>
      </c>
      <c r="H703" s="2">
        <v>18.8</v>
      </c>
      <c r="AF703" s="14"/>
      <c r="AG703" s="14"/>
      <c r="AH703" s="14"/>
      <c r="AI703" s="14"/>
      <c r="AJ703" s="51"/>
    </row>
    <row r="704" spans="1:37" x14ac:dyDescent="0.2">
      <c r="A704" s="2">
        <v>1066</v>
      </c>
      <c r="C704" s="2">
        <v>191</v>
      </c>
      <c r="D704" t="s">
        <v>1062</v>
      </c>
      <c r="H704" s="15">
        <v>192.4</v>
      </c>
      <c r="K704" s="15"/>
      <c r="AF704" s="14"/>
      <c r="AG704" s="14">
        <v>192.4</v>
      </c>
      <c r="AH704" s="14"/>
      <c r="AI704" s="14"/>
      <c r="AJ704" s="51"/>
      <c r="AK704" s="19">
        <v>0.17500000000000002</v>
      </c>
    </row>
    <row r="705" spans="1:37" x14ac:dyDescent="0.2">
      <c r="A705" s="2">
        <v>1069</v>
      </c>
      <c r="D705" t="s">
        <v>725</v>
      </c>
      <c r="H705" s="2">
        <v>22.74</v>
      </c>
      <c r="I705" s="15">
        <v>0.74942299999999995</v>
      </c>
      <c r="J705" s="16">
        <v>0.68430000000000002</v>
      </c>
      <c r="K705" s="2">
        <v>16.010000000000002</v>
      </c>
      <c r="AF705" s="14"/>
      <c r="AG705" s="14"/>
      <c r="AH705" s="14"/>
      <c r="AI705" s="14"/>
      <c r="AJ705" s="51"/>
      <c r="AK705" s="19">
        <v>4.5833333333333337E-2</v>
      </c>
    </row>
    <row r="706" spans="1:37" x14ac:dyDescent="0.2">
      <c r="A706" s="2">
        <v>1125</v>
      </c>
      <c r="B706" s="2">
        <v>928</v>
      </c>
      <c r="D706" t="s">
        <v>720</v>
      </c>
      <c r="H706" s="2">
        <v>38.51</v>
      </c>
      <c r="AF706" s="14"/>
      <c r="AG706" s="14"/>
      <c r="AH706" s="14"/>
      <c r="AI706" s="14"/>
      <c r="AJ706" s="51"/>
    </row>
    <row r="707" spans="1:37" x14ac:dyDescent="0.2">
      <c r="A707" s="2">
        <v>1146</v>
      </c>
      <c r="C707" s="2">
        <v>819</v>
      </c>
      <c r="D707" t="s">
        <v>1094</v>
      </c>
      <c r="H707" s="15">
        <v>55.55</v>
      </c>
      <c r="K707" s="15"/>
      <c r="AF707" s="14"/>
      <c r="AG707" s="14">
        <v>55.55</v>
      </c>
      <c r="AH707" s="14"/>
      <c r="AI707" s="14"/>
      <c r="AJ707" s="51"/>
      <c r="AK707" s="19">
        <v>0.15902777777777777</v>
      </c>
    </row>
    <row r="708" spans="1:37" x14ac:dyDescent="0.2">
      <c r="D708" t="s">
        <v>1202</v>
      </c>
      <c r="H708" s="15"/>
      <c r="K708" s="15"/>
      <c r="AF708" s="14"/>
      <c r="AG708" s="14"/>
      <c r="AH708" s="14"/>
      <c r="AI708" s="14"/>
      <c r="AJ708" s="51"/>
      <c r="AK708" s="19"/>
    </row>
    <row r="709" spans="1:37" x14ac:dyDescent="0.2">
      <c r="D709" t="s">
        <v>1203</v>
      </c>
      <c r="H709" s="15"/>
      <c r="K709" s="15"/>
      <c r="AF709" s="14"/>
      <c r="AG709" s="14"/>
      <c r="AH709" s="14"/>
      <c r="AI709" s="14"/>
      <c r="AJ709" s="51"/>
      <c r="AK709" s="19"/>
    </row>
    <row r="710" spans="1:37" x14ac:dyDescent="0.2">
      <c r="A710" s="2">
        <v>1172</v>
      </c>
      <c r="B710" s="2">
        <v>1018</v>
      </c>
      <c r="D710" t="s">
        <v>812</v>
      </c>
      <c r="H710" s="2">
        <v>19.43</v>
      </c>
      <c r="N710" s="1">
        <f>AE710/AG710-1</f>
        <v>-0.46011322696860524</v>
      </c>
      <c r="AE710" s="1">
        <v>10.49</v>
      </c>
      <c r="AF710" s="14"/>
      <c r="AG710" s="14">
        <v>19.43</v>
      </c>
      <c r="AH710" s="14"/>
      <c r="AI710" s="14"/>
      <c r="AJ710" s="51"/>
      <c r="AK710" s="45" t="s">
        <v>813</v>
      </c>
    </row>
    <row r="711" spans="1:37" x14ac:dyDescent="0.2">
      <c r="D711" t="s">
        <v>1185</v>
      </c>
      <c r="AF711" s="14"/>
      <c r="AG711" s="14"/>
      <c r="AH711" s="14"/>
      <c r="AI711" s="14"/>
      <c r="AJ711" s="51"/>
      <c r="AK711" s="45"/>
    </row>
    <row r="712" spans="1:37" x14ac:dyDescent="0.2">
      <c r="A712" s="2">
        <v>1180</v>
      </c>
      <c r="D712" t="s">
        <v>667</v>
      </c>
      <c r="H712" s="2">
        <v>19.940000000000001</v>
      </c>
      <c r="AF712" s="14"/>
      <c r="AG712" s="14"/>
      <c r="AH712" s="14"/>
      <c r="AI712" s="14"/>
      <c r="AJ712" s="51"/>
    </row>
    <row r="713" spans="1:37" x14ac:dyDescent="0.2">
      <c r="A713" s="2">
        <v>1213</v>
      </c>
      <c r="C713" s="2">
        <v>1574</v>
      </c>
      <c r="D713" t="s">
        <v>1154</v>
      </c>
      <c r="H713" s="15">
        <v>46.71</v>
      </c>
      <c r="K713" s="15"/>
      <c r="AF713" s="14"/>
      <c r="AG713" s="14">
        <v>46.71</v>
      </c>
      <c r="AH713" s="14"/>
      <c r="AI713" s="14"/>
      <c r="AJ713" s="51"/>
      <c r="AK713" s="19">
        <v>5.0694444444444452E-2</v>
      </c>
    </row>
    <row r="714" spans="1:37" x14ac:dyDescent="0.2">
      <c r="A714" s="2">
        <v>1285</v>
      </c>
      <c r="C714" s="2">
        <v>2140</v>
      </c>
      <c r="D714" t="s">
        <v>1149</v>
      </c>
      <c r="H714" s="15">
        <v>32.049999999999997</v>
      </c>
      <c r="K714" s="15"/>
      <c r="AF714" s="14"/>
      <c r="AG714" s="14">
        <v>32.049999999999997</v>
      </c>
      <c r="AH714" s="14"/>
      <c r="AI714" s="14"/>
      <c r="AJ714" s="51"/>
      <c r="AK714" s="19">
        <v>0.11944444444444445</v>
      </c>
    </row>
    <row r="715" spans="1:37" x14ac:dyDescent="0.2">
      <c r="A715" s="2">
        <v>1315</v>
      </c>
      <c r="B715" s="2">
        <v>1066</v>
      </c>
      <c r="D715" t="s">
        <v>728</v>
      </c>
      <c r="H715" s="2">
        <v>23.57</v>
      </c>
      <c r="AF715" s="14"/>
      <c r="AG715" s="14"/>
      <c r="AH715" s="14"/>
      <c r="AI715" s="14"/>
      <c r="AJ715" s="51"/>
    </row>
    <row r="716" spans="1:37" x14ac:dyDescent="0.2">
      <c r="A716" s="2">
        <v>1334</v>
      </c>
      <c r="D716" t="s">
        <v>650</v>
      </c>
      <c r="H716" s="2">
        <v>15.56</v>
      </c>
      <c r="AF716" s="14"/>
      <c r="AG716" s="14"/>
      <c r="AH716" s="14"/>
      <c r="AI716" s="14"/>
      <c r="AJ716" s="51"/>
    </row>
    <row r="717" spans="1:37" x14ac:dyDescent="0.2">
      <c r="A717" s="2">
        <v>1353</v>
      </c>
      <c r="D717" t="s">
        <v>666</v>
      </c>
      <c r="H717" s="2">
        <v>24.04</v>
      </c>
      <c r="AF717" s="14"/>
      <c r="AG717" s="14"/>
      <c r="AH717" s="14"/>
      <c r="AI717" s="14"/>
      <c r="AJ717" s="51"/>
    </row>
    <row r="718" spans="1:37" x14ac:dyDescent="0.2">
      <c r="A718" s="2">
        <v>1369</v>
      </c>
      <c r="B718" s="2">
        <v>1146</v>
      </c>
      <c r="D718" t="s">
        <v>658</v>
      </c>
      <c r="H718" s="2">
        <v>19.04</v>
      </c>
      <c r="AF718" s="14"/>
      <c r="AG718" s="14"/>
      <c r="AH718" s="14"/>
      <c r="AI718" s="14"/>
      <c r="AJ718" s="51"/>
    </row>
    <row r="719" spans="1:37" x14ac:dyDescent="0.2">
      <c r="A719" s="2">
        <v>1385</v>
      </c>
      <c r="D719" t="s">
        <v>732</v>
      </c>
      <c r="H719" s="2">
        <v>28.49</v>
      </c>
      <c r="AF719" s="14"/>
      <c r="AG719" s="14"/>
      <c r="AH719" s="14"/>
      <c r="AI719" s="14"/>
      <c r="AJ719" s="51"/>
    </row>
    <row r="720" spans="1:37" x14ac:dyDescent="0.2">
      <c r="D720" t="s">
        <v>1122</v>
      </c>
      <c r="AF720" s="14"/>
      <c r="AG720" s="14"/>
      <c r="AH720" s="14"/>
      <c r="AI720" s="14"/>
      <c r="AJ720" s="51"/>
    </row>
    <row r="721" spans="1:45" x14ac:dyDescent="0.2">
      <c r="A721" s="2">
        <v>1413</v>
      </c>
      <c r="D721" t="s">
        <v>672</v>
      </c>
      <c r="E721" t="s">
        <v>5</v>
      </c>
      <c r="H721" s="2">
        <v>11.14</v>
      </c>
      <c r="AF721" s="14"/>
      <c r="AG721" s="14"/>
      <c r="AH721" s="14"/>
      <c r="AI721" s="14"/>
      <c r="AJ721" s="51"/>
    </row>
    <row r="722" spans="1:45" x14ac:dyDescent="0.2">
      <c r="A722" s="2">
        <v>1442</v>
      </c>
      <c r="D722" t="s">
        <v>649</v>
      </c>
      <c r="H722" s="2">
        <v>15.9</v>
      </c>
      <c r="AF722" s="14"/>
      <c r="AG722" s="14"/>
      <c r="AH722" s="14"/>
      <c r="AI722" s="14"/>
      <c r="AJ722" s="51"/>
    </row>
    <row r="723" spans="1:45" x14ac:dyDescent="0.2">
      <c r="A723" s="2">
        <v>1448</v>
      </c>
      <c r="D723" t="s">
        <v>730</v>
      </c>
      <c r="H723" s="2">
        <v>7.6420000000000003</v>
      </c>
      <c r="AF723" s="14"/>
      <c r="AG723" s="14"/>
      <c r="AH723" s="14"/>
      <c r="AI723" s="14"/>
      <c r="AJ723" s="51"/>
    </row>
    <row r="724" spans="1:45" x14ac:dyDescent="0.2">
      <c r="B724" s="2">
        <v>1213</v>
      </c>
      <c r="D724" t="s">
        <v>970</v>
      </c>
      <c r="AD724" s="4"/>
      <c r="AF724" s="14"/>
      <c r="AG724" s="14"/>
      <c r="AH724" s="14"/>
      <c r="AI724" s="14"/>
      <c r="AJ724" s="51"/>
    </row>
    <row r="725" spans="1:45" x14ac:dyDescent="0.2">
      <c r="A725" s="2">
        <v>1452</v>
      </c>
      <c r="D725" t="s">
        <v>655</v>
      </c>
      <c r="H725" s="2">
        <v>9.1170000000000009</v>
      </c>
      <c r="AF725" s="14"/>
      <c r="AG725" s="14"/>
      <c r="AH725" s="14"/>
      <c r="AI725" s="14"/>
      <c r="AJ725" s="51"/>
    </row>
    <row r="726" spans="1:45" s="3" customFormat="1" x14ac:dyDescent="0.2">
      <c r="A726" s="4">
        <v>1472</v>
      </c>
      <c r="B726" s="2">
        <v>2140</v>
      </c>
      <c r="C726" s="4"/>
      <c r="D726" s="3" t="s">
        <v>570</v>
      </c>
      <c r="G726" s="4"/>
      <c r="H726" s="4"/>
      <c r="I726" s="16"/>
      <c r="J726" s="16"/>
      <c r="K726" s="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2"/>
      <c r="AE726" s="9"/>
      <c r="AF726" s="46"/>
      <c r="AG726" s="46"/>
      <c r="AH726" s="46"/>
      <c r="AI726" s="46"/>
      <c r="AJ726" s="52"/>
      <c r="AQ726"/>
      <c r="AR726"/>
      <c r="AS726"/>
    </row>
    <row r="727" spans="1:45" x14ac:dyDescent="0.2">
      <c r="A727" s="2">
        <v>1370</v>
      </c>
      <c r="D727" t="s">
        <v>589</v>
      </c>
      <c r="E727" t="s">
        <v>6</v>
      </c>
      <c r="H727" s="2">
        <v>20.04</v>
      </c>
      <c r="I727" s="15">
        <v>0.67822000000000005</v>
      </c>
      <c r="J727" s="16">
        <v>0.599553</v>
      </c>
      <c r="K727" s="2">
        <v>8.0830000000000002</v>
      </c>
      <c r="AF727" s="14"/>
      <c r="AG727" s="14"/>
      <c r="AH727" s="14"/>
      <c r="AI727" s="14"/>
      <c r="AJ727" s="51"/>
      <c r="AK727" s="20" t="s">
        <v>752</v>
      </c>
      <c r="AQ727" s="3"/>
      <c r="AR727" s="3"/>
      <c r="AS727" s="3"/>
    </row>
    <row r="728" spans="1:45" x14ac:dyDescent="0.2">
      <c r="A728" s="2">
        <v>1551</v>
      </c>
      <c r="D728" t="s">
        <v>630</v>
      </c>
      <c r="H728" s="2">
        <v>11.8</v>
      </c>
      <c r="AF728" s="14"/>
      <c r="AG728" s="14"/>
      <c r="AH728" s="14"/>
      <c r="AI728" s="14"/>
      <c r="AJ728" s="51"/>
    </row>
    <row r="729" spans="1:45" x14ac:dyDescent="0.2">
      <c r="A729" s="2">
        <v>1572</v>
      </c>
      <c r="C729" s="2">
        <v>1023</v>
      </c>
      <c r="D729" t="s">
        <v>1071</v>
      </c>
      <c r="H729" s="2">
        <v>48.22</v>
      </c>
      <c r="AF729" s="14"/>
      <c r="AG729" s="14">
        <v>48.22</v>
      </c>
      <c r="AH729" s="14"/>
      <c r="AI729" s="14"/>
      <c r="AJ729" s="51"/>
      <c r="AK729" s="19">
        <v>0.25625000000000003</v>
      </c>
    </row>
    <row r="730" spans="1:45" x14ac:dyDescent="0.2">
      <c r="A730" s="2">
        <v>1609</v>
      </c>
      <c r="D730" t="s">
        <v>645</v>
      </c>
      <c r="H730" s="2">
        <v>14.72</v>
      </c>
      <c r="AF730" s="14"/>
      <c r="AG730" s="14"/>
      <c r="AH730" s="14"/>
      <c r="AI730" s="14"/>
      <c r="AJ730" s="51"/>
    </row>
    <row r="731" spans="1:45" x14ac:dyDescent="0.2">
      <c r="A731" s="2">
        <v>1611</v>
      </c>
      <c r="D731" t="s">
        <v>668</v>
      </c>
      <c r="H731" s="2">
        <v>14.64</v>
      </c>
      <c r="AF731" s="14"/>
      <c r="AG731" s="14"/>
      <c r="AH731" s="14"/>
      <c r="AI731" s="14"/>
      <c r="AJ731" s="51"/>
    </row>
    <row r="732" spans="1:45" x14ac:dyDescent="0.2">
      <c r="A732" s="2">
        <v>1633</v>
      </c>
      <c r="D732" t="s">
        <v>754</v>
      </c>
      <c r="H732" s="2">
        <v>10.41</v>
      </c>
      <c r="I732" s="15">
        <v>0.38325799999999999</v>
      </c>
      <c r="J732" s="16">
        <v>0.36001499999999997</v>
      </c>
      <c r="K732" s="2">
        <v>8.4350000000000005</v>
      </c>
      <c r="AF732" s="14"/>
      <c r="AG732" s="14"/>
      <c r="AH732" s="14"/>
      <c r="AI732" s="14"/>
      <c r="AJ732" s="51"/>
      <c r="AK732" s="19">
        <v>9.1666666666666674E-2</v>
      </c>
    </row>
    <row r="733" spans="1:45" x14ac:dyDescent="0.2">
      <c r="A733" s="2">
        <v>1652</v>
      </c>
      <c r="D733" t="s">
        <v>628</v>
      </c>
      <c r="H733" s="2">
        <v>17.239999999999998</v>
      </c>
      <c r="AF733" s="14"/>
      <c r="AG733" s="14"/>
      <c r="AH733" s="14"/>
      <c r="AI733" s="14"/>
      <c r="AJ733" s="51"/>
    </row>
    <row r="734" spans="1:45" x14ac:dyDescent="0.2">
      <c r="A734" s="2">
        <v>1655</v>
      </c>
      <c r="D734" t="s">
        <v>648</v>
      </c>
      <c r="H734" s="2">
        <v>28.27</v>
      </c>
      <c r="AF734" s="14"/>
      <c r="AG734" s="14"/>
      <c r="AH734" s="14"/>
      <c r="AI734" s="14"/>
      <c r="AJ734" s="51"/>
    </row>
    <row r="735" spans="1:45" x14ac:dyDescent="0.2">
      <c r="A735" s="2">
        <v>1669</v>
      </c>
      <c r="D735" t="s">
        <v>642</v>
      </c>
      <c r="H735" s="2">
        <v>52</v>
      </c>
      <c r="AF735" s="14"/>
      <c r="AG735" s="14"/>
      <c r="AH735" s="14"/>
      <c r="AI735" s="14"/>
      <c r="AJ735" s="51"/>
    </row>
    <row r="736" spans="1:45" x14ac:dyDescent="0.2">
      <c r="A736" s="2">
        <v>1727</v>
      </c>
      <c r="D736" t="s">
        <v>733</v>
      </c>
      <c r="H736" s="2">
        <v>21.92</v>
      </c>
      <c r="AF736" s="14"/>
      <c r="AG736" s="14"/>
      <c r="AH736" s="14"/>
      <c r="AI736" s="14"/>
      <c r="AJ736" s="51"/>
    </row>
    <row r="737" spans="1:45" x14ac:dyDescent="0.2">
      <c r="A737" s="2">
        <v>1761</v>
      </c>
      <c r="C737" s="2">
        <v>8299</v>
      </c>
      <c r="D737" t="s">
        <v>1105</v>
      </c>
      <c r="H737" s="15">
        <v>8.484</v>
      </c>
      <c r="K737" s="15"/>
      <c r="AF737" s="14"/>
      <c r="AG737" s="14">
        <v>8.484</v>
      </c>
      <c r="AH737" s="14"/>
      <c r="AI737" s="14"/>
      <c r="AJ737" s="51"/>
      <c r="AK737" s="22">
        <v>9.2361111111111116E-2</v>
      </c>
    </row>
    <row r="738" spans="1:45" x14ac:dyDescent="0.2">
      <c r="A738" s="2">
        <v>1770</v>
      </c>
      <c r="B738" s="4"/>
      <c r="C738" s="2">
        <v>4023</v>
      </c>
      <c r="D738" t="s">
        <v>1153</v>
      </c>
      <c r="H738" s="15">
        <v>16.22</v>
      </c>
      <c r="K738" s="15"/>
      <c r="AF738" s="14"/>
      <c r="AG738" s="14">
        <v>16.22</v>
      </c>
      <c r="AH738" s="14"/>
      <c r="AI738" s="14"/>
      <c r="AJ738" s="51"/>
      <c r="AK738" s="19">
        <v>0.10069444444444443</v>
      </c>
    </row>
    <row r="739" spans="1:45" x14ac:dyDescent="0.2">
      <c r="A739" s="2">
        <v>1804</v>
      </c>
      <c r="D739" t="s">
        <v>593</v>
      </c>
      <c r="H739" s="2">
        <v>6.01</v>
      </c>
      <c r="AF739" s="14"/>
      <c r="AG739" s="14"/>
      <c r="AH739" s="14"/>
      <c r="AI739" s="14"/>
      <c r="AJ739" s="51"/>
    </row>
    <row r="740" spans="1:45" x14ac:dyDescent="0.2">
      <c r="A740" s="2">
        <v>1829</v>
      </c>
      <c r="D740" t="s">
        <v>619</v>
      </c>
      <c r="E740" t="s">
        <v>621</v>
      </c>
      <c r="H740" s="2">
        <v>14.19</v>
      </c>
      <c r="AD740" s="4"/>
      <c r="AF740" s="14"/>
      <c r="AG740" s="14"/>
      <c r="AH740" s="14"/>
      <c r="AI740" s="14"/>
      <c r="AJ740" s="51"/>
    </row>
    <row r="741" spans="1:45" x14ac:dyDescent="0.2">
      <c r="A741" s="2">
        <v>1857</v>
      </c>
      <c r="B741" s="2">
        <v>1572</v>
      </c>
      <c r="D741" t="s">
        <v>843</v>
      </c>
      <c r="H741" s="2">
        <v>25.69</v>
      </c>
      <c r="AF741" s="14"/>
      <c r="AG741" s="14">
        <v>25.69</v>
      </c>
      <c r="AH741" s="14"/>
      <c r="AI741" s="14"/>
      <c r="AJ741" s="51"/>
      <c r="AK741" s="19">
        <v>0.28194444444444444</v>
      </c>
    </row>
    <row r="742" spans="1:45" s="3" customFormat="1" x14ac:dyDescent="0.2">
      <c r="A742" s="4">
        <v>1880</v>
      </c>
      <c r="B742" s="2"/>
      <c r="C742" s="4"/>
      <c r="D742" s="3" t="s">
        <v>671</v>
      </c>
      <c r="G742" s="4"/>
      <c r="H742" s="4">
        <v>13.54</v>
      </c>
      <c r="I742" s="16">
        <v>0.39598</v>
      </c>
      <c r="J742" s="16">
        <v>0.29293400000000003</v>
      </c>
      <c r="K742" s="4">
        <v>5.3620000000000001</v>
      </c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2"/>
      <c r="AE742" s="9"/>
      <c r="AF742" s="46"/>
      <c r="AG742" s="46"/>
      <c r="AH742" s="46"/>
      <c r="AI742" s="46"/>
      <c r="AJ742" s="52"/>
      <c r="AK742" s="21" t="s">
        <v>751</v>
      </c>
      <c r="AQ742"/>
      <c r="AR742"/>
      <c r="AS742"/>
    </row>
    <row r="743" spans="1:45" x14ac:dyDescent="0.2">
      <c r="D743" t="s">
        <v>1097</v>
      </c>
      <c r="AF743" s="14"/>
      <c r="AG743" s="14"/>
      <c r="AH743" s="14"/>
      <c r="AI743" s="14"/>
      <c r="AJ743" s="51"/>
      <c r="AQ743" s="3"/>
      <c r="AR743" s="3"/>
      <c r="AS743" s="3"/>
    </row>
    <row r="744" spans="1:45" x14ac:dyDescent="0.2">
      <c r="D744" t="s">
        <v>1165</v>
      </c>
      <c r="AF744" s="14"/>
      <c r="AG744" s="14"/>
      <c r="AH744" s="14"/>
      <c r="AI744" s="14"/>
      <c r="AJ744" s="51"/>
    </row>
    <row r="745" spans="1:45" x14ac:dyDescent="0.2">
      <c r="D745" t="s">
        <v>1136</v>
      </c>
      <c r="AF745" s="14"/>
      <c r="AG745" s="14"/>
      <c r="AH745" s="14"/>
      <c r="AI745" s="14"/>
      <c r="AJ745" s="51"/>
    </row>
    <row r="746" spans="1:45" x14ac:dyDescent="0.2">
      <c r="D746" t="s">
        <v>1166</v>
      </c>
      <c r="AF746" s="14"/>
      <c r="AG746" s="14"/>
      <c r="AH746" s="14"/>
      <c r="AI746" s="14"/>
      <c r="AJ746" s="51"/>
    </row>
    <row r="747" spans="1:45" x14ac:dyDescent="0.2">
      <c r="D747" t="s">
        <v>1098</v>
      </c>
      <c r="AF747" s="14"/>
      <c r="AG747" s="14"/>
      <c r="AH747" s="14"/>
      <c r="AI747" s="14"/>
      <c r="AJ747" s="51"/>
    </row>
    <row r="748" spans="1:45" x14ac:dyDescent="0.2">
      <c r="A748" s="2">
        <v>1890</v>
      </c>
      <c r="D748" t="s">
        <v>596</v>
      </c>
      <c r="H748" s="2">
        <v>13.39</v>
      </c>
      <c r="AF748" s="14"/>
      <c r="AG748" s="14"/>
      <c r="AH748" s="14"/>
      <c r="AI748" s="14"/>
      <c r="AJ748" s="51"/>
    </row>
    <row r="749" spans="1:45" x14ac:dyDescent="0.2">
      <c r="A749" s="2">
        <v>1901</v>
      </c>
      <c r="B749" s="2">
        <v>1761</v>
      </c>
      <c r="C749" s="2">
        <v>5065</v>
      </c>
      <c r="D749" t="s">
        <v>1140</v>
      </c>
      <c r="H749" s="14">
        <v>12.56</v>
      </c>
      <c r="AF749" s="14"/>
      <c r="AG749" s="14">
        <v>12.56</v>
      </c>
      <c r="AH749" s="14"/>
      <c r="AI749" s="14"/>
      <c r="AJ749" s="51"/>
      <c r="AK749" s="19">
        <v>0.14583333333333334</v>
      </c>
    </row>
    <row r="750" spans="1:45" x14ac:dyDescent="0.2">
      <c r="A750" s="2">
        <v>2015</v>
      </c>
      <c r="B750" s="2">
        <v>1770</v>
      </c>
      <c r="D750" t="s">
        <v>585</v>
      </c>
      <c r="H750" s="2">
        <v>10.199999999999999</v>
      </c>
      <c r="AF750" s="14"/>
      <c r="AG750" s="14"/>
      <c r="AH750" s="14"/>
      <c r="AI750" s="14"/>
      <c r="AJ750" s="51"/>
    </row>
    <row r="751" spans="1:45" x14ac:dyDescent="0.2">
      <c r="A751" s="2">
        <v>2033</v>
      </c>
      <c r="C751" s="2">
        <v>1349</v>
      </c>
      <c r="D751" t="s">
        <v>1118</v>
      </c>
      <c r="H751" s="15">
        <v>47.59</v>
      </c>
      <c r="K751" s="15"/>
      <c r="AF751" s="14"/>
      <c r="AG751" s="14">
        <v>47.59</v>
      </c>
      <c r="AH751" s="14"/>
      <c r="AI751" s="14"/>
      <c r="AJ751" s="51"/>
      <c r="AK751" s="22">
        <v>7.1527777777777787E-2</v>
      </c>
    </row>
    <row r="752" spans="1:45" x14ac:dyDescent="0.2">
      <c r="D752" t="s">
        <v>1194</v>
      </c>
      <c r="H752" s="15"/>
      <c r="K752" s="15"/>
      <c r="AF752" s="14"/>
      <c r="AG752" s="14"/>
      <c r="AH752" s="14"/>
      <c r="AI752" s="14"/>
      <c r="AJ752" s="51"/>
      <c r="AK752" s="22"/>
    </row>
    <row r="753" spans="1:37" x14ac:dyDescent="0.2">
      <c r="A753" s="2">
        <v>2042</v>
      </c>
      <c r="D753" t="s">
        <v>651</v>
      </c>
      <c r="H753" s="2">
        <v>12.13</v>
      </c>
      <c r="AF753" s="14"/>
      <c r="AG753" s="14"/>
      <c r="AH753" s="14"/>
      <c r="AI753" s="14"/>
      <c r="AJ753" s="51"/>
    </row>
    <row r="754" spans="1:37" x14ac:dyDescent="0.2">
      <c r="A754" s="2">
        <v>2070</v>
      </c>
      <c r="B754" s="4"/>
      <c r="C754" s="2">
        <v>6054</v>
      </c>
      <c r="D754" t="s">
        <v>1139</v>
      </c>
      <c r="H754" s="2">
        <v>7.875</v>
      </c>
      <c r="AF754" s="14"/>
      <c r="AG754" s="14">
        <v>7.875</v>
      </c>
      <c r="AH754" s="14"/>
      <c r="AI754" s="14"/>
      <c r="AJ754" s="51"/>
      <c r="AK754" s="19">
        <v>0.13055555555555556</v>
      </c>
    </row>
    <row r="755" spans="1:37" x14ac:dyDescent="0.2">
      <c r="A755" s="2">
        <v>2079</v>
      </c>
      <c r="D755" t="s">
        <v>609</v>
      </c>
      <c r="H755" s="2">
        <v>12.233000000000001</v>
      </c>
      <c r="AF755" s="14"/>
      <c r="AG755" s="14"/>
      <c r="AH755" s="14"/>
      <c r="AI755" s="14"/>
      <c r="AJ755" s="51"/>
    </row>
    <row r="756" spans="1:37" x14ac:dyDescent="0.2">
      <c r="D756" t="s">
        <v>749</v>
      </c>
      <c r="H756" s="2">
        <v>95.92</v>
      </c>
      <c r="I756" s="15">
        <v>2.9209999999999998</v>
      </c>
      <c r="J756" s="16">
        <v>2.2290000000000001</v>
      </c>
      <c r="K756" s="2">
        <v>35.29</v>
      </c>
      <c r="AF756" s="14"/>
      <c r="AG756" s="14"/>
      <c r="AH756" s="14"/>
      <c r="AI756" s="14"/>
      <c r="AJ756" s="51"/>
    </row>
    <row r="757" spans="1:37" x14ac:dyDescent="0.2">
      <c r="A757" s="2">
        <v>2097</v>
      </c>
      <c r="C757" s="2">
        <v>1790</v>
      </c>
      <c r="D757" t="s">
        <v>779</v>
      </c>
      <c r="H757" s="2">
        <v>26.76</v>
      </c>
      <c r="AF757" s="14"/>
      <c r="AG757" s="14">
        <v>26.76</v>
      </c>
      <c r="AH757" s="14"/>
      <c r="AI757" s="14"/>
      <c r="AJ757" s="51"/>
      <c r="AK757" s="19">
        <v>0.15833333333333333</v>
      </c>
    </row>
    <row r="758" spans="1:37" x14ac:dyDescent="0.2">
      <c r="D758" t="s">
        <v>1155</v>
      </c>
      <c r="AF758" s="14"/>
      <c r="AG758" s="14"/>
      <c r="AH758" s="14"/>
      <c r="AI758" s="14"/>
      <c r="AJ758" s="51"/>
      <c r="AK758" s="19"/>
    </row>
    <row r="759" spans="1:37" x14ac:dyDescent="0.2">
      <c r="D759" t="s">
        <v>1156</v>
      </c>
      <c r="AF759" s="14"/>
      <c r="AG759" s="14"/>
      <c r="AH759" s="14"/>
      <c r="AI759" s="14"/>
      <c r="AJ759" s="51"/>
      <c r="AK759" s="19"/>
    </row>
    <row r="760" spans="1:37" x14ac:dyDescent="0.2">
      <c r="D760" t="s">
        <v>973</v>
      </c>
      <c r="AF760" s="14"/>
      <c r="AG760" s="14"/>
      <c r="AH760" s="14"/>
      <c r="AI760" s="14"/>
      <c r="AJ760" s="51"/>
      <c r="AK760" s="19"/>
    </row>
    <row r="761" spans="1:37" x14ac:dyDescent="0.2">
      <c r="A761" s="2">
        <v>2104</v>
      </c>
      <c r="B761" s="2">
        <v>1901</v>
      </c>
      <c r="D761" t="s">
        <v>731</v>
      </c>
      <c r="H761" s="2">
        <v>12.04</v>
      </c>
      <c r="I761" s="15">
        <v>0.42155100000000001</v>
      </c>
      <c r="J761" s="16">
        <v>0.38603999999999999</v>
      </c>
      <c r="K761" s="2">
        <v>8.5220000000000002</v>
      </c>
      <c r="AF761" s="14"/>
      <c r="AG761" s="14"/>
      <c r="AH761" s="14"/>
      <c r="AI761" s="14"/>
      <c r="AJ761" s="51"/>
      <c r="AK761" s="20" t="s">
        <v>750</v>
      </c>
    </row>
    <row r="762" spans="1:37" x14ac:dyDescent="0.2">
      <c r="A762" s="2">
        <v>2160</v>
      </c>
      <c r="D762" t="s">
        <v>760</v>
      </c>
      <c r="H762" s="2">
        <v>48.78</v>
      </c>
      <c r="I762" s="15">
        <v>1.589</v>
      </c>
      <c r="J762" s="16">
        <v>1.27</v>
      </c>
      <c r="K762" s="2">
        <v>24.1</v>
      </c>
      <c r="AF762" s="14"/>
      <c r="AG762" s="14"/>
      <c r="AH762" s="14"/>
      <c r="AI762" s="14"/>
      <c r="AJ762" s="51"/>
      <c r="AK762" s="22">
        <v>0.16041666666666668</v>
      </c>
    </row>
    <row r="763" spans="1:37" x14ac:dyDescent="0.2">
      <c r="A763" s="2">
        <v>2201</v>
      </c>
      <c r="B763" s="2">
        <v>2033</v>
      </c>
      <c r="C763" s="2">
        <v>7629</v>
      </c>
      <c r="D763" t="s">
        <v>1006</v>
      </c>
      <c r="H763" s="15">
        <v>8.2710000000000008</v>
      </c>
      <c r="K763" s="15"/>
      <c r="AF763" s="14"/>
      <c r="AG763" s="14">
        <v>8.2710000000000008</v>
      </c>
      <c r="AH763" s="14"/>
      <c r="AI763" s="14"/>
      <c r="AJ763" s="51"/>
      <c r="AK763" s="19">
        <v>0.3576388888888889</v>
      </c>
    </row>
    <row r="764" spans="1:37" x14ac:dyDescent="0.2">
      <c r="A764" s="2">
        <v>2226</v>
      </c>
      <c r="D764" t="s">
        <v>604</v>
      </c>
      <c r="H764" s="2">
        <v>4.218</v>
      </c>
      <c r="AF764" s="14"/>
      <c r="AG764" s="14"/>
      <c r="AH764" s="14"/>
      <c r="AI764" s="14"/>
      <c r="AJ764" s="51"/>
    </row>
    <row r="765" spans="1:37" x14ac:dyDescent="0.2">
      <c r="D765" t="s">
        <v>974</v>
      </c>
      <c r="AF765" s="14"/>
      <c r="AG765" s="14"/>
      <c r="AH765" s="14"/>
      <c r="AI765" s="14"/>
      <c r="AJ765" s="51"/>
    </row>
    <row r="766" spans="1:37" x14ac:dyDescent="0.2">
      <c r="A766" s="2">
        <v>2236</v>
      </c>
      <c r="B766" s="2">
        <v>2070</v>
      </c>
      <c r="D766" t="s">
        <v>664</v>
      </c>
      <c r="AF766" s="14"/>
      <c r="AG766" s="14"/>
      <c r="AH766" s="14"/>
      <c r="AI766" s="14"/>
      <c r="AJ766" s="51"/>
    </row>
    <row r="767" spans="1:37" x14ac:dyDescent="0.2">
      <c r="A767" s="2">
        <v>2300</v>
      </c>
      <c r="D767" t="s">
        <v>756</v>
      </c>
      <c r="H767" s="2">
        <v>10.84</v>
      </c>
      <c r="I767" s="15">
        <v>0.378438</v>
      </c>
      <c r="J767" s="16">
        <v>0.34661900000000001</v>
      </c>
      <c r="K767" s="2">
        <v>7.774</v>
      </c>
      <c r="AF767" s="14"/>
      <c r="AG767" s="14"/>
      <c r="AH767" s="14"/>
      <c r="AI767" s="14"/>
      <c r="AJ767" s="51"/>
      <c r="AK767" s="19">
        <v>4.6527777777777779E-2</v>
      </c>
    </row>
    <row r="768" spans="1:37" x14ac:dyDescent="0.2">
      <c r="A768" s="2">
        <v>2349</v>
      </c>
      <c r="D768" t="s">
        <v>724</v>
      </c>
      <c r="H768" s="2">
        <v>13.03</v>
      </c>
      <c r="AF768" s="14"/>
      <c r="AG768" s="14"/>
      <c r="AH768" s="14"/>
      <c r="AI768" s="14"/>
      <c r="AJ768" s="51"/>
    </row>
    <row r="769" spans="1:37" x14ac:dyDescent="0.2">
      <c r="A769" s="2">
        <v>2463</v>
      </c>
      <c r="B769" s="2">
        <v>2097</v>
      </c>
      <c r="D769" t="s">
        <v>674</v>
      </c>
      <c r="H769" s="2">
        <v>10.17</v>
      </c>
      <c r="AF769" s="14"/>
      <c r="AG769" s="14"/>
      <c r="AH769" s="14"/>
      <c r="AI769" s="14"/>
      <c r="AJ769" s="51"/>
    </row>
    <row r="770" spans="1:37" x14ac:dyDescent="0.2">
      <c r="D770" t="s">
        <v>1020</v>
      </c>
      <c r="AF770" s="14"/>
      <c r="AG770" s="14"/>
      <c r="AH770" s="14"/>
      <c r="AI770" s="14"/>
      <c r="AJ770" s="51"/>
    </row>
    <row r="771" spans="1:37" x14ac:dyDescent="0.2">
      <c r="D771" t="s">
        <v>1021</v>
      </c>
      <c r="AF771" s="14"/>
      <c r="AG771" s="14"/>
      <c r="AH771" s="14"/>
      <c r="AI771" s="14"/>
      <c r="AJ771" s="51"/>
    </row>
    <row r="772" spans="1:37" x14ac:dyDescent="0.2">
      <c r="D772" t="s">
        <v>1022</v>
      </c>
      <c r="AF772" s="14"/>
      <c r="AG772" s="14"/>
      <c r="AH772" s="14"/>
      <c r="AI772" s="14"/>
      <c r="AJ772" s="51"/>
    </row>
    <row r="773" spans="1:37" x14ac:dyDescent="0.2">
      <c r="A773" s="2">
        <v>2466</v>
      </c>
      <c r="D773" t="s">
        <v>758</v>
      </c>
      <c r="H773" s="2">
        <v>20.74</v>
      </c>
      <c r="I773" s="15">
        <v>0.66327000000000003</v>
      </c>
      <c r="J773" s="16">
        <v>0.315384</v>
      </c>
      <c r="K773" s="2">
        <v>4.5330000000000004</v>
      </c>
      <c r="AF773" s="14"/>
      <c r="AG773" s="14"/>
      <c r="AH773" s="14"/>
      <c r="AI773" s="14"/>
      <c r="AJ773" s="51"/>
      <c r="AK773" s="19">
        <v>0.125</v>
      </c>
    </row>
    <row r="774" spans="1:37" x14ac:dyDescent="0.2">
      <c r="D774" t="s">
        <v>996</v>
      </c>
      <c r="AF774" s="14"/>
      <c r="AG774" s="14"/>
      <c r="AH774" s="14"/>
      <c r="AI774" s="14"/>
      <c r="AJ774" s="51"/>
      <c r="AK774" s="19"/>
    </row>
    <row r="775" spans="1:37" x14ac:dyDescent="0.2">
      <c r="A775" s="2">
        <v>2543</v>
      </c>
      <c r="B775" s="2">
        <v>2201</v>
      </c>
      <c r="C775" s="2">
        <v>7900</v>
      </c>
      <c r="D775" t="s">
        <v>821</v>
      </c>
      <c r="H775" s="2">
        <v>6.0490000000000004</v>
      </c>
      <c r="AF775" s="14"/>
      <c r="AG775" s="14">
        <v>6.0490000000000004</v>
      </c>
      <c r="AH775" s="14"/>
      <c r="AI775" s="14"/>
      <c r="AJ775" s="51"/>
      <c r="AK775" s="19">
        <v>0.11319444444444444</v>
      </c>
    </row>
    <row r="776" spans="1:37" x14ac:dyDescent="0.2">
      <c r="A776" s="2">
        <v>2628</v>
      </c>
      <c r="D776" t="s">
        <v>572</v>
      </c>
      <c r="E776" t="s">
        <v>6</v>
      </c>
      <c r="AF776" s="14"/>
      <c r="AG776" s="14"/>
      <c r="AH776" s="14"/>
      <c r="AI776" s="14"/>
      <c r="AJ776" s="51"/>
    </row>
    <row r="777" spans="1:37" x14ac:dyDescent="0.2">
      <c r="D777" t="s">
        <v>1186</v>
      </c>
      <c r="AF777" s="14"/>
      <c r="AG777" s="14"/>
      <c r="AH777" s="14"/>
      <c r="AI777" s="14"/>
      <c r="AJ777" s="51"/>
    </row>
    <row r="778" spans="1:37" x14ac:dyDescent="0.2">
      <c r="A778" s="2">
        <v>2645</v>
      </c>
      <c r="C778" s="2">
        <v>9596</v>
      </c>
      <c r="D778" t="s">
        <v>757</v>
      </c>
      <c r="H778" s="2">
        <v>4.62</v>
      </c>
      <c r="I778" s="15">
        <v>0.17097499999999999</v>
      </c>
      <c r="J778" s="16">
        <v>0.159524</v>
      </c>
      <c r="K778" s="2">
        <v>3.391</v>
      </c>
      <c r="AF778" s="14"/>
      <c r="AG778" s="14">
        <v>6.6059999999999999</v>
      </c>
      <c r="AH778" s="14"/>
      <c r="AI778" s="14"/>
      <c r="AJ778" s="51"/>
      <c r="AK778" s="19">
        <v>5.5555555555555552E-2</v>
      </c>
    </row>
    <row r="779" spans="1:37" x14ac:dyDescent="0.2">
      <c r="A779" s="2">
        <v>2659</v>
      </c>
      <c r="C779" s="2">
        <v>5914</v>
      </c>
      <c r="D779" t="s">
        <v>1007</v>
      </c>
      <c r="H779" s="15">
        <v>8.8539999999999992</v>
      </c>
      <c r="K779" s="15"/>
      <c r="AF779" s="14"/>
      <c r="AG779" s="14">
        <v>8.8539999999999992</v>
      </c>
      <c r="AH779" s="14"/>
      <c r="AI779" s="14"/>
      <c r="AJ779" s="51"/>
      <c r="AK779" s="19">
        <v>0.22500000000000001</v>
      </c>
    </row>
    <row r="780" spans="1:37" x14ac:dyDescent="0.2">
      <c r="A780" s="2">
        <v>2689</v>
      </c>
      <c r="C780" s="2">
        <v>2212</v>
      </c>
      <c r="D780" t="s">
        <v>1072</v>
      </c>
      <c r="H780" s="15">
        <v>21.17</v>
      </c>
      <c r="K780" s="15"/>
      <c r="AF780" s="14"/>
      <c r="AG780" s="14">
        <v>21.17</v>
      </c>
      <c r="AH780" s="14"/>
      <c r="AI780" s="14"/>
      <c r="AJ780" s="51"/>
      <c r="AK780" s="19">
        <v>0.17916666666666667</v>
      </c>
    </row>
    <row r="781" spans="1:37" x14ac:dyDescent="0.2">
      <c r="D781" t="s">
        <v>1091</v>
      </c>
      <c r="H781" s="15"/>
      <c r="K781" s="15"/>
      <c r="AF781" s="14"/>
      <c r="AG781" s="14"/>
      <c r="AH781" s="14"/>
      <c r="AI781" s="14"/>
      <c r="AJ781" s="51"/>
      <c r="AK781" s="19"/>
    </row>
    <row r="782" spans="1:37" x14ac:dyDescent="0.2">
      <c r="D782" t="s">
        <v>1092</v>
      </c>
      <c r="H782" s="15"/>
      <c r="K782" s="15"/>
      <c r="AF782" s="14"/>
      <c r="AG782" s="14"/>
      <c r="AH782" s="14"/>
      <c r="AI782" s="14"/>
      <c r="AJ782" s="51"/>
      <c r="AK782" s="19"/>
    </row>
    <row r="783" spans="1:37" x14ac:dyDescent="0.2">
      <c r="A783" s="2">
        <v>2738</v>
      </c>
      <c r="D783" t="s">
        <v>663</v>
      </c>
      <c r="H783" s="2">
        <v>4.9560000000000004</v>
      </c>
      <c r="AF783" s="14"/>
      <c r="AG783" s="14"/>
      <c r="AH783" s="14"/>
      <c r="AI783" s="14"/>
      <c r="AJ783" s="51"/>
    </row>
    <row r="784" spans="1:37" x14ac:dyDescent="0.2">
      <c r="D784" t="s">
        <v>1016</v>
      </c>
      <c r="AF784" s="14"/>
      <c r="AG784" s="14"/>
      <c r="AH784" s="14"/>
      <c r="AI784" s="14"/>
      <c r="AJ784" s="51"/>
    </row>
    <row r="785" spans="1:37" x14ac:dyDescent="0.2">
      <c r="A785" s="2">
        <v>2821</v>
      </c>
      <c r="C785" s="2">
        <v>14058</v>
      </c>
      <c r="D785" t="s">
        <v>1077</v>
      </c>
      <c r="H785" s="15">
        <v>4.9009999999999998</v>
      </c>
      <c r="K785" s="15"/>
      <c r="AF785" s="14"/>
      <c r="AG785" s="14">
        <v>4.9009999999999998</v>
      </c>
      <c r="AH785" s="14"/>
      <c r="AI785" s="14"/>
      <c r="AJ785" s="51"/>
      <c r="AK785" s="19">
        <v>0.10277777777777779</v>
      </c>
    </row>
    <row r="786" spans="1:37" x14ac:dyDescent="0.2">
      <c r="A786" s="2">
        <v>2825</v>
      </c>
      <c r="C786" s="2">
        <v>1787</v>
      </c>
      <c r="D786" t="s">
        <v>1171</v>
      </c>
      <c r="H786" s="15">
        <v>29.52</v>
      </c>
      <c r="K786" s="15"/>
      <c r="AF786" s="14"/>
      <c r="AG786" s="14">
        <v>29.52</v>
      </c>
      <c r="AH786" s="14"/>
      <c r="AI786" s="14"/>
      <c r="AJ786" s="51"/>
      <c r="AK786" s="19">
        <v>0.13472222222222222</v>
      </c>
    </row>
    <row r="787" spans="1:37" x14ac:dyDescent="0.2">
      <c r="A787" s="2">
        <v>2843</v>
      </c>
      <c r="B787" s="2">
        <v>2543</v>
      </c>
      <c r="D787" t="s">
        <v>637</v>
      </c>
      <c r="H787" s="2">
        <v>16.63</v>
      </c>
      <c r="AF787" s="14"/>
      <c r="AG787" s="14"/>
      <c r="AH787" s="14"/>
      <c r="AI787" s="14"/>
      <c r="AJ787" s="51"/>
    </row>
    <row r="788" spans="1:37" x14ac:dyDescent="0.2">
      <c r="A788" s="2">
        <v>2870</v>
      </c>
      <c r="D788" t="s">
        <v>656</v>
      </c>
      <c r="H788" s="2">
        <v>4.1989999999999998</v>
      </c>
      <c r="AF788" s="14"/>
      <c r="AG788" s="14"/>
      <c r="AH788" s="14"/>
      <c r="AI788" s="14"/>
      <c r="AJ788" s="51"/>
    </row>
    <row r="789" spans="1:37" x14ac:dyDescent="0.2">
      <c r="A789" s="2">
        <v>2912</v>
      </c>
      <c r="D789" t="s">
        <v>613</v>
      </c>
      <c r="H789" s="2">
        <v>6.2709999999999999</v>
      </c>
      <c r="AF789" s="14"/>
      <c r="AG789" s="14"/>
      <c r="AH789" s="14"/>
      <c r="AI789" s="14"/>
      <c r="AJ789" s="51"/>
    </row>
    <row r="790" spans="1:37" x14ac:dyDescent="0.2">
      <c r="A790" s="2">
        <v>2917</v>
      </c>
      <c r="B790" s="2">
        <v>3791</v>
      </c>
      <c r="C790" s="2">
        <v>10870</v>
      </c>
      <c r="D790" t="s">
        <v>638</v>
      </c>
      <c r="H790" s="14">
        <v>5.625</v>
      </c>
      <c r="I790" s="15">
        <v>0.152084</v>
      </c>
      <c r="J790" s="16">
        <v>0.14216699999999999</v>
      </c>
      <c r="K790" s="2">
        <v>4.2009999999999996</v>
      </c>
      <c r="AF790" s="14"/>
      <c r="AG790" s="14">
        <v>7.2060000000000004</v>
      </c>
      <c r="AH790" s="14"/>
      <c r="AI790" s="14"/>
      <c r="AJ790" s="51"/>
      <c r="AK790" s="19">
        <v>3.888888888888889E-2</v>
      </c>
    </row>
    <row r="791" spans="1:37" x14ac:dyDescent="0.2">
      <c r="A791" s="2">
        <v>2917</v>
      </c>
      <c r="B791" s="2">
        <v>2659</v>
      </c>
      <c r="D791" t="s">
        <v>669</v>
      </c>
      <c r="AF791" s="14"/>
      <c r="AG791" s="14"/>
      <c r="AH791" s="14"/>
      <c r="AI791" s="14"/>
      <c r="AJ791" s="51"/>
    </row>
    <row r="792" spans="1:37" x14ac:dyDescent="0.2">
      <c r="A792" s="2">
        <v>2935</v>
      </c>
      <c r="B792" s="2">
        <v>2689</v>
      </c>
      <c r="D792" t="s">
        <v>825</v>
      </c>
      <c r="H792" s="2">
        <v>4.1040000000000001</v>
      </c>
      <c r="AF792" s="14"/>
      <c r="AG792" s="14">
        <v>4.1040000000000001</v>
      </c>
      <c r="AH792" s="14"/>
      <c r="AI792" s="14"/>
      <c r="AJ792" s="51"/>
      <c r="AK792" s="19">
        <v>0.13541666666666666</v>
      </c>
    </row>
    <row r="793" spans="1:37" x14ac:dyDescent="0.2">
      <c r="A793" s="2">
        <v>2960</v>
      </c>
      <c r="C793" s="2">
        <v>3699</v>
      </c>
      <c r="D793" t="s">
        <v>1100</v>
      </c>
      <c r="H793" s="15">
        <v>17.18</v>
      </c>
      <c r="K793" s="15"/>
      <c r="AF793" s="14"/>
      <c r="AG793" s="14">
        <v>17.18</v>
      </c>
      <c r="AH793" s="14"/>
      <c r="AI793" s="14"/>
      <c r="AJ793" s="51"/>
      <c r="AK793" s="19">
        <v>0.10555555555555556</v>
      </c>
    </row>
    <row r="794" spans="1:37" x14ac:dyDescent="0.2">
      <c r="A794" s="2">
        <v>3020</v>
      </c>
      <c r="C794" s="2">
        <v>2553</v>
      </c>
      <c r="D794" t="s">
        <v>1070</v>
      </c>
      <c r="H794" s="15">
        <v>21.35</v>
      </c>
      <c r="K794" s="15"/>
      <c r="AF794" s="14"/>
      <c r="AG794" s="14">
        <v>21.35</v>
      </c>
      <c r="AH794" s="14"/>
      <c r="AI794" s="14"/>
      <c r="AJ794" s="51"/>
      <c r="AK794" s="19">
        <v>0.12361111111111112</v>
      </c>
    </row>
    <row r="795" spans="1:37" x14ac:dyDescent="0.2">
      <c r="A795" s="2">
        <v>3024</v>
      </c>
      <c r="C795" s="2">
        <v>1585</v>
      </c>
      <c r="D795" t="s">
        <v>969</v>
      </c>
      <c r="H795" s="15">
        <v>42.88</v>
      </c>
      <c r="K795" s="15"/>
      <c r="AF795" s="14"/>
      <c r="AG795" s="14">
        <v>42.88</v>
      </c>
      <c r="AH795" s="14"/>
      <c r="AI795" s="14"/>
      <c r="AJ795" s="51"/>
      <c r="AK795" s="19">
        <v>0.17500000000000002</v>
      </c>
    </row>
    <row r="796" spans="1:37" x14ac:dyDescent="0.2">
      <c r="A796" s="2">
        <v>3031</v>
      </c>
      <c r="C796" s="2">
        <v>6297</v>
      </c>
      <c r="D796" t="s">
        <v>1163</v>
      </c>
      <c r="H796" s="15">
        <v>12.89</v>
      </c>
      <c r="K796" s="15"/>
      <c r="AF796" s="14"/>
      <c r="AG796" s="14">
        <v>12.89</v>
      </c>
      <c r="AH796" s="14"/>
      <c r="AI796" s="14"/>
      <c r="AJ796" s="51"/>
      <c r="AK796" s="19">
        <v>9.9999999999999992E-2</v>
      </c>
    </row>
    <row r="797" spans="1:37" x14ac:dyDescent="0.2">
      <c r="A797" s="2">
        <v>3107</v>
      </c>
      <c r="B797" s="2">
        <v>2825</v>
      </c>
      <c r="D797" t="s">
        <v>726</v>
      </c>
      <c r="H797" s="2">
        <v>10.51</v>
      </c>
      <c r="AF797" s="14"/>
      <c r="AG797" s="14"/>
      <c r="AH797" s="14"/>
      <c r="AI797" s="14"/>
      <c r="AJ797" s="51"/>
    </row>
    <row r="798" spans="1:37" x14ac:dyDescent="0.2">
      <c r="A798" s="2">
        <v>3289</v>
      </c>
      <c r="C798" s="2">
        <v>1678</v>
      </c>
      <c r="D798" t="s">
        <v>1058</v>
      </c>
      <c r="H798" s="15">
        <v>31.26</v>
      </c>
      <c r="K798" s="15"/>
      <c r="AF798" s="14"/>
      <c r="AG798" s="14">
        <v>31.26</v>
      </c>
      <c r="AH798" s="14"/>
      <c r="AI798" s="14"/>
      <c r="AJ798" s="51"/>
      <c r="AK798" s="19">
        <v>0.21041666666666667</v>
      </c>
    </row>
    <row r="799" spans="1:37" x14ac:dyDescent="0.2">
      <c r="A799" s="2">
        <v>3330</v>
      </c>
      <c r="D799" t="s">
        <v>633</v>
      </c>
      <c r="H799" s="2">
        <v>15.97</v>
      </c>
      <c r="AF799" s="14"/>
      <c r="AG799" s="14"/>
      <c r="AH799" s="14"/>
      <c r="AI799" s="14"/>
      <c r="AJ799" s="51"/>
    </row>
    <row r="800" spans="1:37" x14ac:dyDescent="0.2">
      <c r="A800" s="2">
        <v>3480</v>
      </c>
      <c r="C800" s="2">
        <v>845</v>
      </c>
      <c r="D800" t="s">
        <v>1061</v>
      </c>
      <c r="H800" s="2">
        <v>41.26</v>
      </c>
      <c r="AF800" s="14"/>
      <c r="AG800" s="14">
        <v>41.26</v>
      </c>
      <c r="AH800" s="14"/>
      <c r="AI800" s="14"/>
      <c r="AJ800" s="51"/>
      <c r="AK800" s="19">
        <v>0.3125</v>
      </c>
    </row>
    <row r="801" spans="1:37" x14ac:dyDescent="0.2">
      <c r="A801" s="2">
        <v>3528</v>
      </c>
      <c r="B801" s="2">
        <v>5084</v>
      </c>
      <c r="C801" s="2">
        <v>7786</v>
      </c>
      <c r="D801" t="s">
        <v>591</v>
      </c>
      <c r="H801" s="2">
        <v>6.3090000000000002</v>
      </c>
      <c r="AE801" s="1">
        <v>5.9550000000000001</v>
      </c>
      <c r="AF801" s="14"/>
      <c r="AG801" s="14">
        <v>6.64</v>
      </c>
      <c r="AH801" s="14"/>
      <c r="AI801" s="14"/>
      <c r="AJ801" s="51"/>
      <c r="AK801" s="19">
        <v>0.15</v>
      </c>
    </row>
    <row r="802" spans="1:37" x14ac:dyDescent="0.2">
      <c r="A802" s="2">
        <v>3616</v>
      </c>
      <c r="D802" t="s">
        <v>652</v>
      </c>
      <c r="H802" s="2">
        <v>22.9</v>
      </c>
      <c r="AF802" s="14"/>
      <c r="AG802" s="14"/>
      <c r="AH802" s="14"/>
      <c r="AI802" s="14"/>
      <c r="AJ802" s="51"/>
    </row>
    <row r="803" spans="1:37" x14ac:dyDescent="0.2">
      <c r="A803" s="2">
        <v>3637</v>
      </c>
      <c r="D803" t="s">
        <v>588</v>
      </c>
      <c r="AF803" s="14"/>
      <c r="AG803" s="14"/>
      <c r="AH803" s="14"/>
      <c r="AI803" s="14"/>
      <c r="AJ803" s="51"/>
    </row>
    <row r="804" spans="1:37" x14ac:dyDescent="0.2">
      <c r="A804" s="2">
        <v>3647</v>
      </c>
      <c r="B804" s="2">
        <v>2960</v>
      </c>
      <c r="C804" s="2">
        <v>2672</v>
      </c>
      <c r="D804" t="s">
        <v>1179</v>
      </c>
      <c r="H804" s="15">
        <v>18.670000000000002</v>
      </c>
      <c r="J804" s="15"/>
      <c r="K804" s="15"/>
      <c r="AF804" s="14"/>
      <c r="AG804" s="14">
        <v>18.670000000000002</v>
      </c>
      <c r="AH804" s="14"/>
      <c r="AI804" s="14"/>
      <c r="AJ804" s="51"/>
      <c r="AK804" s="19">
        <v>0.1111111111111111</v>
      </c>
    </row>
    <row r="805" spans="1:37" x14ac:dyDescent="0.2">
      <c r="A805" s="2">
        <v>3716</v>
      </c>
      <c r="B805" s="2">
        <v>3020</v>
      </c>
      <c r="C805" s="2">
        <v>3362</v>
      </c>
      <c r="D805" t="s">
        <v>960</v>
      </c>
      <c r="H805" s="15">
        <v>15.57</v>
      </c>
      <c r="K805" s="15"/>
      <c r="AF805" s="14"/>
      <c r="AG805" s="14">
        <v>15.57</v>
      </c>
      <c r="AH805" s="14"/>
      <c r="AI805" s="14"/>
      <c r="AJ805" s="51"/>
      <c r="AK805" s="19">
        <v>0.12986111111111112</v>
      </c>
    </row>
    <row r="806" spans="1:37" x14ac:dyDescent="0.2">
      <c r="A806" s="2">
        <v>3747</v>
      </c>
      <c r="B806" s="2">
        <v>3024</v>
      </c>
      <c r="D806" t="s">
        <v>654</v>
      </c>
      <c r="H806" s="2">
        <v>5.5439999999999996</v>
      </c>
      <c r="AF806" s="14"/>
      <c r="AG806" s="14"/>
      <c r="AH806" s="14"/>
      <c r="AI806" s="14"/>
      <c r="AJ806" s="51"/>
    </row>
    <row r="807" spans="1:37" x14ac:dyDescent="0.2">
      <c r="B807" s="2">
        <v>3031</v>
      </c>
      <c r="D807" t="s">
        <v>1065</v>
      </c>
      <c r="AF807" s="14"/>
      <c r="AG807" s="14"/>
      <c r="AH807" s="14"/>
      <c r="AI807" s="14"/>
      <c r="AJ807" s="51"/>
    </row>
    <row r="808" spans="1:37" x14ac:dyDescent="0.2">
      <c r="A808" s="2">
        <v>640970</v>
      </c>
      <c r="C808" s="2">
        <v>2060936</v>
      </c>
      <c r="D808" t="s">
        <v>1214</v>
      </c>
      <c r="AE808" s="1">
        <v>1.8814000000000001E-2</v>
      </c>
      <c r="AF808" s="14"/>
      <c r="AG808" s="14"/>
      <c r="AH808" s="14"/>
      <c r="AI808" s="14"/>
      <c r="AJ808" s="51"/>
    </row>
    <row r="809" spans="1:37" x14ac:dyDescent="0.2">
      <c r="D809" t="s">
        <v>1215</v>
      </c>
      <c r="AF809" s="14"/>
      <c r="AG809" s="14"/>
      <c r="AH809" s="14"/>
      <c r="AI809" s="14"/>
      <c r="AJ809" s="51"/>
    </row>
    <row r="810" spans="1:37" x14ac:dyDescent="0.2">
      <c r="B810" s="2">
        <v>3289</v>
      </c>
      <c r="D810" t="s">
        <v>1216</v>
      </c>
      <c r="AF810" s="14"/>
      <c r="AG810" s="14"/>
      <c r="AH810" s="14"/>
      <c r="AI810" s="14"/>
      <c r="AJ810" s="51"/>
    </row>
    <row r="811" spans="1:37" x14ac:dyDescent="0.2">
      <c r="A811" s="2">
        <v>3813</v>
      </c>
      <c r="C811" s="2">
        <v>2358</v>
      </c>
      <c r="D811" t="s">
        <v>612</v>
      </c>
      <c r="H811" s="14">
        <v>20.74</v>
      </c>
      <c r="AF811" s="14"/>
      <c r="AG811" s="14">
        <v>20.74</v>
      </c>
      <c r="AH811" s="14"/>
      <c r="AI811" s="14"/>
      <c r="AJ811" s="51"/>
      <c r="AK811" s="19">
        <v>0.17500000000000002</v>
      </c>
    </row>
    <row r="812" spans="1:37" x14ac:dyDescent="0.2">
      <c r="A812" s="2">
        <v>3876</v>
      </c>
      <c r="B812" s="2">
        <v>3480</v>
      </c>
      <c r="C812" s="2">
        <v>10805</v>
      </c>
      <c r="D812" t="s">
        <v>1008</v>
      </c>
      <c r="H812" s="14">
        <v>5.085</v>
      </c>
      <c r="K812" s="15"/>
      <c r="AF812" s="14"/>
      <c r="AG812" s="14">
        <v>5.085</v>
      </c>
      <c r="AH812" s="14"/>
      <c r="AI812" s="14"/>
      <c r="AJ812" s="51"/>
      <c r="AK812" s="19">
        <v>0.35902777777777778</v>
      </c>
    </row>
    <row r="813" spans="1:37" x14ac:dyDescent="0.2">
      <c r="A813" s="2">
        <v>4131</v>
      </c>
      <c r="B813" s="2">
        <v>4091</v>
      </c>
      <c r="C813" s="2">
        <v>2102</v>
      </c>
      <c r="D813" t="s">
        <v>1168</v>
      </c>
      <c r="H813" s="14">
        <v>19.2</v>
      </c>
      <c r="K813" s="15"/>
      <c r="AF813" s="14"/>
      <c r="AG813" s="14">
        <v>19.2</v>
      </c>
      <c r="AH813" s="14"/>
      <c r="AI813" s="14"/>
      <c r="AJ813" s="51"/>
      <c r="AK813" s="19">
        <v>0.38194444444444442</v>
      </c>
    </row>
    <row r="814" spans="1:37" x14ac:dyDescent="0.2">
      <c r="A814" s="2">
        <v>4194</v>
      </c>
      <c r="C814" s="2">
        <v>22404</v>
      </c>
      <c r="D814" t="s">
        <v>1200</v>
      </c>
      <c r="H814" s="14">
        <v>2.6480000000000001</v>
      </c>
      <c r="K814" s="15"/>
      <c r="AF814" s="14"/>
      <c r="AG814" s="14">
        <v>2.6480000000000001</v>
      </c>
      <c r="AH814" s="14"/>
      <c r="AI814" s="14"/>
      <c r="AJ814" s="51"/>
      <c r="AK814" s="22">
        <v>0.31736111111111115</v>
      </c>
    </row>
    <row r="815" spans="1:37" x14ac:dyDescent="0.2">
      <c r="A815" s="2">
        <v>4235</v>
      </c>
      <c r="C815" s="2">
        <v>22544</v>
      </c>
      <c r="D815" t="s">
        <v>1060</v>
      </c>
      <c r="H815" s="14">
        <v>2.645</v>
      </c>
      <c r="K815" s="15"/>
      <c r="AF815" s="14"/>
      <c r="AG815" s="14">
        <v>2.645</v>
      </c>
      <c r="AH815" s="14"/>
      <c r="AI815" s="14"/>
      <c r="AJ815" s="51"/>
      <c r="AK815" s="19">
        <v>0.31736111111111115</v>
      </c>
    </row>
    <row r="816" spans="1:37" x14ac:dyDescent="0.2">
      <c r="A816" s="2">
        <v>4266</v>
      </c>
      <c r="B816" s="2">
        <v>3647</v>
      </c>
      <c r="C816" s="2">
        <v>2400</v>
      </c>
      <c r="D816" t="s">
        <v>907</v>
      </c>
      <c r="H816" s="14">
        <v>21.07</v>
      </c>
      <c r="N816" s="1">
        <f>AE816/AG816-1</f>
        <v>0.8058851447555766</v>
      </c>
      <c r="AE816" s="15">
        <v>38.049999999999997</v>
      </c>
      <c r="AF816" s="15"/>
      <c r="AG816" s="15">
        <v>21.07</v>
      </c>
      <c r="AH816" s="14"/>
      <c r="AI816" s="14"/>
      <c r="AJ816" s="51"/>
      <c r="AK816" s="19">
        <v>0.33333333333333331</v>
      </c>
    </row>
    <row r="817" spans="1:45" x14ac:dyDescent="0.2">
      <c r="A817" s="2">
        <v>4304</v>
      </c>
      <c r="B817" s="2">
        <v>3716</v>
      </c>
      <c r="C817" s="2">
        <v>12099</v>
      </c>
      <c r="D817" t="s">
        <v>1196</v>
      </c>
      <c r="H817" s="14">
        <v>7.0010000000000003</v>
      </c>
      <c r="K817" s="15"/>
      <c r="AF817" s="14"/>
      <c r="AG817" s="14">
        <v>7.0010000000000003</v>
      </c>
      <c r="AH817" s="14"/>
      <c r="AI817" s="14"/>
      <c r="AJ817" s="51"/>
      <c r="AK817" s="19">
        <v>3.6111111111111115E-2</v>
      </c>
    </row>
    <row r="818" spans="1:45" x14ac:dyDescent="0.2">
      <c r="A818" s="2">
        <v>4341</v>
      </c>
      <c r="C818" s="2">
        <v>14925</v>
      </c>
      <c r="D818" t="s">
        <v>865</v>
      </c>
      <c r="H818" s="14">
        <v>4.2469999999999999</v>
      </c>
      <c r="K818" s="15"/>
      <c r="AF818" s="14"/>
      <c r="AG818" s="14">
        <v>4.2469999999999999</v>
      </c>
      <c r="AH818" s="14"/>
      <c r="AI818" s="14"/>
      <c r="AJ818" s="51"/>
      <c r="AK818" s="22">
        <v>0.27152777777777776</v>
      </c>
    </row>
    <row r="819" spans="1:45" x14ac:dyDescent="0.2">
      <c r="A819" s="2">
        <v>4367</v>
      </c>
      <c r="C819" s="2">
        <v>3083</v>
      </c>
      <c r="D819" t="s">
        <v>1027</v>
      </c>
      <c r="H819" s="14">
        <v>11.35</v>
      </c>
      <c r="AF819" s="14"/>
      <c r="AG819" s="14">
        <v>11.35</v>
      </c>
      <c r="AH819" s="14"/>
      <c r="AI819" s="14"/>
      <c r="AJ819" s="51"/>
      <c r="AK819" s="19">
        <v>0.20277777777777781</v>
      </c>
    </row>
    <row r="820" spans="1:45" x14ac:dyDescent="0.2">
      <c r="A820" s="2">
        <v>4383</v>
      </c>
      <c r="C820" s="2">
        <v>5861</v>
      </c>
      <c r="D820" t="s">
        <v>1151</v>
      </c>
      <c r="H820" s="14">
        <v>13.09</v>
      </c>
      <c r="K820" s="15"/>
      <c r="AF820" s="14"/>
      <c r="AG820" s="14">
        <v>13.09</v>
      </c>
      <c r="AH820" s="14"/>
      <c r="AI820" s="14"/>
      <c r="AJ820" s="51"/>
      <c r="AK820" s="19">
        <v>0.10972222222222222</v>
      </c>
    </row>
    <row r="821" spans="1:45" x14ac:dyDescent="0.2">
      <c r="A821" s="2">
        <v>4464</v>
      </c>
      <c r="C821" s="2">
        <v>1649</v>
      </c>
      <c r="D821" t="s">
        <v>1051</v>
      </c>
      <c r="H821" s="14">
        <v>24.74</v>
      </c>
      <c r="K821" s="15"/>
      <c r="AF821" s="14"/>
      <c r="AG821" s="14">
        <v>24.74</v>
      </c>
      <c r="AH821" s="14"/>
      <c r="AI821" s="14"/>
      <c r="AJ821" s="51"/>
      <c r="AK821" s="19">
        <v>0.21944444444444444</v>
      </c>
    </row>
    <row r="822" spans="1:45" x14ac:dyDescent="0.2">
      <c r="A822" s="2">
        <v>4563</v>
      </c>
      <c r="C822" s="2">
        <v>3636</v>
      </c>
      <c r="D822" t="s">
        <v>1175</v>
      </c>
      <c r="H822" s="14">
        <v>22.43</v>
      </c>
      <c r="J822" s="15"/>
      <c r="K822" s="15"/>
      <c r="AD822" s="4"/>
      <c r="AF822" s="14"/>
      <c r="AG822" s="14">
        <v>22.43</v>
      </c>
      <c r="AH822" s="14"/>
      <c r="AI822" s="14"/>
      <c r="AJ822" s="51"/>
      <c r="AK822" s="19">
        <v>0.13333333333333333</v>
      </c>
    </row>
    <row r="823" spans="1:45" x14ac:dyDescent="0.2">
      <c r="A823" s="2">
        <v>4604</v>
      </c>
      <c r="B823" s="2">
        <v>3955</v>
      </c>
      <c r="C823" s="2">
        <v>3524</v>
      </c>
      <c r="D823" t="s">
        <v>1183</v>
      </c>
      <c r="H823" s="14">
        <v>19.38</v>
      </c>
      <c r="K823" s="15"/>
      <c r="AF823" s="14"/>
      <c r="AG823" s="14">
        <v>19.38</v>
      </c>
      <c r="AH823" s="14"/>
      <c r="AI823" s="14"/>
      <c r="AJ823" s="51"/>
      <c r="AK823" s="22">
        <v>9.6527777777777768E-2</v>
      </c>
    </row>
    <row r="824" spans="1:45" x14ac:dyDescent="0.2">
      <c r="A824" s="2">
        <v>4869</v>
      </c>
      <c r="B824" s="2">
        <v>4131</v>
      </c>
      <c r="C824" s="2">
        <v>12656</v>
      </c>
      <c r="D824" t="s">
        <v>636</v>
      </c>
      <c r="H824" s="14">
        <v>6.0430000000000001</v>
      </c>
      <c r="AF824" s="14"/>
      <c r="AG824" s="14">
        <v>5.6760000000000002</v>
      </c>
      <c r="AH824" s="14"/>
      <c r="AI824" s="14"/>
      <c r="AJ824" s="51"/>
      <c r="AK824" s="19">
        <v>5.0694444444444452E-2</v>
      </c>
      <c r="AQ824" s="3"/>
      <c r="AR824" s="3"/>
      <c r="AS824" s="3"/>
    </row>
    <row r="825" spans="1:45" x14ac:dyDescent="0.2">
      <c r="A825" s="2">
        <v>5043</v>
      </c>
      <c r="B825" s="2">
        <v>4194</v>
      </c>
      <c r="C825" s="2">
        <v>13640</v>
      </c>
      <c r="D825" t="s">
        <v>629</v>
      </c>
      <c r="H825" s="14">
        <v>6.782</v>
      </c>
      <c r="AF825" s="14"/>
      <c r="AG825" s="14">
        <v>5.8659999999999997</v>
      </c>
      <c r="AH825" s="14"/>
      <c r="AI825" s="14"/>
      <c r="AJ825" s="51"/>
      <c r="AK825" s="19">
        <v>2.9861111111111113E-2</v>
      </c>
    </row>
    <row r="826" spans="1:45" x14ac:dyDescent="0.2">
      <c r="A826" s="2">
        <v>5070</v>
      </c>
      <c r="B826" s="2">
        <v>4235</v>
      </c>
      <c r="C826" s="2">
        <v>8828</v>
      </c>
      <c r="D826" s="3" t="s">
        <v>826</v>
      </c>
      <c r="H826" s="14">
        <v>4.9059999999999997</v>
      </c>
      <c r="N826" s="1">
        <f>AE826/AG826-1</f>
        <v>1.1239298817774155</v>
      </c>
      <c r="AE826" s="1">
        <v>10.42</v>
      </c>
      <c r="AF826" s="14"/>
      <c r="AG826" s="14">
        <v>4.9059999999999997</v>
      </c>
      <c r="AH826" s="14"/>
      <c r="AI826" s="14"/>
      <c r="AJ826" s="51"/>
      <c r="AK826" s="19">
        <v>0.6</v>
      </c>
    </row>
    <row r="827" spans="1:45" x14ac:dyDescent="0.2">
      <c r="A827" s="2">
        <v>5080</v>
      </c>
      <c r="B827" s="2">
        <v>4266</v>
      </c>
      <c r="C827" s="2">
        <v>3988</v>
      </c>
      <c r="D827" t="s">
        <v>603</v>
      </c>
      <c r="H827" s="14">
        <v>15.7</v>
      </c>
      <c r="AF827" s="14"/>
      <c r="AG827" s="14">
        <v>12.54</v>
      </c>
      <c r="AH827" s="14"/>
      <c r="AI827" s="14"/>
      <c r="AJ827" s="51"/>
      <c r="AK827" s="19">
        <v>0.27916666666666667</v>
      </c>
    </row>
    <row r="828" spans="1:45" x14ac:dyDescent="0.2">
      <c r="A828" s="2">
        <v>5139</v>
      </c>
      <c r="B828" s="2">
        <v>4304</v>
      </c>
      <c r="C828" s="2">
        <v>3954</v>
      </c>
      <c r="D828" t="s">
        <v>1152</v>
      </c>
      <c r="H828" s="14">
        <v>17.43</v>
      </c>
      <c r="K828" s="15"/>
      <c r="AF828" s="14"/>
      <c r="AG828" s="14">
        <v>17.43</v>
      </c>
      <c r="AH828" s="14"/>
      <c r="AI828" s="14"/>
      <c r="AJ828" s="51"/>
      <c r="AK828" s="19">
        <v>0.14305555555555557</v>
      </c>
    </row>
    <row r="829" spans="1:45" x14ac:dyDescent="0.2">
      <c r="A829" s="2">
        <v>5150</v>
      </c>
      <c r="B829" s="2">
        <v>4341</v>
      </c>
      <c r="C829" s="2">
        <v>8821</v>
      </c>
      <c r="D829" t="s">
        <v>616</v>
      </c>
      <c r="H829" s="14">
        <v>5.8819999999999997</v>
      </c>
      <c r="K829" s="15"/>
      <c r="AF829" s="14"/>
      <c r="AG829" s="14">
        <v>5.7850000000000001</v>
      </c>
      <c r="AH829" s="14"/>
      <c r="AI829" s="14"/>
      <c r="AJ829" s="51"/>
      <c r="AK829" s="23">
        <v>0.15694444444444444</v>
      </c>
    </row>
    <row r="830" spans="1:45" x14ac:dyDescent="0.2">
      <c r="A830" s="2">
        <v>5189</v>
      </c>
      <c r="B830" s="2">
        <v>4367</v>
      </c>
      <c r="C830" s="2">
        <v>7105</v>
      </c>
      <c r="D830" t="s">
        <v>626</v>
      </c>
      <c r="H830" s="2">
        <v>14.71</v>
      </c>
      <c r="AF830" s="14"/>
      <c r="AG830" s="14">
        <v>10.48</v>
      </c>
      <c r="AH830" s="14"/>
      <c r="AI830" s="14"/>
      <c r="AJ830" s="51"/>
      <c r="AK830" s="19">
        <v>0.12569444444444444</v>
      </c>
    </row>
    <row r="831" spans="1:45" x14ac:dyDescent="0.2">
      <c r="A831" s="2">
        <v>5323</v>
      </c>
      <c r="B831" s="2">
        <v>4383</v>
      </c>
      <c r="C831" s="2">
        <v>12542</v>
      </c>
      <c r="D831" t="s">
        <v>586</v>
      </c>
      <c r="H831" s="2">
        <v>8.8710000000000004</v>
      </c>
      <c r="AF831" s="14"/>
      <c r="AG831" s="14">
        <v>7.12</v>
      </c>
      <c r="AH831" s="14"/>
      <c r="AI831" s="14"/>
      <c r="AJ831" s="51"/>
      <c r="AK831" s="19">
        <v>5.8333333333333327E-2</v>
      </c>
    </row>
    <row r="832" spans="1:45" x14ac:dyDescent="0.2">
      <c r="A832" s="2">
        <v>5425</v>
      </c>
      <c r="B832" s="2">
        <v>4464</v>
      </c>
      <c r="C832" s="2">
        <v>6465</v>
      </c>
      <c r="D832" t="s">
        <v>962</v>
      </c>
      <c r="H832" s="15">
        <v>7.3879999999999999</v>
      </c>
      <c r="K832" s="15"/>
      <c r="AF832" s="14"/>
      <c r="AG832" s="14">
        <v>7.3879999999999999</v>
      </c>
      <c r="AH832" s="14"/>
      <c r="AI832" s="14"/>
      <c r="AJ832" s="51"/>
      <c r="AK832" s="19">
        <v>0.14375000000000002</v>
      </c>
    </row>
    <row r="833" spans="1:45" x14ac:dyDescent="0.2">
      <c r="A833" s="2">
        <v>5463</v>
      </c>
      <c r="B833" s="2">
        <v>4563</v>
      </c>
      <c r="C833" s="2">
        <v>14432</v>
      </c>
      <c r="D833" t="s">
        <v>1193</v>
      </c>
      <c r="H833" s="15">
        <v>5.7910000000000004</v>
      </c>
      <c r="K833" s="15"/>
      <c r="AD833" s="4"/>
      <c r="AF833" s="14"/>
      <c r="AG833" s="14">
        <v>5.7910000000000004</v>
      </c>
      <c r="AH833" s="14"/>
      <c r="AI833" s="14"/>
      <c r="AJ833" s="51"/>
      <c r="AK833" s="22">
        <v>3.7499999999999999E-2</v>
      </c>
    </row>
    <row r="834" spans="1:45" x14ac:dyDescent="0.2">
      <c r="A834" s="2">
        <v>5510</v>
      </c>
      <c r="B834" s="2">
        <v>4604</v>
      </c>
      <c r="C834" s="2">
        <v>16922</v>
      </c>
      <c r="D834" t="s">
        <v>1075</v>
      </c>
      <c r="H834" s="15">
        <v>2.5379999999999998</v>
      </c>
      <c r="K834" s="15"/>
      <c r="AF834" s="14"/>
      <c r="AG834" s="14">
        <v>2.5379999999999998</v>
      </c>
      <c r="AH834" s="14"/>
      <c r="AI834" s="14"/>
      <c r="AJ834" s="51"/>
      <c r="AK834" s="22">
        <v>0.1451388888888889</v>
      </c>
    </row>
    <row r="835" spans="1:45" s="3" customFormat="1" x14ac:dyDescent="0.2">
      <c r="A835" s="4">
        <v>5604</v>
      </c>
      <c r="B835" s="4">
        <v>4732</v>
      </c>
      <c r="C835" s="4">
        <v>14177</v>
      </c>
      <c r="D835" s="3" t="s">
        <v>872</v>
      </c>
      <c r="G835" s="4"/>
      <c r="H835" s="16">
        <v>4.1509999999999998</v>
      </c>
      <c r="I835" s="16"/>
      <c r="J835" s="16"/>
      <c r="K835" s="16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2"/>
      <c r="AE835" s="9">
        <v>4.6580000000000004</v>
      </c>
      <c r="AF835" s="46"/>
      <c r="AG835" s="46">
        <v>4.1509999999999998</v>
      </c>
      <c r="AH835" s="46"/>
      <c r="AI835" s="46"/>
      <c r="AJ835" s="52"/>
      <c r="AK835" s="23">
        <v>0.20416666666666669</v>
      </c>
      <c r="AQ835"/>
      <c r="AR835"/>
      <c r="AS835"/>
    </row>
    <row r="836" spans="1:45" x14ac:dyDescent="0.2">
      <c r="A836" s="2">
        <v>5645</v>
      </c>
      <c r="B836" s="2">
        <v>5033</v>
      </c>
      <c r="C836" s="2">
        <v>1698</v>
      </c>
      <c r="D836" t="s">
        <v>964</v>
      </c>
      <c r="H836" s="15">
        <v>14.64</v>
      </c>
      <c r="K836" s="15"/>
      <c r="AF836" s="14"/>
      <c r="AG836" s="14">
        <v>14.64</v>
      </c>
      <c r="AH836" s="14"/>
      <c r="AI836" s="14"/>
      <c r="AJ836" s="51"/>
      <c r="AK836" s="19">
        <v>0.79166666666666663</v>
      </c>
      <c r="AQ836" s="3"/>
      <c r="AR836" s="3"/>
      <c r="AS836" s="3"/>
    </row>
    <row r="837" spans="1:45" x14ac:dyDescent="0.2">
      <c r="A837" s="2">
        <v>5703</v>
      </c>
      <c r="B837" s="2">
        <v>5070</v>
      </c>
      <c r="C837" s="2">
        <v>29203</v>
      </c>
      <c r="D837" t="s">
        <v>1113</v>
      </c>
      <c r="H837" s="15">
        <v>1.9330000000000001</v>
      </c>
      <c r="K837" s="15"/>
      <c r="AF837" s="14"/>
      <c r="AG837" s="14">
        <v>1.9330000000000001</v>
      </c>
      <c r="AH837" s="14"/>
      <c r="AI837" s="14"/>
      <c r="AJ837" s="51"/>
      <c r="AK837" s="22">
        <v>0.62361111111111112</v>
      </c>
    </row>
    <row r="838" spans="1:45" x14ac:dyDescent="0.2">
      <c r="A838" s="2">
        <v>5777</v>
      </c>
      <c r="B838" s="2">
        <v>4009</v>
      </c>
      <c r="C838" s="2">
        <v>9537</v>
      </c>
      <c r="D838" t="s">
        <v>1188</v>
      </c>
      <c r="H838" s="2">
        <v>5.5259999999999998</v>
      </c>
      <c r="AF838" s="14"/>
      <c r="AG838" s="14">
        <v>5.5259999999999998</v>
      </c>
      <c r="AH838" s="14"/>
      <c r="AI838" s="14"/>
      <c r="AJ838" s="51"/>
      <c r="AK838" s="19">
        <v>0.12291666666666667</v>
      </c>
    </row>
    <row r="839" spans="1:45" x14ac:dyDescent="0.2">
      <c r="A839" s="2">
        <v>5858</v>
      </c>
      <c r="B839" s="2">
        <v>5139</v>
      </c>
      <c r="C839" s="2">
        <v>17076</v>
      </c>
      <c r="D839" t="s">
        <v>1074</v>
      </c>
      <c r="H839" s="2">
        <v>4.8769999999999998</v>
      </c>
      <c r="AF839" s="14"/>
      <c r="AG839" s="14">
        <v>4.8769999999999998</v>
      </c>
      <c r="AH839" s="14"/>
      <c r="AI839" s="14"/>
      <c r="AJ839" s="51"/>
      <c r="AK839" s="19">
        <v>3.4722222222222224E-2</v>
      </c>
    </row>
    <row r="840" spans="1:45" x14ac:dyDescent="0.2">
      <c r="A840" s="2">
        <v>5999</v>
      </c>
      <c r="B840" s="2">
        <v>5998</v>
      </c>
      <c r="C840" s="2">
        <v>7110</v>
      </c>
      <c r="D840" t="s">
        <v>1187</v>
      </c>
      <c r="H840" s="15">
        <v>6.74</v>
      </c>
      <c r="K840" s="15"/>
      <c r="AF840" s="14"/>
      <c r="AG840" s="14">
        <v>6.74</v>
      </c>
      <c r="AH840" s="14"/>
      <c r="AI840" s="14"/>
      <c r="AJ840" s="51"/>
      <c r="AK840" s="19">
        <v>0.3430555555555555</v>
      </c>
    </row>
    <row r="841" spans="1:45" x14ac:dyDescent="0.2">
      <c r="A841" s="2">
        <v>6027</v>
      </c>
      <c r="B841" s="2">
        <v>5074</v>
      </c>
      <c r="C841" s="2">
        <v>24304</v>
      </c>
      <c r="D841" t="s">
        <v>673</v>
      </c>
      <c r="H841" s="15">
        <v>1.831</v>
      </c>
      <c r="K841" s="15"/>
      <c r="AF841" s="14"/>
      <c r="AG841" s="14">
        <v>1.81</v>
      </c>
      <c r="AH841" s="14"/>
      <c r="AI841" s="14"/>
      <c r="AJ841" s="51"/>
      <c r="AK841" s="19">
        <v>0.23750000000000002</v>
      </c>
    </row>
    <row r="842" spans="1:45" x14ac:dyDescent="0.2">
      <c r="A842" s="2">
        <v>6113</v>
      </c>
      <c r="B842" s="2">
        <v>4509</v>
      </c>
      <c r="C842" s="2">
        <v>8894</v>
      </c>
      <c r="D842" t="s">
        <v>1131</v>
      </c>
      <c r="H842" s="15">
        <v>6.1139999999999999</v>
      </c>
      <c r="K842" s="15"/>
      <c r="AF842" s="14"/>
      <c r="AG842" s="14">
        <v>6.1139999999999999</v>
      </c>
      <c r="AH842" s="14"/>
      <c r="AI842" s="14"/>
      <c r="AJ842" s="51"/>
      <c r="AK842" s="19">
        <v>0.17291666666666669</v>
      </c>
    </row>
    <row r="843" spans="1:45" x14ac:dyDescent="0.2">
      <c r="A843" s="2">
        <v>6141</v>
      </c>
      <c r="B843" s="2">
        <v>5425</v>
      </c>
      <c r="C843" s="2">
        <v>3411</v>
      </c>
      <c r="D843" t="s">
        <v>1031</v>
      </c>
      <c r="H843" s="15">
        <v>13.84</v>
      </c>
      <c r="K843" s="15"/>
      <c r="AF843" s="14"/>
      <c r="AG843" s="14">
        <v>13.84</v>
      </c>
      <c r="AH843" s="14"/>
      <c r="AI843" s="14"/>
      <c r="AJ843" s="51"/>
      <c r="AK843" s="19">
        <v>0.39861111111111108</v>
      </c>
    </row>
    <row r="844" spans="1:45" x14ac:dyDescent="0.2">
      <c r="A844" s="2">
        <v>6170</v>
      </c>
      <c r="B844" s="2">
        <v>5463</v>
      </c>
      <c r="C844" s="2">
        <v>11165</v>
      </c>
      <c r="D844" t="s">
        <v>781</v>
      </c>
      <c r="H844" s="15">
        <v>2.931</v>
      </c>
      <c r="K844" s="15"/>
      <c r="AD844" s="4"/>
      <c r="AF844" s="14"/>
      <c r="AG844" s="14">
        <v>2.931</v>
      </c>
      <c r="AH844" s="14"/>
      <c r="AI844" s="14"/>
      <c r="AJ844" s="51"/>
      <c r="AK844" s="23">
        <v>0.47291666666666665</v>
      </c>
    </row>
    <row r="845" spans="1:45" x14ac:dyDescent="0.2">
      <c r="A845" s="2">
        <v>6198</v>
      </c>
      <c r="B845" s="2">
        <v>5510</v>
      </c>
      <c r="C845" s="2">
        <v>2660</v>
      </c>
      <c r="D845" t="s">
        <v>1052</v>
      </c>
      <c r="H845" s="15">
        <v>16.399999999999999</v>
      </c>
      <c r="K845" s="15"/>
      <c r="AF845" s="14"/>
      <c r="AG845" s="14">
        <v>16.399999999999999</v>
      </c>
      <c r="AH845" s="14"/>
      <c r="AI845" s="14"/>
      <c r="AJ845" s="51"/>
      <c r="AK845" s="19">
        <v>0.14444444444444446</v>
      </c>
    </row>
    <row r="846" spans="1:45" x14ac:dyDescent="0.2">
      <c r="A846" s="4">
        <v>6256</v>
      </c>
      <c r="B846" s="4">
        <v>5604</v>
      </c>
      <c r="C846" s="4">
        <v>16594</v>
      </c>
      <c r="D846" s="3" t="s">
        <v>640</v>
      </c>
      <c r="G846" s="4"/>
      <c r="H846" s="16">
        <v>5.806</v>
      </c>
      <c r="I846" s="16">
        <v>0.17149500000000001</v>
      </c>
      <c r="J846" s="16">
        <v>0.15160899999999999</v>
      </c>
      <c r="K846" s="16">
        <v>3.6989999999999998</v>
      </c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E846" s="9"/>
      <c r="AF846" s="46"/>
      <c r="AG846" s="46">
        <v>4.806</v>
      </c>
      <c r="AH846" s="46"/>
      <c r="AI846" s="46"/>
      <c r="AJ846" s="52"/>
      <c r="AK846" s="19">
        <v>6.5972222222222224E-2</v>
      </c>
    </row>
    <row r="847" spans="1:45" x14ac:dyDescent="0.2">
      <c r="A847" s="2">
        <v>6257</v>
      </c>
      <c r="B847" s="2">
        <v>5645</v>
      </c>
      <c r="C847" s="2">
        <v>3809</v>
      </c>
      <c r="D847" t="s">
        <v>1095</v>
      </c>
      <c r="H847" s="15">
        <v>16.55</v>
      </c>
      <c r="K847" s="15"/>
      <c r="AF847" s="14"/>
      <c r="AG847" s="14">
        <v>16.55</v>
      </c>
      <c r="AH847" s="14"/>
      <c r="AI847" s="14"/>
      <c r="AJ847" s="51"/>
      <c r="AK847" s="19">
        <v>0.125</v>
      </c>
    </row>
    <row r="848" spans="1:45" x14ac:dyDescent="0.2">
      <c r="A848" s="2">
        <v>6404</v>
      </c>
      <c r="B848" s="2">
        <v>5608</v>
      </c>
      <c r="C848" s="2">
        <v>8888</v>
      </c>
      <c r="D848" t="s">
        <v>1028</v>
      </c>
      <c r="H848" s="15">
        <v>4.827</v>
      </c>
      <c r="K848" s="15"/>
      <c r="AF848" s="14"/>
      <c r="AG848" s="14">
        <v>4.827</v>
      </c>
      <c r="AH848" s="14"/>
      <c r="AI848" s="14"/>
      <c r="AJ848" s="51"/>
      <c r="AK848" s="22">
        <v>0.21527777777777779</v>
      </c>
    </row>
    <row r="849" spans="1:37" x14ac:dyDescent="0.2">
      <c r="A849" s="2">
        <v>6716</v>
      </c>
      <c r="B849" s="2">
        <v>5703</v>
      </c>
      <c r="C849" s="2">
        <v>24350</v>
      </c>
      <c r="D849" t="s">
        <v>1087</v>
      </c>
      <c r="H849" s="2">
        <v>2.6560000000000001</v>
      </c>
      <c r="AF849" s="14"/>
      <c r="AG849" s="14">
        <v>2.6560000000000001</v>
      </c>
      <c r="AH849" s="14"/>
      <c r="AI849" s="14"/>
      <c r="AJ849" s="51"/>
      <c r="AK849" s="19">
        <v>9.375E-2</v>
      </c>
    </row>
    <row r="850" spans="1:37" x14ac:dyDescent="0.2">
      <c r="A850" s="2">
        <v>6799</v>
      </c>
      <c r="B850" s="2">
        <v>5777</v>
      </c>
      <c r="C850" s="2">
        <v>29058</v>
      </c>
      <c r="D850" t="s">
        <v>755</v>
      </c>
      <c r="H850" s="15">
        <v>2.2930000000000001</v>
      </c>
      <c r="I850" s="15">
        <v>7.3075000000000001E-2</v>
      </c>
      <c r="J850" s="15">
        <v>6.7874000000000004E-2</v>
      </c>
      <c r="K850" s="15">
        <v>1.782</v>
      </c>
      <c r="AF850" s="14"/>
      <c r="AG850" s="14">
        <v>1.8029999999999999</v>
      </c>
      <c r="AH850" s="14"/>
      <c r="AI850" s="14"/>
      <c r="AJ850" s="51"/>
      <c r="AK850" s="19">
        <v>9.7222222222222224E-2</v>
      </c>
    </row>
    <row r="851" spans="1:37" x14ac:dyDescent="0.2">
      <c r="A851" s="2">
        <v>6895</v>
      </c>
      <c r="B851" s="2">
        <v>5858</v>
      </c>
      <c r="C851" s="2">
        <v>14286</v>
      </c>
      <c r="D851" t="s">
        <v>903</v>
      </c>
      <c r="H851" s="15">
        <v>3.855</v>
      </c>
      <c r="K851" s="15"/>
      <c r="N851" s="1">
        <f>AE851/AG851-1</f>
        <v>-0.23579766536964974</v>
      </c>
      <c r="AE851" s="1">
        <v>2.9460000000000002</v>
      </c>
      <c r="AF851" s="14"/>
      <c r="AG851" s="14">
        <v>3.855</v>
      </c>
      <c r="AH851" s="14"/>
      <c r="AI851" s="14"/>
      <c r="AJ851" s="51"/>
      <c r="AK851" s="19">
        <v>0.26458333333333334</v>
      </c>
    </row>
    <row r="852" spans="1:37" x14ac:dyDescent="0.2">
      <c r="A852" s="2">
        <v>6912</v>
      </c>
      <c r="B852" s="2">
        <v>7610</v>
      </c>
      <c r="C852" s="2">
        <v>5253</v>
      </c>
      <c r="D852" t="s">
        <v>1135</v>
      </c>
      <c r="H852" s="15">
        <v>15.51</v>
      </c>
      <c r="K852" s="15"/>
      <c r="AF852" s="14"/>
      <c r="AG852" s="14">
        <v>15.51</v>
      </c>
      <c r="AH852" s="14"/>
      <c r="AI852" s="14"/>
      <c r="AJ852" s="51"/>
      <c r="AK852" s="22">
        <v>0.10555555555555556</v>
      </c>
    </row>
    <row r="853" spans="1:37" x14ac:dyDescent="0.2">
      <c r="A853" s="2">
        <v>7013</v>
      </c>
      <c r="B853" s="2">
        <v>6113</v>
      </c>
      <c r="C853" s="2">
        <v>1733</v>
      </c>
      <c r="D853" t="s">
        <v>1050</v>
      </c>
      <c r="H853" s="15">
        <v>34.51</v>
      </c>
      <c r="K853" s="15"/>
      <c r="AF853" s="14"/>
      <c r="AG853" s="14">
        <v>34.51</v>
      </c>
      <c r="AH853" s="14"/>
      <c r="AI853" s="14"/>
      <c r="AJ853" s="51"/>
      <c r="AK853" s="19">
        <v>0.18124999999999999</v>
      </c>
    </row>
    <row r="854" spans="1:37" x14ac:dyDescent="0.2">
      <c r="A854" s="2">
        <v>7021</v>
      </c>
      <c r="B854" s="2">
        <v>6141</v>
      </c>
      <c r="C854" s="2">
        <v>7754</v>
      </c>
      <c r="D854" t="s">
        <v>1029</v>
      </c>
      <c r="H854" s="15">
        <v>7.726</v>
      </c>
      <c r="K854" s="15"/>
      <c r="AF854" s="14"/>
      <c r="AG854" s="14">
        <v>7.726</v>
      </c>
      <c r="AH854" s="14"/>
      <c r="AI854" s="14"/>
      <c r="AJ854" s="51"/>
      <c r="AK854" s="19">
        <v>0.1451388888888889</v>
      </c>
    </row>
    <row r="855" spans="1:37" x14ac:dyDescent="0.2">
      <c r="A855" s="2">
        <v>7130</v>
      </c>
      <c r="B855" s="2">
        <v>6170</v>
      </c>
      <c r="C855" s="2">
        <v>8217</v>
      </c>
      <c r="D855" t="s">
        <v>905</v>
      </c>
      <c r="H855" s="15">
        <v>10.01</v>
      </c>
      <c r="K855" s="15"/>
      <c r="AF855" s="14"/>
      <c r="AG855" s="14">
        <v>10.01</v>
      </c>
      <c r="AH855" s="14"/>
      <c r="AI855" s="14"/>
      <c r="AJ855" s="51"/>
      <c r="AK855" s="19">
        <v>8.2638888888888887E-2</v>
      </c>
    </row>
    <row r="856" spans="1:37" x14ac:dyDescent="0.2">
      <c r="A856" s="2">
        <v>7153</v>
      </c>
      <c r="B856" s="2">
        <v>6198</v>
      </c>
      <c r="C856" s="2">
        <v>22279</v>
      </c>
      <c r="D856" t="s">
        <v>729</v>
      </c>
      <c r="H856" s="15">
        <v>2.4820000000000002</v>
      </c>
      <c r="K856" s="15"/>
      <c r="AF856" s="14"/>
      <c r="AG856" s="14">
        <v>2.669</v>
      </c>
      <c r="AH856" s="14"/>
      <c r="AI856" s="14"/>
      <c r="AJ856" s="51"/>
      <c r="AK856" s="19">
        <v>4.5833333333333337E-2</v>
      </c>
    </row>
    <row r="857" spans="1:37" x14ac:dyDescent="0.2">
      <c r="A857" s="2">
        <v>7210</v>
      </c>
      <c r="B857" s="4">
        <v>5820</v>
      </c>
      <c r="C857" s="2">
        <v>17590</v>
      </c>
      <c r="D857" t="s">
        <v>1138</v>
      </c>
      <c r="H857" s="2">
        <v>3.1070000000000002</v>
      </c>
      <c r="AF857" s="14"/>
      <c r="AG857" s="14">
        <v>3.1070000000000002</v>
      </c>
      <c r="AH857" s="14"/>
      <c r="AI857" s="14"/>
      <c r="AJ857" s="51"/>
      <c r="AK857" s="19">
        <v>0.12986111111111112</v>
      </c>
    </row>
    <row r="858" spans="1:37" x14ac:dyDescent="0.2">
      <c r="A858" s="2">
        <v>7228</v>
      </c>
      <c r="B858" s="2">
        <v>6257</v>
      </c>
      <c r="C858" s="2">
        <v>27896</v>
      </c>
      <c r="D858" t="s">
        <v>594</v>
      </c>
      <c r="H858" s="15">
        <v>2.5379999999999998</v>
      </c>
      <c r="K858" s="15"/>
      <c r="AF858" s="14"/>
      <c r="AG858" s="14">
        <v>2.5379999999999998</v>
      </c>
      <c r="AH858" s="14"/>
      <c r="AI858" s="14"/>
      <c r="AJ858" s="51"/>
      <c r="AK858" s="19">
        <v>6.1805555555555558E-2</v>
      </c>
    </row>
    <row r="859" spans="1:37" x14ac:dyDescent="0.2">
      <c r="A859" s="2">
        <v>7403</v>
      </c>
      <c r="B859" s="2">
        <v>6404</v>
      </c>
      <c r="C859" s="2">
        <v>9255</v>
      </c>
      <c r="D859" t="s">
        <v>759</v>
      </c>
      <c r="H859" s="15">
        <v>6.0629999999999997</v>
      </c>
      <c r="I859" s="15">
        <v>0.18499499999999999</v>
      </c>
      <c r="J859" s="16">
        <v>0.16447500000000001</v>
      </c>
      <c r="K859" s="15">
        <v>4.218</v>
      </c>
      <c r="AF859" s="14"/>
      <c r="AG859" s="14">
        <v>6.0330000000000004</v>
      </c>
      <c r="AH859" s="14"/>
      <c r="AI859" s="14"/>
      <c r="AJ859" s="51"/>
      <c r="AK859" s="19">
        <v>0.1111111111111111</v>
      </c>
    </row>
    <row r="860" spans="1:37" x14ac:dyDescent="0.2">
      <c r="A860" s="2">
        <v>7491</v>
      </c>
      <c r="B860" s="2">
        <v>6716</v>
      </c>
      <c r="C860" s="2">
        <v>5868</v>
      </c>
      <c r="D860" t="s">
        <v>1172</v>
      </c>
      <c r="H860" s="15">
        <v>12</v>
      </c>
      <c r="K860" s="15"/>
      <c r="AF860" s="14"/>
      <c r="AG860" s="14">
        <v>12</v>
      </c>
      <c r="AH860" s="14"/>
      <c r="AI860" s="14"/>
      <c r="AJ860" s="51"/>
      <c r="AK860" s="22">
        <v>0.13263888888888889</v>
      </c>
    </row>
    <row r="861" spans="1:37" x14ac:dyDescent="0.2">
      <c r="A861" s="2">
        <v>7562</v>
      </c>
      <c r="B861" s="2">
        <v>5863</v>
      </c>
      <c r="C861" s="2">
        <v>5647</v>
      </c>
      <c r="D861" t="s">
        <v>895</v>
      </c>
      <c r="H861" s="15">
        <v>7.4489999999999998</v>
      </c>
      <c r="K861" s="15"/>
      <c r="AF861" s="14"/>
      <c r="AG861" s="14">
        <v>7.4489999999999998</v>
      </c>
      <c r="AH861" s="14"/>
      <c r="AI861" s="14"/>
      <c r="AJ861" s="51"/>
      <c r="AK861" s="19">
        <v>0.3527777777777778</v>
      </c>
    </row>
    <row r="862" spans="1:37" x14ac:dyDescent="0.2">
      <c r="A862" s="2">
        <v>7642</v>
      </c>
      <c r="B862" s="2">
        <v>6895</v>
      </c>
      <c r="C862" s="2">
        <v>17012</v>
      </c>
      <c r="D862" t="s">
        <v>1173</v>
      </c>
      <c r="H862" s="15">
        <v>3.7810000000000001</v>
      </c>
      <c r="J862" s="15"/>
      <c r="K862" s="15"/>
      <c r="AF862" s="14"/>
      <c r="AG862" s="14">
        <v>3.7810000000000001</v>
      </c>
      <c r="AH862" s="14"/>
      <c r="AI862" s="14"/>
      <c r="AJ862" s="51"/>
      <c r="AK862" s="19">
        <v>0.10416666666666667</v>
      </c>
    </row>
    <row r="863" spans="1:37" x14ac:dyDescent="0.2">
      <c r="A863" s="2">
        <v>7661</v>
      </c>
      <c r="B863" s="2">
        <v>5508</v>
      </c>
      <c r="C863" s="2">
        <v>38552</v>
      </c>
      <c r="D863" t="s">
        <v>1054</v>
      </c>
      <c r="H863" s="15">
        <v>1.0660000000000001</v>
      </c>
      <c r="K863" s="15"/>
      <c r="AF863" s="14"/>
      <c r="AG863" s="14">
        <v>1.0660000000000001</v>
      </c>
      <c r="AH863" s="14"/>
      <c r="AI863" s="14"/>
      <c r="AJ863" s="51"/>
      <c r="AK863" s="19">
        <v>0.26527777777777778</v>
      </c>
    </row>
    <row r="864" spans="1:37" x14ac:dyDescent="0.2">
      <c r="A864" s="2">
        <v>7668</v>
      </c>
      <c r="B864" s="2">
        <v>6912</v>
      </c>
      <c r="C864" s="2">
        <v>7121</v>
      </c>
      <c r="D864" t="s">
        <v>761</v>
      </c>
      <c r="H864" s="15">
        <v>13.4</v>
      </c>
      <c r="I864" s="15">
        <v>0.42543599999999998</v>
      </c>
      <c r="J864" s="15">
        <v>0.29056500000000002</v>
      </c>
      <c r="K864" s="15">
        <v>4.6760000000000002</v>
      </c>
      <c r="AF864" s="14"/>
      <c r="AG864" s="14">
        <v>10.65</v>
      </c>
      <c r="AH864" s="14"/>
      <c r="AI864" s="14"/>
      <c r="AJ864" s="51"/>
      <c r="AK864" s="23">
        <v>0.11666666666666665</v>
      </c>
    </row>
    <row r="865" spans="1:45" x14ac:dyDescent="0.2">
      <c r="A865" s="2">
        <v>7671</v>
      </c>
      <c r="B865" s="2">
        <v>7013</v>
      </c>
      <c r="C865" s="2">
        <v>5150</v>
      </c>
      <c r="D865" t="s">
        <v>968</v>
      </c>
      <c r="H865" s="15">
        <v>8.8940000000000001</v>
      </c>
      <c r="K865" s="15"/>
      <c r="AE865" s="1">
        <v>9.5510000000000002</v>
      </c>
      <c r="AF865" s="14"/>
      <c r="AG865" s="14">
        <v>8.8940000000000001</v>
      </c>
      <c r="AH865" s="14"/>
      <c r="AI865" s="14"/>
      <c r="AJ865" s="51"/>
      <c r="AK865" s="19">
        <v>0.3</v>
      </c>
    </row>
    <row r="866" spans="1:45" x14ac:dyDescent="0.2">
      <c r="A866" s="2">
        <v>7745</v>
      </c>
      <c r="B866" s="2">
        <v>7021</v>
      </c>
      <c r="C866" s="2">
        <v>10668</v>
      </c>
      <c r="D866" t="s">
        <v>657</v>
      </c>
      <c r="H866" s="15">
        <v>7.0739999999999998</v>
      </c>
      <c r="K866" s="15"/>
      <c r="AF866" s="14"/>
      <c r="AG866" s="14">
        <v>7.0739999999999998</v>
      </c>
      <c r="AH866" s="14"/>
      <c r="AI866" s="14"/>
      <c r="AJ866" s="51"/>
      <c r="AK866" s="19">
        <v>8.0555555555555561E-2</v>
      </c>
    </row>
    <row r="867" spans="1:45" x14ac:dyDescent="0.2">
      <c r="A867" s="2">
        <v>7846</v>
      </c>
      <c r="B867" s="2">
        <v>7130</v>
      </c>
      <c r="C867" s="2">
        <v>41002</v>
      </c>
      <c r="D867" t="s">
        <v>1088</v>
      </c>
      <c r="H867" s="15">
        <v>1.605</v>
      </c>
      <c r="K867" s="15"/>
      <c r="AF867" s="14"/>
      <c r="AG867" s="14">
        <v>1.605</v>
      </c>
      <c r="AH867" s="14"/>
      <c r="AI867" s="14"/>
      <c r="AJ867" s="51"/>
      <c r="AK867" s="19">
        <v>6.25E-2</v>
      </c>
    </row>
    <row r="868" spans="1:45" x14ac:dyDescent="0.2">
      <c r="A868" s="2">
        <v>7980</v>
      </c>
      <c r="B868" s="2">
        <v>7588</v>
      </c>
      <c r="C868" s="2">
        <v>2123</v>
      </c>
      <c r="D868" t="s">
        <v>1147</v>
      </c>
      <c r="H868" s="15">
        <v>23.6</v>
      </c>
      <c r="K868" s="15"/>
      <c r="AF868" s="14"/>
      <c r="AG868" s="14">
        <v>23.6</v>
      </c>
      <c r="AH868" s="14"/>
      <c r="AI868" s="14"/>
      <c r="AJ868" s="51"/>
      <c r="AK868" s="19">
        <v>0.15347222222222223</v>
      </c>
    </row>
    <row r="869" spans="1:45" s="3" customFormat="1" x14ac:dyDescent="0.2">
      <c r="A869" s="2">
        <v>8028</v>
      </c>
      <c r="B869" s="2">
        <v>7210</v>
      </c>
      <c r="C869" s="2">
        <v>26838</v>
      </c>
      <c r="D869" t="s">
        <v>634</v>
      </c>
      <c r="E869"/>
      <c r="F869"/>
      <c r="G869" s="2"/>
      <c r="H869" s="15">
        <v>3.1070000000000002</v>
      </c>
      <c r="I869" s="15"/>
      <c r="J869" s="16"/>
      <c r="K869" s="1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/>
      <c r="AE869" s="1"/>
      <c r="AF869" s="14"/>
      <c r="AG869" s="14">
        <v>2.766</v>
      </c>
      <c r="AH869" s="14"/>
      <c r="AI869" s="14"/>
      <c r="AJ869" s="51"/>
      <c r="AK869" s="19">
        <v>9.3055555555555558E-2</v>
      </c>
      <c r="AQ869"/>
      <c r="AR869"/>
      <c r="AS869"/>
    </row>
    <row r="870" spans="1:45" x14ac:dyDescent="0.2">
      <c r="A870" s="2">
        <v>8366</v>
      </c>
      <c r="B870" s="2">
        <v>9935</v>
      </c>
      <c r="C870" s="2">
        <v>35031</v>
      </c>
      <c r="D870" t="s">
        <v>578</v>
      </c>
      <c r="H870" s="15">
        <v>2.3620000000000001</v>
      </c>
      <c r="I870" s="15">
        <v>7.4180999999999997E-2</v>
      </c>
      <c r="J870" s="16">
        <v>6.5727999999999995E-2</v>
      </c>
      <c r="K870" s="15">
        <v>1.6220000000000001</v>
      </c>
      <c r="AF870" s="14"/>
      <c r="AG870" s="14">
        <v>2.3490000000000002</v>
      </c>
      <c r="AH870" s="14"/>
      <c r="AI870" s="14"/>
      <c r="AJ870" s="51"/>
      <c r="AK870" s="20" t="s">
        <v>748</v>
      </c>
      <c r="AQ870" s="3"/>
      <c r="AR870" s="3"/>
      <c r="AS870" s="3"/>
    </row>
    <row r="871" spans="1:45" x14ac:dyDescent="0.2">
      <c r="A871" s="2">
        <v>8582</v>
      </c>
      <c r="B871" s="2">
        <v>8340</v>
      </c>
      <c r="C871" s="2">
        <v>38849</v>
      </c>
      <c r="D871" t="s">
        <v>1144</v>
      </c>
      <c r="H871" s="15">
        <v>1.966</v>
      </c>
      <c r="K871" s="15"/>
      <c r="AF871" s="14"/>
      <c r="AG871" s="14">
        <v>1.966</v>
      </c>
      <c r="AH871" s="14"/>
      <c r="AI871" s="14"/>
      <c r="AJ871" s="51"/>
      <c r="AK871" s="19">
        <v>5.4166666666666669E-2</v>
      </c>
    </row>
    <row r="872" spans="1:45" x14ac:dyDescent="0.2">
      <c r="A872" s="2">
        <v>8631</v>
      </c>
      <c r="B872" s="2">
        <v>7491</v>
      </c>
      <c r="C872" s="2">
        <v>31315</v>
      </c>
      <c r="D872" t="s">
        <v>831</v>
      </c>
      <c r="H872" s="15">
        <v>2.2080000000000002</v>
      </c>
      <c r="K872" s="15"/>
      <c r="AF872" s="14"/>
      <c r="AG872" s="14">
        <v>2.246</v>
      </c>
      <c r="AH872" s="14"/>
      <c r="AI872" s="14"/>
      <c r="AJ872" s="51"/>
      <c r="AK872" s="19">
        <v>7.2222222222222229E-2</v>
      </c>
    </row>
    <row r="873" spans="1:45" x14ac:dyDescent="0.2">
      <c r="A873" s="2">
        <v>8669</v>
      </c>
      <c r="B873" s="2">
        <v>7562</v>
      </c>
      <c r="C873" s="2">
        <v>14637</v>
      </c>
      <c r="D873" t="s">
        <v>1124</v>
      </c>
      <c r="H873" s="15">
        <v>3.3119999999999998</v>
      </c>
      <c r="K873" s="15"/>
      <c r="AF873" s="14"/>
      <c r="AG873" s="14">
        <v>3.3119999999999998</v>
      </c>
      <c r="AH873" s="14"/>
      <c r="AI873" s="14"/>
      <c r="AJ873" s="51"/>
      <c r="AK873" s="19">
        <v>0.22291666666666665</v>
      </c>
    </row>
    <row r="874" spans="1:45" x14ac:dyDescent="0.2">
      <c r="A874" s="2">
        <v>8767</v>
      </c>
      <c r="B874" s="2">
        <v>7642</v>
      </c>
      <c r="C874" s="2">
        <v>3343</v>
      </c>
      <c r="D874" t="s">
        <v>1176</v>
      </c>
      <c r="H874" s="2">
        <v>17.809999999999999</v>
      </c>
      <c r="AF874" s="14"/>
      <c r="AG874" s="14">
        <v>17.809999999999999</v>
      </c>
      <c r="AH874" s="14"/>
      <c r="AI874" s="14"/>
      <c r="AJ874" s="51"/>
      <c r="AK874" s="19">
        <v>0.23819444444444446</v>
      </c>
    </row>
    <row r="875" spans="1:45" x14ac:dyDescent="0.2">
      <c r="A875" s="2">
        <v>8783</v>
      </c>
      <c r="B875" s="2">
        <v>7661</v>
      </c>
      <c r="C875" s="2">
        <v>11452</v>
      </c>
      <c r="D875" t="s">
        <v>942</v>
      </c>
      <c r="H875" s="15">
        <v>5.3419999999999996</v>
      </c>
      <c r="K875" s="15"/>
      <c r="AF875" s="14"/>
      <c r="AG875" s="14">
        <v>5.3419999999999996</v>
      </c>
      <c r="AH875" s="14"/>
      <c r="AI875" s="14"/>
      <c r="AJ875" s="51"/>
      <c r="AK875" s="19">
        <v>0.10833333333333334</v>
      </c>
    </row>
    <row r="876" spans="1:45" x14ac:dyDescent="0.2">
      <c r="A876" s="2">
        <v>8940</v>
      </c>
      <c r="B876" s="2">
        <v>6316</v>
      </c>
      <c r="C876" s="2">
        <v>19229</v>
      </c>
      <c r="D876" t="s">
        <v>762</v>
      </c>
      <c r="H876" s="15">
        <v>4.5880000000000001</v>
      </c>
      <c r="I876" s="15">
        <v>0.14110700000000001</v>
      </c>
      <c r="J876" s="16">
        <v>0.123987</v>
      </c>
      <c r="K876" s="15">
        <v>2.968</v>
      </c>
      <c r="AF876" s="14"/>
      <c r="AG876" s="14">
        <v>3.51</v>
      </c>
      <c r="AH876" s="14"/>
      <c r="AI876" s="14"/>
      <c r="AJ876" s="51"/>
      <c r="AK876" s="19">
        <v>8.3333333333333329E-2</v>
      </c>
    </row>
    <row r="877" spans="1:45" x14ac:dyDescent="0.2">
      <c r="A877" s="2">
        <v>9065</v>
      </c>
      <c r="B877" s="2">
        <v>7671</v>
      </c>
      <c r="C877" s="2">
        <v>6336</v>
      </c>
      <c r="D877" t="s">
        <v>1189</v>
      </c>
      <c r="H877" s="15">
        <v>9.0410000000000004</v>
      </c>
      <c r="K877" s="15"/>
      <c r="AF877" s="14"/>
      <c r="AG877" s="14">
        <v>9.0410000000000004</v>
      </c>
      <c r="AH877" s="14"/>
      <c r="AI877" s="14"/>
      <c r="AJ877" s="51"/>
      <c r="AK877" s="22">
        <v>0.13749999999999998</v>
      </c>
    </row>
    <row r="878" spans="1:45" x14ac:dyDescent="0.2">
      <c r="A878" s="2">
        <v>9109</v>
      </c>
      <c r="B878" s="2">
        <v>6758</v>
      </c>
      <c r="C878" s="2">
        <v>41148</v>
      </c>
      <c r="D878" t="s">
        <v>610</v>
      </c>
      <c r="H878" s="15">
        <v>2.012</v>
      </c>
      <c r="K878" s="15"/>
      <c r="AF878" s="14"/>
      <c r="AG878" s="14">
        <v>1.841</v>
      </c>
      <c r="AH878" s="14"/>
      <c r="AI878" s="14"/>
      <c r="AJ878" s="51"/>
      <c r="AK878" s="19">
        <v>5.9722222222222225E-2</v>
      </c>
    </row>
    <row r="879" spans="1:45" x14ac:dyDescent="0.2">
      <c r="A879" s="2">
        <v>9617</v>
      </c>
      <c r="B879" s="2">
        <v>7846</v>
      </c>
      <c r="C879" s="2">
        <v>6386</v>
      </c>
      <c r="D879" t="s">
        <v>1198</v>
      </c>
      <c r="H879" s="15">
        <v>4.4560000000000004</v>
      </c>
      <c r="K879" s="15"/>
      <c r="AF879" s="14"/>
      <c r="AG879" s="14">
        <v>4.4560000000000004</v>
      </c>
      <c r="AH879" s="14"/>
      <c r="AI879" s="14"/>
      <c r="AJ879" s="51"/>
      <c r="AK879" s="22">
        <v>0.3527777777777778</v>
      </c>
    </row>
    <row r="880" spans="1:45" x14ac:dyDescent="0.2">
      <c r="A880" s="2">
        <v>9665</v>
      </c>
      <c r="B880" s="2">
        <v>7980</v>
      </c>
      <c r="C880" s="2">
        <v>24725</v>
      </c>
      <c r="D880" t="s">
        <v>1167</v>
      </c>
      <c r="H880" s="15">
        <v>3.206</v>
      </c>
      <c r="K880" s="15"/>
      <c r="AF880" s="14"/>
      <c r="AG880" s="14">
        <v>3.206</v>
      </c>
      <c r="AH880" s="14"/>
      <c r="AI880" s="14"/>
      <c r="AJ880" s="51"/>
      <c r="AK880" s="19">
        <v>3.1944444444444449E-2</v>
      </c>
    </row>
    <row r="881" spans="1:37" x14ac:dyDescent="0.2">
      <c r="A881" s="2">
        <v>9816</v>
      </c>
      <c r="B881" s="2">
        <v>6614</v>
      </c>
      <c r="C881" s="2">
        <v>9102</v>
      </c>
      <c r="D881" t="s">
        <v>1159</v>
      </c>
      <c r="H881" s="15">
        <v>6.2169999999999996</v>
      </c>
      <c r="K881" s="15"/>
      <c r="AF881" s="14"/>
      <c r="AG881" s="14">
        <v>6.2169999999999996</v>
      </c>
      <c r="AH881" s="14"/>
      <c r="AI881" s="14"/>
      <c r="AJ881" s="51"/>
      <c r="AK881" s="19">
        <v>0.18333333333333335</v>
      </c>
    </row>
    <row r="882" spans="1:37" x14ac:dyDescent="0.2">
      <c r="A882" s="2">
        <v>10295</v>
      </c>
      <c r="B882" s="2">
        <v>9194</v>
      </c>
      <c r="C882" s="2">
        <v>21176</v>
      </c>
      <c r="D882" t="s">
        <v>1005</v>
      </c>
      <c r="H882" s="15">
        <v>2.5070000000000001</v>
      </c>
      <c r="K882" s="15"/>
      <c r="AF882" s="14"/>
      <c r="AG882" s="14">
        <v>2.5070000000000001</v>
      </c>
      <c r="AH882" s="14"/>
      <c r="AI882" s="14"/>
      <c r="AJ882" s="51"/>
      <c r="AK882" s="19">
        <v>0.27291666666666664</v>
      </c>
    </row>
    <row r="883" spans="1:37" x14ac:dyDescent="0.2">
      <c r="A883" s="2">
        <v>10674</v>
      </c>
      <c r="B883" s="2">
        <v>8582</v>
      </c>
      <c r="C883" s="2">
        <v>4619</v>
      </c>
      <c r="D883" t="s">
        <v>1064</v>
      </c>
      <c r="H883" s="15">
        <v>12.01</v>
      </c>
      <c r="K883" s="15"/>
      <c r="AF883" s="14"/>
      <c r="AG883" s="14">
        <v>12.01</v>
      </c>
      <c r="AH883" s="14"/>
      <c r="AI883" s="14"/>
      <c r="AJ883" s="51"/>
      <c r="AK883" s="19">
        <v>0.23819444444444446</v>
      </c>
    </row>
    <row r="884" spans="1:37" x14ac:dyDescent="0.2">
      <c r="A884" s="2">
        <v>10700</v>
      </c>
      <c r="B884" s="2">
        <v>8978</v>
      </c>
      <c r="C884" s="2">
        <v>13857</v>
      </c>
      <c r="D884" t="s">
        <v>829</v>
      </c>
      <c r="H884" s="15">
        <v>3.9180000000000001</v>
      </c>
      <c r="K884" s="15"/>
      <c r="AF884" s="14"/>
      <c r="AG884" s="14">
        <v>3.9180000000000001</v>
      </c>
      <c r="AH884" s="14"/>
      <c r="AI884" s="14"/>
      <c r="AJ884" s="51"/>
      <c r="AK884" s="22">
        <v>0.1673611111111111</v>
      </c>
    </row>
    <row r="885" spans="1:37" x14ac:dyDescent="0.2">
      <c r="A885" s="2">
        <v>10904</v>
      </c>
      <c r="B885" s="2">
        <v>8669</v>
      </c>
      <c r="C885" s="2">
        <v>27127</v>
      </c>
      <c r="D885" t="s">
        <v>1184</v>
      </c>
      <c r="H885" s="15">
        <v>2.8220000000000001</v>
      </c>
      <c r="K885" s="15"/>
      <c r="AF885" s="14"/>
      <c r="AG885" s="14">
        <v>2.8220000000000001</v>
      </c>
      <c r="AH885" s="14"/>
      <c r="AI885" s="14"/>
      <c r="AJ885" s="51"/>
      <c r="AK885" s="22">
        <v>9.2361111111111116E-2</v>
      </c>
    </row>
    <row r="886" spans="1:37" x14ac:dyDescent="0.2">
      <c r="A886" s="2">
        <v>10990</v>
      </c>
      <c r="B886" s="2">
        <v>8767</v>
      </c>
      <c r="C886" s="2">
        <v>3168</v>
      </c>
      <c r="D886" t="s">
        <v>886</v>
      </c>
      <c r="H886" s="15">
        <v>13.41</v>
      </c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E886" s="15"/>
      <c r="AF886" s="14"/>
      <c r="AG886" s="14">
        <v>13.41</v>
      </c>
      <c r="AH886" s="14"/>
      <c r="AI886" s="14"/>
      <c r="AJ886" s="51"/>
      <c r="AK886" s="22">
        <v>0.16458333333333333</v>
      </c>
    </row>
    <row r="887" spans="1:37" x14ac:dyDescent="0.2">
      <c r="A887" s="2">
        <v>11096</v>
      </c>
      <c r="B887" s="2">
        <v>8783</v>
      </c>
      <c r="C887" s="2">
        <v>6703</v>
      </c>
      <c r="D887" t="s">
        <v>1190</v>
      </c>
      <c r="H887" s="15">
        <v>8.2750000000000004</v>
      </c>
      <c r="K887" s="15"/>
      <c r="AF887" s="14"/>
      <c r="AG887" s="14">
        <v>8.2750000000000004</v>
      </c>
      <c r="AH887" s="14"/>
      <c r="AI887" s="14"/>
      <c r="AJ887" s="51"/>
      <c r="AK887" s="22">
        <v>0.11666666666666665</v>
      </c>
    </row>
    <row r="888" spans="1:37" x14ac:dyDescent="0.2">
      <c r="A888" s="2">
        <v>11325</v>
      </c>
      <c r="B888" s="2">
        <v>7649</v>
      </c>
      <c r="C888" s="2">
        <v>48965</v>
      </c>
      <c r="D888" t="s">
        <v>1084</v>
      </c>
      <c r="H888" s="15">
        <v>1.4730000000000001</v>
      </c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E888" s="15"/>
      <c r="AF888" s="14"/>
      <c r="AG888" s="14">
        <v>1.4730000000000001</v>
      </c>
      <c r="AH888" s="14"/>
      <c r="AI888" s="14"/>
      <c r="AJ888" s="51"/>
      <c r="AK888" s="19">
        <v>4.4444444444444446E-2</v>
      </c>
    </row>
    <row r="889" spans="1:37" x14ac:dyDescent="0.2">
      <c r="A889" s="2">
        <v>11700</v>
      </c>
      <c r="B889" s="2">
        <v>9065</v>
      </c>
      <c r="C889" s="2">
        <v>8510</v>
      </c>
      <c r="D889" t="s">
        <v>1053</v>
      </c>
      <c r="H889" s="15">
        <v>7.6769999999999996</v>
      </c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E889" s="15"/>
      <c r="AF889" s="14"/>
      <c r="AG889" s="14">
        <v>7.6769999999999996</v>
      </c>
      <c r="AH889" s="14"/>
      <c r="AI889" s="14"/>
      <c r="AJ889" s="51"/>
      <c r="AK889" s="19">
        <v>0.14791666666666667</v>
      </c>
    </row>
    <row r="890" spans="1:37" x14ac:dyDescent="0.2">
      <c r="A890" s="2">
        <v>11772</v>
      </c>
      <c r="B890" s="2">
        <v>9045</v>
      </c>
      <c r="C890" s="2">
        <v>24530</v>
      </c>
      <c r="D890" t="s">
        <v>1108</v>
      </c>
      <c r="H890" s="15">
        <v>3.1259999999999999</v>
      </c>
      <c r="K890" s="15"/>
      <c r="AF890" s="14"/>
      <c r="AG890" s="14">
        <v>3.1259999999999999</v>
      </c>
      <c r="AH890" s="14"/>
      <c r="AI890" s="14"/>
      <c r="AJ890" s="51"/>
      <c r="AK890" s="22">
        <v>0.18819444444444444</v>
      </c>
    </row>
    <row r="891" spans="1:37" x14ac:dyDescent="0.2">
      <c r="A891" s="2">
        <v>11817</v>
      </c>
      <c r="B891" s="2">
        <v>9617</v>
      </c>
      <c r="C891" s="2">
        <v>56121</v>
      </c>
      <c r="D891" t="s">
        <v>1086</v>
      </c>
      <c r="H891" s="15">
        <v>1.1080000000000001</v>
      </c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E891" s="15"/>
      <c r="AF891" s="14"/>
      <c r="AG891" s="14">
        <v>1.1080000000000001</v>
      </c>
      <c r="AH891" s="14"/>
      <c r="AI891" s="14"/>
      <c r="AJ891" s="51"/>
      <c r="AK891" s="19">
        <v>9.3055555555555558E-2</v>
      </c>
    </row>
    <row r="892" spans="1:37" x14ac:dyDescent="0.2">
      <c r="A892" s="2">
        <v>11897</v>
      </c>
      <c r="B892" s="2">
        <v>9665</v>
      </c>
      <c r="C892" s="2">
        <v>16867</v>
      </c>
      <c r="D892" t="s">
        <v>639</v>
      </c>
      <c r="H892" s="15">
        <v>4.7699999999999996</v>
      </c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E892" s="15"/>
      <c r="AF892" s="14"/>
      <c r="AG892" s="14">
        <v>4.7699999999999996</v>
      </c>
      <c r="AH892" s="14"/>
      <c r="AI892" s="14"/>
      <c r="AJ892" s="51"/>
      <c r="AK892" s="19">
        <v>5.6944444444444443E-2</v>
      </c>
    </row>
    <row r="893" spans="1:37" x14ac:dyDescent="0.2">
      <c r="A893" s="2">
        <v>12049</v>
      </c>
      <c r="B893" s="2">
        <v>9816</v>
      </c>
      <c r="C893" s="2">
        <v>11065</v>
      </c>
      <c r="D893" t="s">
        <v>605</v>
      </c>
      <c r="H893" s="15">
        <v>5.976</v>
      </c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E893" s="15"/>
      <c r="AF893" s="14"/>
      <c r="AG893" s="14">
        <v>5.29</v>
      </c>
      <c r="AH893" s="14"/>
      <c r="AI893" s="14"/>
      <c r="AJ893" s="51"/>
      <c r="AK893" s="19">
        <v>0.30486111111111108</v>
      </c>
    </row>
    <row r="894" spans="1:37" x14ac:dyDescent="0.2">
      <c r="A894" s="2">
        <v>12099</v>
      </c>
      <c r="B894" s="2">
        <v>10295</v>
      </c>
      <c r="C894" s="2">
        <v>11039</v>
      </c>
      <c r="D894" t="s">
        <v>1106</v>
      </c>
      <c r="H894" s="15">
        <v>5.157</v>
      </c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E894" s="15"/>
      <c r="AF894" s="14"/>
      <c r="AG894" s="14">
        <v>5.157</v>
      </c>
      <c r="AH894" s="14"/>
      <c r="AI894" s="14"/>
      <c r="AJ894" s="51"/>
      <c r="AK894" s="19">
        <v>0.10833333333333334</v>
      </c>
    </row>
    <row r="895" spans="1:37" x14ac:dyDescent="0.2">
      <c r="A895" s="2">
        <v>12473</v>
      </c>
      <c r="B895" s="2">
        <v>10674</v>
      </c>
      <c r="C895" s="2">
        <v>63519</v>
      </c>
      <c r="D895" t="s">
        <v>1078</v>
      </c>
      <c r="H895" s="15">
        <v>0.980263</v>
      </c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E895" s="15"/>
      <c r="AF895" s="14"/>
      <c r="AG895" s="14">
        <v>0.980263</v>
      </c>
      <c r="AH895" s="14"/>
      <c r="AI895" s="14"/>
      <c r="AJ895" s="51"/>
      <c r="AK895" s="19">
        <v>9.5833333333333326E-2</v>
      </c>
    </row>
    <row r="896" spans="1:37" x14ac:dyDescent="0.2">
      <c r="A896" s="2">
        <v>12579</v>
      </c>
      <c r="B896" s="2">
        <v>10700</v>
      </c>
      <c r="C896" s="2">
        <v>9719</v>
      </c>
      <c r="D896" t="s">
        <v>1132</v>
      </c>
      <c r="H896" s="15">
        <v>4.9779999999999998</v>
      </c>
      <c r="K896" s="15"/>
      <c r="N896" s="1">
        <f>AE896/AG896-1</f>
        <v>-0.33969465648854957</v>
      </c>
      <c r="AE896" s="1">
        <v>3.2869999999999999</v>
      </c>
      <c r="AF896" s="14"/>
      <c r="AG896" s="14">
        <v>4.9779999999999998</v>
      </c>
      <c r="AH896" s="14"/>
      <c r="AI896" s="14"/>
      <c r="AJ896" s="51"/>
      <c r="AK896" s="19">
        <v>0.17222222222222225</v>
      </c>
    </row>
    <row r="897" spans="1:45" x14ac:dyDescent="0.2">
      <c r="A897" s="2">
        <v>12657</v>
      </c>
      <c r="B897" s="2">
        <v>10904</v>
      </c>
      <c r="C897" s="2">
        <v>26060</v>
      </c>
      <c r="D897" t="s">
        <v>1123</v>
      </c>
      <c r="H897" s="15">
        <v>2.524</v>
      </c>
      <c r="K897" s="15"/>
      <c r="AF897" s="14"/>
      <c r="AG897" s="14">
        <v>2.524</v>
      </c>
      <c r="AH897" s="14"/>
      <c r="AI897" s="14"/>
      <c r="AJ897" s="51"/>
      <c r="AK897" s="22">
        <v>8.5416666666666655E-2</v>
      </c>
    </row>
    <row r="898" spans="1:45" x14ac:dyDescent="0.2">
      <c r="A898" s="2">
        <v>12766</v>
      </c>
      <c r="B898" s="2">
        <v>10990</v>
      </c>
      <c r="C898" s="2">
        <v>11058</v>
      </c>
      <c r="D898" t="s">
        <v>1195</v>
      </c>
      <c r="H898" s="15">
        <v>7.9269999999999996</v>
      </c>
      <c r="K898" s="15"/>
      <c r="AF898" s="14"/>
      <c r="AG898" s="14">
        <v>7.9269999999999996</v>
      </c>
      <c r="AH898" s="14"/>
      <c r="AI898" s="14"/>
      <c r="AJ898" s="51"/>
      <c r="AK898" s="22">
        <v>0.11319444444444444</v>
      </c>
    </row>
    <row r="899" spans="1:45" x14ac:dyDescent="0.2">
      <c r="A899" s="2">
        <v>12774</v>
      </c>
      <c r="B899" s="2">
        <v>11096</v>
      </c>
      <c r="C899" s="2">
        <v>64372</v>
      </c>
      <c r="D899" t="s">
        <v>1059</v>
      </c>
      <c r="H899" s="15">
        <v>0.67284100000000002</v>
      </c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E899" s="15"/>
      <c r="AF899" s="14"/>
      <c r="AG899" s="14">
        <v>0.67284100000000002</v>
      </c>
      <c r="AH899" s="14"/>
      <c r="AI899" s="14"/>
      <c r="AJ899" s="51"/>
      <c r="AK899" s="19">
        <v>0.20138888888888887</v>
      </c>
    </row>
    <row r="900" spans="1:45" x14ac:dyDescent="0.2">
      <c r="A900" s="2">
        <v>12812</v>
      </c>
      <c r="B900" s="2">
        <v>11325</v>
      </c>
      <c r="C900" s="2">
        <v>10412</v>
      </c>
      <c r="D900" t="s">
        <v>904</v>
      </c>
      <c r="H900" s="15">
        <v>7.125</v>
      </c>
      <c r="K900" s="15"/>
      <c r="AF900" s="14"/>
      <c r="AG900" s="14">
        <v>7.125</v>
      </c>
      <c r="AH900" s="14"/>
      <c r="AI900" s="14"/>
      <c r="AJ900" s="51"/>
      <c r="AK900" s="19">
        <v>0.1125</v>
      </c>
    </row>
    <row r="901" spans="1:45" x14ac:dyDescent="0.2">
      <c r="A901" s="2">
        <v>12841</v>
      </c>
      <c r="B901" s="2">
        <v>11700</v>
      </c>
      <c r="C901" s="2">
        <v>20256</v>
      </c>
      <c r="D901" t="s">
        <v>641</v>
      </c>
      <c r="H901" s="15">
        <v>5.694</v>
      </c>
      <c r="K901" s="15"/>
      <c r="AF901" s="14"/>
      <c r="AG901" s="14">
        <v>3.956</v>
      </c>
      <c r="AH901" s="14"/>
      <c r="AI901" s="14"/>
      <c r="AJ901" s="51"/>
      <c r="AK901" s="19">
        <v>8.0555555555555561E-2</v>
      </c>
    </row>
    <row r="902" spans="1:45" x14ac:dyDescent="0.2">
      <c r="A902" s="2">
        <v>12847</v>
      </c>
      <c r="B902" s="2">
        <v>11772</v>
      </c>
      <c r="C902" s="2">
        <v>8078</v>
      </c>
      <c r="D902" t="s">
        <v>830</v>
      </c>
      <c r="H902" s="15">
        <v>5.6790000000000003</v>
      </c>
      <c r="K902" s="15"/>
      <c r="N902" s="1">
        <f>AE902/AG902-1</f>
        <v>0.10829371368198615</v>
      </c>
      <c r="AD902" s="4"/>
      <c r="AE902" s="1">
        <v>6.2939999999999996</v>
      </c>
      <c r="AF902" s="14"/>
      <c r="AG902" s="14">
        <v>5.6790000000000003</v>
      </c>
      <c r="AH902" s="14"/>
      <c r="AI902" s="14"/>
      <c r="AJ902" s="51"/>
      <c r="AK902" s="19">
        <v>0.16666666666666666</v>
      </c>
    </row>
    <row r="903" spans="1:45" x14ac:dyDescent="0.2">
      <c r="A903" s="2">
        <v>13113</v>
      </c>
      <c r="B903" s="2">
        <v>11817</v>
      </c>
      <c r="C903" s="2">
        <v>31790</v>
      </c>
      <c r="D903" t="s">
        <v>1001</v>
      </c>
      <c r="H903" s="15">
        <v>1.8819999999999999</v>
      </c>
      <c r="J903" s="15"/>
      <c r="K903" s="15"/>
      <c r="AF903" s="14"/>
      <c r="AG903" s="14">
        <v>1.8819999999999999</v>
      </c>
      <c r="AH903" s="14"/>
      <c r="AI903" s="14"/>
      <c r="AJ903" s="51"/>
      <c r="AK903" s="23">
        <v>6.458333333333334E-2</v>
      </c>
    </row>
    <row r="904" spans="1:45" s="3" customFormat="1" x14ac:dyDescent="0.2">
      <c r="A904" s="4">
        <v>13139</v>
      </c>
      <c r="B904" s="2">
        <v>11140</v>
      </c>
      <c r="C904" s="4">
        <v>20953</v>
      </c>
      <c r="D904" s="3" t="s">
        <v>1023</v>
      </c>
      <c r="G904" s="4"/>
      <c r="H904" s="16">
        <v>3.5779999999999998</v>
      </c>
      <c r="I904" s="16"/>
      <c r="J904" s="16"/>
      <c r="K904" s="16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2"/>
      <c r="AE904" s="9"/>
      <c r="AF904" s="46"/>
      <c r="AG904" s="46">
        <v>3.5779999999999998</v>
      </c>
      <c r="AH904" s="46"/>
      <c r="AI904" s="46"/>
      <c r="AJ904" s="52"/>
      <c r="AK904" s="23">
        <v>8.5416666666666655E-2</v>
      </c>
      <c r="AQ904"/>
      <c r="AR904"/>
      <c r="AS904"/>
    </row>
    <row r="905" spans="1:45" x14ac:dyDescent="0.2">
      <c r="A905" s="2">
        <v>13198</v>
      </c>
      <c r="B905" s="2">
        <v>11657</v>
      </c>
      <c r="C905" s="2">
        <v>37641</v>
      </c>
      <c r="D905" t="s">
        <v>582</v>
      </c>
      <c r="H905" s="15">
        <v>1.506</v>
      </c>
      <c r="K905" s="15"/>
      <c r="AF905" s="14"/>
      <c r="AG905" s="14">
        <v>1.5669999999999999</v>
      </c>
      <c r="AH905" s="14"/>
      <c r="AI905" s="14"/>
      <c r="AJ905" s="51"/>
      <c r="AK905" s="19">
        <v>0.15208333333333332</v>
      </c>
      <c r="AQ905" s="3"/>
      <c r="AR905" s="3"/>
      <c r="AS905" s="3"/>
    </row>
    <row r="906" spans="1:45" x14ac:dyDescent="0.2">
      <c r="A906" s="2">
        <v>13684</v>
      </c>
      <c r="B906" s="2">
        <v>12099</v>
      </c>
      <c r="C906" s="2">
        <v>70506</v>
      </c>
      <c r="D906" t="s">
        <v>614</v>
      </c>
      <c r="H906" s="15">
        <v>0.91088999999999998</v>
      </c>
      <c r="K906" s="15"/>
      <c r="AF906" s="14"/>
      <c r="AG906" s="14">
        <v>0.85121400000000003</v>
      </c>
      <c r="AH906" s="14"/>
      <c r="AI906" s="14"/>
      <c r="AJ906" s="51"/>
      <c r="AK906" s="19">
        <v>5.6944444444444443E-2</v>
      </c>
    </row>
    <row r="907" spans="1:45" x14ac:dyDescent="0.2">
      <c r="A907" s="2">
        <v>13982</v>
      </c>
      <c r="B907" s="2">
        <v>12473</v>
      </c>
      <c r="C907" s="2">
        <v>42731</v>
      </c>
      <c r="D907" t="s">
        <v>882</v>
      </c>
      <c r="H907" s="15">
        <v>1.8180000000000001</v>
      </c>
      <c r="K907" s="15"/>
      <c r="AF907" s="14"/>
      <c r="AG907" s="14">
        <v>1.8180000000000001</v>
      </c>
      <c r="AH907" s="14"/>
      <c r="AI907" s="14"/>
      <c r="AJ907" s="51"/>
      <c r="AK907" s="19">
        <v>3.4722222222222224E-2</v>
      </c>
    </row>
    <row r="908" spans="1:45" x14ac:dyDescent="0.2">
      <c r="A908" s="2">
        <v>14138</v>
      </c>
      <c r="B908" s="2">
        <v>12579</v>
      </c>
      <c r="C908" s="2">
        <v>21731</v>
      </c>
      <c r="D908" t="s">
        <v>1162</v>
      </c>
      <c r="H908" s="15">
        <v>3.4180000000000001</v>
      </c>
      <c r="K908" s="15"/>
      <c r="AF908" s="14"/>
      <c r="AG908" s="14">
        <v>3.4180000000000001</v>
      </c>
      <c r="AH908" s="14"/>
      <c r="AI908" s="14"/>
      <c r="AJ908" s="51"/>
      <c r="AK908" s="19">
        <v>9.2361111111111116E-2</v>
      </c>
    </row>
    <row r="909" spans="1:45" x14ac:dyDescent="0.2">
      <c r="A909" s="2">
        <v>14198</v>
      </c>
      <c r="B909" s="2">
        <v>12657</v>
      </c>
      <c r="C909" s="2">
        <v>79439</v>
      </c>
      <c r="D909" t="s">
        <v>1047</v>
      </c>
      <c r="H909" s="15">
        <v>0.71810799999999997</v>
      </c>
      <c r="K909" s="15"/>
      <c r="AF909" s="14"/>
      <c r="AG909" s="14">
        <v>0.71810799999999997</v>
      </c>
      <c r="AH909" s="14"/>
      <c r="AI909" s="14"/>
      <c r="AJ909" s="51"/>
      <c r="AK909" s="19">
        <v>9.8611111111111108E-2</v>
      </c>
    </row>
    <row r="910" spans="1:45" x14ac:dyDescent="0.2">
      <c r="A910" s="2">
        <v>14201</v>
      </c>
      <c r="B910" s="2">
        <v>12766</v>
      </c>
      <c r="C910" s="2">
        <v>29468</v>
      </c>
      <c r="D910" t="s">
        <v>873</v>
      </c>
      <c r="H910" s="15">
        <v>2.0150000000000001</v>
      </c>
      <c r="K910" s="15"/>
      <c r="AD910" s="4"/>
      <c r="AF910" s="14"/>
      <c r="AG910" s="14">
        <v>2.0150000000000001</v>
      </c>
      <c r="AH910" s="14"/>
      <c r="AI910" s="14"/>
      <c r="AJ910" s="51"/>
      <c r="AK910" s="19">
        <v>0.22638888888888889</v>
      </c>
    </row>
    <row r="911" spans="1:45" x14ac:dyDescent="0.2">
      <c r="A911" s="2">
        <v>14530</v>
      </c>
      <c r="B911" s="2">
        <v>12774</v>
      </c>
      <c r="C911" s="2">
        <v>63885</v>
      </c>
      <c r="D911" t="s">
        <v>1080</v>
      </c>
      <c r="H911" s="15">
        <v>1.224</v>
      </c>
      <c r="K911" s="15"/>
      <c r="AF911" s="14"/>
      <c r="AG911" s="14">
        <v>1.224</v>
      </c>
      <c r="AH911" s="14"/>
      <c r="AI911" s="14"/>
      <c r="AJ911" s="51"/>
      <c r="AK911" s="19">
        <v>3.6111111111111115E-2</v>
      </c>
    </row>
    <row r="912" spans="1:45" x14ac:dyDescent="0.2">
      <c r="A912" s="4">
        <v>14907</v>
      </c>
      <c r="B912" s="2">
        <v>12812</v>
      </c>
      <c r="C912" s="4">
        <v>21829</v>
      </c>
      <c r="D912" s="3" t="s">
        <v>1174</v>
      </c>
      <c r="G912" s="4"/>
      <c r="H912" s="16">
        <v>3.41</v>
      </c>
      <c r="I912" s="16"/>
      <c r="K912" s="16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E912" s="9"/>
      <c r="AF912" s="46"/>
      <c r="AG912" s="46">
        <v>3.41</v>
      </c>
      <c r="AH912" s="46"/>
      <c r="AI912" s="46"/>
      <c r="AJ912" s="52"/>
      <c r="AK912" s="19">
        <v>8.1250000000000003E-2</v>
      </c>
    </row>
    <row r="913" spans="1:37" x14ac:dyDescent="0.2">
      <c r="A913" s="2">
        <v>14939</v>
      </c>
      <c r="B913" s="2">
        <v>9655</v>
      </c>
      <c r="C913" s="2">
        <v>40041</v>
      </c>
      <c r="D913" t="s">
        <v>635</v>
      </c>
      <c r="H913" s="15">
        <v>2.0870000000000002</v>
      </c>
      <c r="K913" s="15"/>
      <c r="AF913" s="14"/>
      <c r="AG913" s="14">
        <v>1.7450000000000001</v>
      </c>
      <c r="AH913" s="14"/>
      <c r="AI913" s="14"/>
      <c r="AJ913" s="51"/>
      <c r="AK913" s="19">
        <v>4.7222222222222221E-2</v>
      </c>
    </row>
    <row r="914" spans="1:37" x14ac:dyDescent="0.2">
      <c r="A914" s="2">
        <v>15187</v>
      </c>
      <c r="B914" s="2">
        <v>12847</v>
      </c>
      <c r="C914" s="2">
        <v>12075</v>
      </c>
      <c r="D914" t="s">
        <v>1178</v>
      </c>
      <c r="H914" s="15">
        <v>4.9370000000000003</v>
      </c>
      <c r="J914" s="15"/>
      <c r="K914" s="15"/>
      <c r="AF914" s="14"/>
      <c r="AG914" s="14">
        <v>4.9370000000000003</v>
      </c>
      <c r="AH914" s="14"/>
      <c r="AI914" s="14"/>
      <c r="AJ914" s="51"/>
      <c r="AK914" s="19">
        <v>0.12222222222222223</v>
      </c>
    </row>
    <row r="915" spans="1:37" x14ac:dyDescent="0.2">
      <c r="A915" s="2">
        <v>15239</v>
      </c>
      <c r="B915" s="2">
        <v>13113</v>
      </c>
      <c r="C915" s="2">
        <v>25278</v>
      </c>
      <c r="D915" t="s">
        <v>606</v>
      </c>
      <c r="H915" s="15">
        <v>1.871</v>
      </c>
      <c r="K915" s="15"/>
      <c r="AF915" s="14"/>
      <c r="AG915" s="14">
        <v>2.0150000000000001</v>
      </c>
      <c r="AH915" s="14"/>
      <c r="AI915" s="14"/>
      <c r="AJ915" s="51"/>
      <c r="AK915" s="19">
        <v>0.28958333333333336</v>
      </c>
    </row>
    <row r="916" spans="1:37" x14ac:dyDescent="0.2">
      <c r="A916" s="2">
        <v>15288</v>
      </c>
      <c r="B916" s="4">
        <v>13139</v>
      </c>
      <c r="C916" s="2">
        <v>20138</v>
      </c>
      <c r="D916" t="s">
        <v>936</v>
      </c>
      <c r="H916" s="15">
        <v>3.7130000000000001</v>
      </c>
      <c r="K916" s="15"/>
      <c r="AF916" s="14"/>
      <c r="AG916" s="14">
        <v>3.7130000000000001</v>
      </c>
      <c r="AH916" s="14"/>
      <c r="AI916" s="14"/>
      <c r="AJ916" s="51"/>
      <c r="AK916" s="19">
        <v>0.12569444444444444</v>
      </c>
    </row>
    <row r="917" spans="1:37" x14ac:dyDescent="0.2">
      <c r="A917" s="2">
        <v>15361</v>
      </c>
      <c r="B917" s="2">
        <v>14684</v>
      </c>
      <c r="C917" s="2">
        <v>11953</v>
      </c>
      <c r="D917" t="s">
        <v>1018</v>
      </c>
      <c r="H917" s="15">
        <v>4.7859999999999996</v>
      </c>
      <c r="K917" s="15"/>
      <c r="AF917" s="14"/>
      <c r="AG917" s="14">
        <v>4.7859999999999996</v>
      </c>
      <c r="AH917" s="14"/>
      <c r="AI917" s="14"/>
      <c r="AJ917" s="51"/>
      <c r="AK917" s="19">
        <v>0.10208333333333335</v>
      </c>
    </row>
    <row r="918" spans="1:37" x14ac:dyDescent="0.2">
      <c r="A918" s="2">
        <v>15371</v>
      </c>
      <c r="B918" s="2">
        <v>15418</v>
      </c>
      <c r="C918" s="2">
        <v>17066</v>
      </c>
      <c r="D918" t="s">
        <v>1066</v>
      </c>
      <c r="H918" s="15">
        <v>3.165</v>
      </c>
      <c r="K918" s="15"/>
      <c r="AF918" s="14"/>
      <c r="AG918" s="14">
        <v>3.165</v>
      </c>
      <c r="AH918" s="14"/>
      <c r="AI918" s="14"/>
      <c r="AJ918" s="51"/>
      <c r="AK918" s="19">
        <v>0.1173611111111111</v>
      </c>
    </row>
    <row r="919" spans="1:37" x14ac:dyDescent="0.2">
      <c r="A919" s="2">
        <v>15418</v>
      </c>
      <c r="B919" s="2">
        <v>13982</v>
      </c>
      <c r="C919" s="2">
        <v>17250</v>
      </c>
      <c r="D919" t="s">
        <v>1114</v>
      </c>
      <c r="H919" s="15">
        <v>3.47</v>
      </c>
      <c r="K919" s="15"/>
      <c r="AF919" s="14"/>
      <c r="AG919" s="14">
        <v>3.47</v>
      </c>
      <c r="AH919" s="14"/>
      <c r="AI919" s="14"/>
      <c r="AJ919" s="51"/>
      <c r="AK919" s="22">
        <v>6.1111111111111116E-2</v>
      </c>
    </row>
    <row r="920" spans="1:37" x14ac:dyDescent="0.2">
      <c r="A920" s="2">
        <v>15745</v>
      </c>
      <c r="B920" s="2">
        <v>14138</v>
      </c>
      <c r="C920" s="2">
        <v>27362</v>
      </c>
      <c r="D920" t="s">
        <v>1150</v>
      </c>
      <c r="H920" s="15">
        <v>2.831</v>
      </c>
      <c r="K920" s="15"/>
      <c r="AF920" s="14"/>
      <c r="AG920" s="14">
        <v>2.831</v>
      </c>
      <c r="AH920" s="14"/>
      <c r="AI920" s="14"/>
      <c r="AJ920" s="51"/>
      <c r="AK920" s="19">
        <v>7.1527777777777787E-2</v>
      </c>
    </row>
    <row r="921" spans="1:37" x14ac:dyDescent="0.2">
      <c r="A921" s="2">
        <v>15849</v>
      </c>
      <c r="B921" s="2">
        <v>14198</v>
      </c>
      <c r="C921" s="2">
        <v>26671</v>
      </c>
      <c r="D921" t="s">
        <v>1083</v>
      </c>
      <c r="H921" s="15">
        <v>2.2999999999999998</v>
      </c>
      <c r="K921" s="15"/>
      <c r="AD921" s="4"/>
      <c r="AF921" s="14"/>
      <c r="AG921" s="14">
        <v>2.2999999999999998</v>
      </c>
      <c r="AH921" s="14"/>
      <c r="AI921" s="14"/>
      <c r="AJ921" s="51"/>
      <c r="AK921" s="19">
        <v>0.18194444444444444</v>
      </c>
    </row>
    <row r="922" spans="1:37" x14ac:dyDescent="0.2">
      <c r="A922" s="2">
        <v>16208</v>
      </c>
      <c r="B922" s="2">
        <v>14201</v>
      </c>
      <c r="C922" s="2">
        <v>4400</v>
      </c>
      <c r="D922" t="s">
        <v>1101</v>
      </c>
      <c r="H922" s="15">
        <v>11.2</v>
      </c>
      <c r="K922" s="15"/>
      <c r="AF922" s="14"/>
      <c r="AG922" s="14">
        <v>11.2</v>
      </c>
      <c r="AH922" s="14"/>
      <c r="AI922" s="14"/>
      <c r="AJ922" s="51"/>
      <c r="AK922" s="19">
        <v>0.22569444444444445</v>
      </c>
    </row>
    <row r="923" spans="1:37" x14ac:dyDescent="0.2">
      <c r="A923" s="2">
        <v>16543</v>
      </c>
      <c r="B923" s="2">
        <v>14530</v>
      </c>
      <c r="C923" s="2">
        <v>18573</v>
      </c>
      <c r="D923" t="s">
        <v>794</v>
      </c>
      <c r="H923" s="15">
        <v>3.4249999999999998</v>
      </c>
      <c r="K923" s="1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E923" s="1">
        <v>3.7559999999999998</v>
      </c>
      <c r="AF923" s="14"/>
      <c r="AG923" s="14">
        <v>3.4249999999999998</v>
      </c>
      <c r="AH923" s="14"/>
      <c r="AI923" s="14"/>
      <c r="AJ923" s="51"/>
      <c r="AK923" s="19">
        <v>0.1173611111111111</v>
      </c>
    </row>
    <row r="924" spans="1:37" x14ac:dyDescent="0.2">
      <c r="A924" s="2">
        <v>17112</v>
      </c>
      <c r="B924" s="4">
        <v>14907</v>
      </c>
      <c r="C924" s="2">
        <v>79637</v>
      </c>
      <c r="D924" t="s">
        <v>1145</v>
      </c>
      <c r="H924" s="15">
        <v>0.89338300000000004</v>
      </c>
      <c r="K924" s="15"/>
      <c r="AF924" s="14"/>
      <c r="AG924" s="14">
        <v>0.89338300000000004</v>
      </c>
      <c r="AH924" s="14"/>
      <c r="AI924" s="14"/>
      <c r="AJ924" s="51"/>
      <c r="AK924" s="19">
        <v>6.7361111111111108E-2</v>
      </c>
    </row>
    <row r="925" spans="1:37" x14ac:dyDescent="0.2">
      <c r="A925" s="2">
        <v>17197</v>
      </c>
      <c r="B925" s="2">
        <v>14219</v>
      </c>
      <c r="C925" s="2">
        <v>26621</v>
      </c>
      <c r="D925" t="s">
        <v>590</v>
      </c>
      <c r="H925" s="15">
        <v>1.9430000000000001</v>
      </c>
      <c r="K925" s="15"/>
      <c r="AF925" s="14"/>
      <c r="AG925" s="14">
        <v>1.905</v>
      </c>
      <c r="AH925" s="14"/>
      <c r="AI925" s="14"/>
      <c r="AJ925" s="51"/>
      <c r="AK925" s="19">
        <v>0.18541666666666667</v>
      </c>
    </row>
    <row r="926" spans="1:37" x14ac:dyDescent="0.2">
      <c r="A926" s="2">
        <v>17228</v>
      </c>
      <c r="B926" s="2">
        <v>15187</v>
      </c>
      <c r="C926" s="2">
        <v>35100</v>
      </c>
      <c r="D926" t="s">
        <v>1164</v>
      </c>
      <c r="H926" s="15">
        <v>2.1269999999999998</v>
      </c>
      <c r="K926" s="15"/>
      <c r="AF926" s="14"/>
      <c r="AG926" s="14">
        <v>2.1269999999999998</v>
      </c>
      <c r="AH926" s="14"/>
      <c r="AI926" s="14"/>
      <c r="AJ926" s="51"/>
      <c r="AK926" s="19">
        <v>8.3333333333333329E-2</v>
      </c>
    </row>
    <row r="927" spans="1:37" x14ac:dyDescent="0.2">
      <c r="A927" s="2">
        <v>17442</v>
      </c>
      <c r="B927" s="2">
        <v>15739</v>
      </c>
      <c r="C927" s="2">
        <v>3366</v>
      </c>
      <c r="D927" t="s">
        <v>1177</v>
      </c>
      <c r="H927" s="2">
        <v>14.31</v>
      </c>
      <c r="AF927" s="14"/>
      <c r="AG927" s="14">
        <v>14.31</v>
      </c>
      <c r="AH927" s="14"/>
      <c r="AI927" s="14"/>
      <c r="AJ927" s="51"/>
      <c r="AK927" s="19">
        <v>8.9583333333333334E-2</v>
      </c>
    </row>
    <row r="928" spans="1:37" x14ac:dyDescent="0.2">
      <c r="A928" s="2">
        <v>17510</v>
      </c>
      <c r="B928" s="2">
        <v>15288</v>
      </c>
      <c r="C928" s="2">
        <v>48500</v>
      </c>
      <c r="D928" t="s">
        <v>1056</v>
      </c>
      <c r="H928" s="15">
        <v>1.2809999999999999</v>
      </c>
      <c r="K928" s="15"/>
      <c r="AF928" s="14"/>
      <c r="AG928" s="14">
        <v>1.2809999999999999</v>
      </c>
      <c r="AH928" s="14"/>
      <c r="AI928" s="14"/>
      <c r="AJ928" s="51"/>
      <c r="AK928" s="19">
        <v>9.4444444444444442E-2</v>
      </c>
    </row>
    <row r="929" spans="1:37" x14ac:dyDescent="0.2">
      <c r="A929" s="2">
        <v>17525</v>
      </c>
      <c r="B929" s="2">
        <v>15361</v>
      </c>
      <c r="C929" s="2">
        <v>13661</v>
      </c>
      <c r="D929" t="s">
        <v>1191</v>
      </c>
      <c r="H929" s="15">
        <v>3.9020000000000001</v>
      </c>
      <c r="K929" s="15"/>
      <c r="AD929" s="4"/>
      <c r="AF929" s="14"/>
      <c r="AG929" s="14">
        <v>3.9020000000000001</v>
      </c>
      <c r="AH929" s="14"/>
      <c r="AI929" s="14"/>
      <c r="AJ929" s="51"/>
      <c r="AK929" s="22">
        <v>0.29166666666666669</v>
      </c>
    </row>
    <row r="930" spans="1:37" x14ac:dyDescent="0.2">
      <c r="A930" s="2">
        <v>17706</v>
      </c>
      <c r="B930" s="2">
        <v>15371</v>
      </c>
      <c r="C930" s="2">
        <v>8009</v>
      </c>
      <c r="D930" t="s">
        <v>1099</v>
      </c>
      <c r="H930" s="15">
        <v>9.6489999999999991</v>
      </c>
      <c r="K930" s="15"/>
      <c r="AF930" s="14"/>
      <c r="AG930" s="14">
        <v>9.6489999999999991</v>
      </c>
      <c r="AH930" s="14"/>
      <c r="AI930" s="14"/>
      <c r="AJ930" s="51"/>
      <c r="AK930" s="19">
        <v>0.16319444444444445</v>
      </c>
    </row>
    <row r="931" spans="1:37" x14ac:dyDescent="0.2">
      <c r="A931" s="2">
        <v>17944</v>
      </c>
      <c r="B931" s="2">
        <v>15418</v>
      </c>
      <c r="C931" s="2">
        <v>5893</v>
      </c>
      <c r="D931" t="s">
        <v>898</v>
      </c>
      <c r="H931" s="15">
        <v>7.0490000000000004</v>
      </c>
      <c r="K931" s="1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E931" s="1">
        <v>4.444</v>
      </c>
      <c r="AF931" s="14"/>
      <c r="AG931" s="14">
        <v>7.0490000000000004</v>
      </c>
      <c r="AH931" s="14"/>
      <c r="AI931" s="14"/>
      <c r="AJ931" s="51"/>
      <c r="AK931" s="19">
        <v>0.36944444444444446</v>
      </c>
    </row>
    <row r="932" spans="1:37" x14ac:dyDescent="0.2">
      <c r="A932" s="2">
        <v>17953</v>
      </c>
      <c r="B932" s="2">
        <v>15745</v>
      </c>
      <c r="C932" s="2">
        <v>35787</v>
      </c>
      <c r="D932" t="s">
        <v>1137</v>
      </c>
      <c r="H932" s="2">
        <v>1.84</v>
      </c>
      <c r="AD932" s="4"/>
      <c r="AF932" s="14"/>
      <c r="AG932" s="14">
        <v>1.84</v>
      </c>
      <c r="AH932" s="14"/>
      <c r="AI932" s="14"/>
      <c r="AJ932" s="51"/>
      <c r="AK932" s="19">
        <v>5.2777777777777778E-2</v>
      </c>
    </row>
    <row r="933" spans="1:37" x14ac:dyDescent="0.2">
      <c r="A933" s="2">
        <v>18053</v>
      </c>
      <c r="B933" s="2">
        <v>15849</v>
      </c>
      <c r="C933" s="2">
        <v>46525</v>
      </c>
      <c r="D933" t="s">
        <v>993</v>
      </c>
      <c r="H933" s="15">
        <v>1.73</v>
      </c>
      <c r="K933" s="15"/>
      <c r="AF933" s="14"/>
      <c r="AG933" s="14">
        <v>1.73</v>
      </c>
      <c r="AH933" s="14"/>
      <c r="AI933" s="14"/>
      <c r="AJ933" s="51"/>
      <c r="AK933" s="22">
        <v>3.2638888888888891E-2</v>
      </c>
    </row>
    <row r="934" spans="1:37" x14ac:dyDescent="0.2">
      <c r="A934" s="2">
        <v>18064</v>
      </c>
      <c r="B934" s="2">
        <v>16208</v>
      </c>
      <c r="C934" s="2">
        <v>25782</v>
      </c>
      <c r="D934" t="s">
        <v>836</v>
      </c>
      <c r="H934" s="15">
        <v>1.5369999999999999</v>
      </c>
      <c r="K934" s="1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E934" s="1">
        <v>2.1549999999999998</v>
      </c>
      <c r="AF934" s="14"/>
      <c r="AG934" s="14">
        <v>1.5369999999999999</v>
      </c>
      <c r="AH934" s="14"/>
      <c r="AI934" s="14"/>
      <c r="AJ934" s="51"/>
      <c r="AK934" s="19">
        <v>0.31875000000000003</v>
      </c>
    </row>
    <row r="935" spans="1:37" x14ac:dyDescent="0.2">
      <c r="A935" s="2">
        <v>18312</v>
      </c>
      <c r="B935" s="2">
        <v>16543</v>
      </c>
      <c r="C935" s="2">
        <v>50775</v>
      </c>
      <c r="D935" t="s">
        <v>790</v>
      </c>
      <c r="H935" s="15">
        <v>1.0680000000000001</v>
      </c>
      <c r="K935" s="15"/>
      <c r="AF935" s="14"/>
      <c r="AG935" s="14">
        <v>1.0680000000000001</v>
      </c>
      <c r="AH935" s="14"/>
      <c r="AI935" s="14"/>
      <c r="AJ935" s="51"/>
      <c r="AK935" s="19">
        <v>0.16180555555555556</v>
      </c>
    </row>
    <row r="936" spans="1:37" x14ac:dyDescent="0.2">
      <c r="A936" s="2">
        <v>18346</v>
      </c>
      <c r="B936" s="2">
        <v>17112</v>
      </c>
      <c r="C936" s="2">
        <v>71011</v>
      </c>
      <c r="D936" t="s">
        <v>632</v>
      </c>
      <c r="H936" s="15">
        <v>1.2130000000000001</v>
      </c>
      <c r="K936" s="15"/>
      <c r="AF936" s="14"/>
      <c r="AG936" s="14">
        <v>1.02</v>
      </c>
      <c r="AH936" s="14"/>
      <c r="AI936" s="14"/>
      <c r="AJ936" s="51"/>
      <c r="AK936" s="19">
        <v>3.4722222222222224E-2</v>
      </c>
    </row>
    <row r="937" spans="1:37" x14ac:dyDescent="0.2">
      <c r="A937" s="2">
        <v>18479</v>
      </c>
      <c r="B937" s="2">
        <v>20744</v>
      </c>
      <c r="C937" s="2">
        <v>25113</v>
      </c>
      <c r="D937" t="s">
        <v>984</v>
      </c>
      <c r="H937" s="15">
        <v>1.302</v>
      </c>
      <c r="K937" s="15"/>
      <c r="AF937" s="14"/>
      <c r="AG937" s="14">
        <v>1.302</v>
      </c>
      <c r="AH937" s="14"/>
      <c r="AI937" s="14"/>
      <c r="AJ937" s="51"/>
      <c r="AK937" s="22">
        <v>0.30486111111111108</v>
      </c>
    </row>
    <row r="938" spans="1:37" x14ac:dyDescent="0.2">
      <c r="A938" s="2">
        <v>18792</v>
      </c>
      <c r="B938" s="2">
        <v>17228</v>
      </c>
      <c r="C938" s="2">
        <v>18921</v>
      </c>
      <c r="D938" t="s">
        <v>971</v>
      </c>
      <c r="H938" s="15">
        <v>4.8689999999999998</v>
      </c>
      <c r="K938" s="15"/>
      <c r="AF938" s="14"/>
      <c r="AG938" s="14">
        <v>4.8689999999999998</v>
      </c>
      <c r="AH938" s="14"/>
      <c r="AI938" s="14"/>
      <c r="AJ938" s="51"/>
      <c r="AK938" s="22">
        <v>7.5694444444444439E-2</v>
      </c>
    </row>
    <row r="939" spans="1:37" x14ac:dyDescent="0.2">
      <c r="A939" s="2">
        <v>18873</v>
      </c>
      <c r="B939" s="2">
        <v>17442</v>
      </c>
      <c r="C939" s="2">
        <v>27066</v>
      </c>
      <c r="D939" t="s">
        <v>869</v>
      </c>
      <c r="H939" s="15">
        <v>1.9610000000000001</v>
      </c>
      <c r="K939" s="15"/>
      <c r="AF939" s="14"/>
      <c r="AG939" s="14">
        <v>1.9610000000000001</v>
      </c>
      <c r="AH939" s="14"/>
      <c r="AI939" s="14"/>
      <c r="AJ939" s="51"/>
      <c r="AK939" s="19">
        <v>0.1013888888888889</v>
      </c>
    </row>
    <row r="940" spans="1:37" x14ac:dyDescent="0.2">
      <c r="A940" s="2">
        <v>18930</v>
      </c>
      <c r="B940" s="2">
        <v>17510</v>
      </c>
      <c r="C940" s="2">
        <v>78052</v>
      </c>
      <c r="D940" t="s">
        <v>828</v>
      </c>
      <c r="H940" s="15">
        <v>0.46637099999999998</v>
      </c>
      <c r="K940" s="15"/>
      <c r="AF940" s="14"/>
      <c r="AG940" s="14">
        <v>0.46637099999999998</v>
      </c>
      <c r="AH940" s="14"/>
      <c r="AI940" s="14"/>
      <c r="AJ940" s="51"/>
      <c r="AK940" s="19">
        <v>0.54583333333333328</v>
      </c>
    </row>
    <row r="941" spans="1:37" x14ac:dyDescent="0.2">
      <c r="A941" s="2">
        <v>19800</v>
      </c>
      <c r="B941" s="2">
        <v>17525</v>
      </c>
      <c r="C941" s="2">
        <v>94773</v>
      </c>
      <c r="D941" t="s">
        <v>1079</v>
      </c>
      <c r="H941" s="15">
        <v>0.80048799999999998</v>
      </c>
      <c r="K941" s="15"/>
      <c r="AF941" s="14"/>
      <c r="AG941" s="14">
        <v>0.80048799999999998</v>
      </c>
      <c r="AH941" s="14"/>
      <c r="AI941" s="14"/>
      <c r="AJ941" s="51"/>
      <c r="AK941" s="19">
        <v>3.0555555555555555E-2</v>
      </c>
    </row>
    <row r="942" spans="1:37" x14ac:dyDescent="0.2">
      <c r="A942" s="2">
        <v>20062</v>
      </c>
      <c r="B942" s="2">
        <v>17706</v>
      </c>
      <c r="C942" s="2">
        <v>14069</v>
      </c>
      <c r="D942" t="s">
        <v>987</v>
      </c>
      <c r="H942" s="2">
        <v>4.4260000000000002</v>
      </c>
      <c r="AF942" s="14"/>
      <c r="AG942" s="14">
        <v>4.4260000000000002</v>
      </c>
      <c r="AH942" s="14"/>
      <c r="AI942" s="14"/>
      <c r="AJ942" s="51"/>
      <c r="AK942" s="19">
        <v>0.24305555555555555</v>
      </c>
    </row>
    <row r="943" spans="1:37" x14ac:dyDescent="0.2">
      <c r="A943" s="2">
        <v>20211</v>
      </c>
      <c r="B943" s="2">
        <v>17944</v>
      </c>
      <c r="C943" s="2">
        <v>19626</v>
      </c>
      <c r="D943" t="s">
        <v>1030</v>
      </c>
      <c r="H943" s="15">
        <v>2.5649999999999999</v>
      </c>
      <c r="K943" s="15"/>
      <c r="AF943" s="14"/>
      <c r="AG943" s="14">
        <v>2.5649999999999999</v>
      </c>
      <c r="AH943" s="14"/>
      <c r="AI943" s="14"/>
      <c r="AJ943" s="51"/>
      <c r="AK943" s="19">
        <v>0.12361111111111112</v>
      </c>
    </row>
    <row r="944" spans="1:37" x14ac:dyDescent="0.2">
      <c r="A944" s="2">
        <v>20271</v>
      </c>
      <c r="B944" s="2">
        <v>17953</v>
      </c>
      <c r="C944" s="2">
        <v>2052</v>
      </c>
      <c r="D944" t="s">
        <v>670</v>
      </c>
      <c r="H944" s="15">
        <v>30.34</v>
      </c>
      <c r="K944" s="15"/>
      <c r="AF944" s="14"/>
      <c r="AG944" s="14">
        <v>30.34</v>
      </c>
      <c r="AH944" s="14"/>
      <c r="AI944" s="14"/>
      <c r="AJ944" s="51"/>
      <c r="AK944" s="19">
        <v>0.17708333333333334</v>
      </c>
    </row>
    <row r="945" spans="1:37" x14ac:dyDescent="0.2">
      <c r="A945" s="2">
        <v>20397</v>
      </c>
      <c r="B945" s="2">
        <v>18053</v>
      </c>
      <c r="C945" s="2">
        <v>71452</v>
      </c>
      <c r="D945" t="s">
        <v>1076</v>
      </c>
      <c r="H945" s="15">
        <v>0.74738400000000005</v>
      </c>
      <c r="K945" s="15"/>
      <c r="AF945" s="14"/>
      <c r="AG945" s="14">
        <v>0.74738400000000005</v>
      </c>
      <c r="AH945" s="14"/>
      <c r="AI945" s="14"/>
      <c r="AJ945" s="51"/>
      <c r="AK945" s="22">
        <v>0.12986111111111112</v>
      </c>
    </row>
    <row r="946" spans="1:37" x14ac:dyDescent="0.2">
      <c r="A946" s="2">
        <v>20901</v>
      </c>
      <c r="B946" s="2">
        <v>18064</v>
      </c>
      <c r="C946" s="2">
        <v>15616</v>
      </c>
      <c r="D946" t="s">
        <v>948</v>
      </c>
      <c r="E946" t="s">
        <v>6</v>
      </c>
      <c r="G946" s="2">
        <v>50</v>
      </c>
      <c r="H946" s="15">
        <v>2.7959999999999998</v>
      </c>
      <c r="K946" s="15"/>
      <c r="AE946" s="1">
        <v>2.012</v>
      </c>
      <c r="AF946" s="14"/>
      <c r="AG946" s="14">
        <v>2.7959999999999998</v>
      </c>
      <c r="AH946" s="14"/>
      <c r="AI946" s="14"/>
      <c r="AJ946" s="51"/>
      <c r="AK946" s="19">
        <v>0.20208333333333331</v>
      </c>
    </row>
    <row r="947" spans="1:37" x14ac:dyDescent="0.2">
      <c r="A947" s="2">
        <v>21251</v>
      </c>
      <c r="B947" s="2">
        <v>18312</v>
      </c>
      <c r="C947" s="2">
        <v>69212</v>
      </c>
      <c r="D947" t="s">
        <v>1009</v>
      </c>
      <c r="H947" s="15">
        <v>0.64367399999999997</v>
      </c>
      <c r="K947" s="15"/>
      <c r="AF947" s="14"/>
      <c r="AG947" s="14">
        <v>0.64367399999999997</v>
      </c>
      <c r="AH947" s="14"/>
      <c r="AI947" s="14"/>
      <c r="AJ947" s="51"/>
      <c r="AK947" s="19">
        <v>0.21666666666666667</v>
      </c>
    </row>
    <row r="948" spans="1:37" x14ac:dyDescent="0.2">
      <c r="A948" s="2">
        <v>21998</v>
      </c>
      <c r="B948" s="2">
        <v>17811</v>
      </c>
      <c r="C948" s="2">
        <v>75891</v>
      </c>
      <c r="D948" t="s">
        <v>1142</v>
      </c>
      <c r="H948" s="15">
        <v>1.0049999999999999</v>
      </c>
      <c r="K948" s="15"/>
      <c r="AF948" s="14"/>
      <c r="AG948" s="14">
        <v>1.0049999999999999</v>
      </c>
      <c r="AH948" s="14"/>
      <c r="AI948" s="14"/>
      <c r="AJ948" s="51"/>
      <c r="AK948" s="19">
        <v>3.7499999999999999E-2</v>
      </c>
    </row>
    <row r="949" spans="1:37" x14ac:dyDescent="0.2">
      <c r="A949" s="2">
        <v>22356</v>
      </c>
      <c r="B949" s="2">
        <v>18479</v>
      </c>
      <c r="C949" s="2">
        <v>60220</v>
      </c>
      <c r="D949" t="s">
        <v>615</v>
      </c>
      <c r="H949" s="15">
        <v>0.76245099999999999</v>
      </c>
      <c r="K949" s="15"/>
      <c r="AF949" s="14"/>
      <c r="AG949" s="14">
        <v>0.83454300000000003</v>
      </c>
      <c r="AH949" s="14"/>
      <c r="AI949" s="14"/>
      <c r="AJ949" s="51"/>
      <c r="AK949" s="19">
        <v>0.17916666666666667</v>
      </c>
    </row>
    <row r="950" spans="1:37" x14ac:dyDescent="0.2">
      <c r="A950" s="2">
        <v>22376</v>
      </c>
      <c r="B950" s="2">
        <v>18792</v>
      </c>
      <c r="C950" s="2">
        <v>14353</v>
      </c>
      <c r="D950" t="s">
        <v>1125</v>
      </c>
      <c r="H950" s="15">
        <v>3.3420000000000001</v>
      </c>
      <c r="K950" s="15"/>
      <c r="AF950" s="14"/>
      <c r="AG950" s="14">
        <v>3.3420000000000001</v>
      </c>
      <c r="AH950" s="14"/>
      <c r="AI950" s="14"/>
      <c r="AJ950" s="51"/>
      <c r="AK950" s="22">
        <v>0.1423611111111111</v>
      </c>
    </row>
    <row r="951" spans="1:37" x14ac:dyDescent="0.2">
      <c r="A951" s="2">
        <v>22891</v>
      </c>
      <c r="B951" s="2">
        <v>18873</v>
      </c>
      <c r="C951" s="2">
        <v>15316</v>
      </c>
      <c r="D951" t="s">
        <v>851</v>
      </c>
      <c r="H951" s="15">
        <v>3.3330000000000002</v>
      </c>
      <c r="K951" s="15"/>
      <c r="N951" s="1">
        <f>AE951/AG951-1</f>
        <v>-0.20642064206420641</v>
      </c>
      <c r="AE951" s="1">
        <v>2.645</v>
      </c>
      <c r="AF951" s="14"/>
      <c r="AG951" s="14">
        <v>3.3330000000000002</v>
      </c>
      <c r="AH951" s="14"/>
      <c r="AI951" s="14"/>
      <c r="AJ951" s="51"/>
      <c r="AK951" s="19">
        <v>0.1361111111111111</v>
      </c>
    </row>
    <row r="952" spans="1:37" x14ac:dyDescent="0.2">
      <c r="A952" s="2">
        <v>23363</v>
      </c>
      <c r="B952" s="2">
        <v>18930</v>
      </c>
      <c r="C952" s="2">
        <v>72901</v>
      </c>
      <c r="D952" t="s">
        <v>1011</v>
      </c>
      <c r="H952" s="15">
        <v>0.82244600000000001</v>
      </c>
      <c r="K952" s="15"/>
      <c r="AF952" s="14"/>
      <c r="AG952" s="14">
        <v>0.82244600000000001</v>
      </c>
      <c r="AH952" s="14"/>
      <c r="AI952" s="14"/>
      <c r="AJ952" s="51"/>
      <c r="AK952" s="19">
        <v>8.1250000000000003E-2</v>
      </c>
    </row>
    <row r="953" spans="1:37" x14ac:dyDescent="0.2">
      <c r="A953" s="2">
        <v>23812</v>
      </c>
      <c r="B953" s="2">
        <v>19800</v>
      </c>
      <c r="C953" s="2">
        <v>52889</v>
      </c>
      <c r="D953" t="s">
        <v>583</v>
      </c>
      <c r="H953" s="15">
        <v>1.143</v>
      </c>
      <c r="K953" s="15"/>
      <c r="AF953" s="14"/>
      <c r="AG953" s="14">
        <v>0.83321299999999998</v>
      </c>
      <c r="AH953" s="14"/>
      <c r="AI953" s="14"/>
      <c r="AJ953" s="51"/>
      <c r="AK953" s="19">
        <v>0.33749999999999997</v>
      </c>
    </row>
    <row r="954" spans="1:37" x14ac:dyDescent="0.2">
      <c r="A954" s="2">
        <v>24398</v>
      </c>
      <c r="B954" s="2">
        <v>20062</v>
      </c>
      <c r="C954" s="2">
        <v>12636</v>
      </c>
      <c r="D954" t="s">
        <v>1096</v>
      </c>
      <c r="H954" s="15">
        <v>4.9509999999999996</v>
      </c>
      <c r="J954" s="15"/>
      <c r="K954" s="15"/>
      <c r="AF954" s="14"/>
      <c r="AG954" s="14">
        <v>4.9509999999999996</v>
      </c>
      <c r="AH954" s="14"/>
      <c r="AI954" s="14"/>
      <c r="AJ954" s="51"/>
      <c r="AK954" s="19">
        <v>0.17569444444444446</v>
      </c>
    </row>
    <row r="955" spans="1:37" x14ac:dyDescent="0.2">
      <c r="A955" s="2">
        <v>25334</v>
      </c>
      <c r="B955" s="2">
        <v>20211</v>
      </c>
      <c r="C955" s="2">
        <v>45197</v>
      </c>
      <c r="D955" t="s">
        <v>611</v>
      </c>
      <c r="H955" s="15">
        <v>1.218</v>
      </c>
      <c r="K955" s="15"/>
      <c r="AF955" s="14"/>
      <c r="AG955" s="14">
        <v>1.23</v>
      </c>
      <c r="AH955" s="14"/>
      <c r="AI955" s="14"/>
      <c r="AJ955" s="51"/>
      <c r="AK955" s="19">
        <v>0.47638888888888892</v>
      </c>
    </row>
    <row r="956" spans="1:37" x14ac:dyDescent="0.2">
      <c r="A956" s="2">
        <v>25984</v>
      </c>
      <c r="B956" s="2">
        <v>20331</v>
      </c>
      <c r="C956" s="2">
        <v>24090</v>
      </c>
      <c r="D956" t="s">
        <v>808</v>
      </c>
      <c r="H956" s="15">
        <v>2.9129999999999998</v>
      </c>
      <c r="K956" s="15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E956" s="1">
        <v>1.9079999999999999</v>
      </c>
      <c r="AF956" s="14"/>
      <c r="AG956" s="14">
        <v>2.9129999999999998</v>
      </c>
      <c r="AH956" s="14"/>
      <c r="AI956" s="14"/>
      <c r="AJ956" s="51"/>
      <c r="AK956" s="19">
        <v>8.1944444444444445E-2</v>
      </c>
    </row>
    <row r="957" spans="1:37" x14ac:dyDescent="0.2">
      <c r="A957" s="2">
        <v>26083</v>
      </c>
      <c r="B957" s="2">
        <v>20397</v>
      </c>
      <c r="C957" s="2">
        <v>19557</v>
      </c>
      <c r="D957" t="s">
        <v>1116</v>
      </c>
      <c r="H957" s="15">
        <v>3.0289999999999999</v>
      </c>
      <c r="K957" s="15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E957" s="1">
        <v>2.4910000000000001</v>
      </c>
      <c r="AF957" s="14"/>
      <c r="AG957" s="14">
        <v>3.0289999999999999</v>
      </c>
      <c r="AH957" s="14"/>
      <c r="AI957" s="14"/>
      <c r="AJ957" s="51"/>
      <c r="AK957" s="22">
        <v>0.11458333333333333</v>
      </c>
    </row>
    <row r="958" spans="1:37" x14ac:dyDescent="0.2">
      <c r="A958" s="2">
        <v>26211</v>
      </c>
      <c r="B958" s="2">
        <v>20901</v>
      </c>
      <c r="C958" s="2">
        <v>47275</v>
      </c>
      <c r="D958" t="s">
        <v>1212</v>
      </c>
      <c r="H958" s="14">
        <v>1.371</v>
      </c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E958" s="1">
        <v>1.3260000000000001</v>
      </c>
      <c r="AF958" s="14"/>
      <c r="AG958" s="14">
        <v>1.371</v>
      </c>
      <c r="AH958" s="14"/>
      <c r="AI958" s="14"/>
      <c r="AJ958" s="51"/>
      <c r="AK958" s="19">
        <v>0.12361111111111112</v>
      </c>
    </row>
    <row r="959" spans="1:37" x14ac:dyDescent="0.2">
      <c r="A959" s="2">
        <v>26323</v>
      </c>
      <c r="B959" s="2">
        <v>21251</v>
      </c>
      <c r="C959" s="2">
        <v>46851</v>
      </c>
      <c r="D959" t="s">
        <v>995</v>
      </c>
      <c r="H959" s="15">
        <v>0.93803700000000001</v>
      </c>
      <c r="K959" s="15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E959" s="1">
        <v>1.151</v>
      </c>
      <c r="AF959" s="14"/>
      <c r="AG959" s="14">
        <v>0.93803700000000001</v>
      </c>
      <c r="AH959" s="14"/>
      <c r="AI959" s="14"/>
      <c r="AJ959" s="51"/>
      <c r="AK959" s="19">
        <v>0.23333333333333331</v>
      </c>
    </row>
    <row r="960" spans="1:37" x14ac:dyDescent="0.2">
      <c r="A960" s="2">
        <v>26693</v>
      </c>
      <c r="B960" s="2">
        <v>21998</v>
      </c>
      <c r="C960" s="2">
        <v>24558</v>
      </c>
      <c r="D960" t="s">
        <v>1128</v>
      </c>
      <c r="H960" s="15">
        <v>2.6469999999999998</v>
      </c>
      <c r="K960" s="15"/>
      <c r="AF960" s="14"/>
      <c r="AG960" s="14">
        <v>2.6469999999999998</v>
      </c>
      <c r="AH960" s="14"/>
      <c r="AI960" s="14"/>
      <c r="AJ960" s="51"/>
      <c r="AK960" s="22">
        <v>0.15763888888888888</v>
      </c>
    </row>
    <row r="961" spans="1:37" x14ac:dyDescent="0.2">
      <c r="B961" s="2">
        <v>26530</v>
      </c>
      <c r="C961" s="2">
        <v>6841</v>
      </c>
      <c r="D961" t="s">
        <v>1248</v>
      </c>
      <c r="H961" s="15"/>
      <c r="K961" s="15"/>
      <c r="AE961" s="1">
        <v>7.9820000000000002</v>
      </c>
      <c r="AF961" s="14"/>
      <c r="AG961" s="14"/>
      <c r="AH961" s="14"/>
      <c r="AI961" s="14"/>
      <c r="AJ961" s="51"/>
      <c r="AK961" s="22"/>
    </row>
    <row r="962" spans="1:37" x14ac:dyDescent="0.2">
      <c r="A962" s="2">
        <v>26826</v>
      </c>
      <c r="B962" s="2">
        <v>22376</v>
      </c>
      <c r="C962" s="2">
        <v>42719</v>
      </c>
      <c r="D962" t="s">
        <v>827</v>
      </c>
      <c r="H962" s="15">
        <v>1.3540000000000001</v>
      </c>
      <c r="K962" s="15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E962" s="14">
        <v>0.77548799999999996</v>
      </c>
      <c r="AF962" s="14"/>
      <c r="AG962" s="14">
        <v>1.3540000000000001</v>
      </c>
      <c r="AH962" s="14"/>
      <c r="AI962" s="14"/>
      <c r="AJ962" s="51"/>
      <c r="AK962" s="19">
        <v>0.1277777777777778</v>
      </c>
    </row>
    <row r="963" spans="1:37" x14ac:dyDescent="0.2">
      <c r="B963" s="2">
        <v>22891</v>
      </c>
      <c r="D963" t="s">
        <v>1249</v>
      </c>
      <c r="H963" s="15"/>
      <c r="K963" s="15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E963" s="14"/>
      <c r="AF963" s="14"/>
      <c r="AG963" s="14">
        <v>14.21</v>
      </c>
      <c r="AH963" s="14"/>
      <c r="AI963" s="14"/>
      <c r="AJ963" s="51"/>
      <c r="AK963" s="19"/>
    </row>
    <row r="964" spans="1:37" x14ac:dyDescent="0.2">
      <c r="A964" s="2">
        <v>27230</v>
      </c>
      <c r="B964" s="2">
        <v>23363</v>
      </c>
      <c r="C964" s="2">
        <v>22448</v>
      </c>
      <c r="D964" t="s">
        <v>1117</v>
      </c>
      <c r="H964" s="15">
        <v>2.8860000000000001</v>
      </c>
      <c r="K964" s="15"/>
      <c r="AF964" s="14"/>
      <c r="AG964" s="14">
        <v>2.8860000000000001</v>
      </c>
      <c r="AH964" s="14"/>
      <c r="AI964" s="14"/>
      <c r="AJ964" s="51"/>
      <c r="AK964" s="22">
        <v>0.2076388888888889</v>
      </c>
    </row>
    <row r="965" spans="1:37" x14ac:dyDescent="0.2">
      <c r="A965" s="2">
        <v>27488</v>
      </c>
      <c r="B965" s="2">
        <v>21671</v>
      </c>
      <c r="C965" s="2">
        <v>64015</v>
      </c>
      <c r="D965" t="s">
        <v>1039</v>
      </c>
      <c r="H965" s="15">
        <v>0.93698099999999995</v>
      </c>
      <c r="K965" s="15"/>
      <c r="AF965" s="14"/>
      <c r="AG965" s="14">
        <v>0.93698099999999995</v>
      </c>
      <c r="AH965" s="14"/>
      <c r="AI965" s="14"/>
      <c r="AJ965" s="51"/>
      <c r="AK965" s="19">
        <v>6.458333333333334E-2</v>
      </c>
    </row>
    <row r="966" spans="1:37" x14ac:dyDescent="0.2">
      <c r="A966" s="2">
        <v>27798</v>
      </c>
      <c r="B966" s="2">
        <v>24398</v>
      </c>
      <c r="C966" s="2">
        <v>58522</v>
      </c>
      <c r="D966" t="s">
        <v>1160</v>
      </c>
      <c r="H966" s="15">
        <v>0.62439100000000003</v>
      </c>
      <c r="K966" s="15"/>
      <c r="AF966" s="14"/>
      <c r="AG966" s="14">
        <v>0.62439100000000003</v>
      </c>
      <c r="AH966" s="14"/>
      <c r="AI966" s="14"/>
      <c r="AJ966" s="51"/>
      <c r="AK966" s="19">
        <v>0.27013888888888887</v>
      </c>
    </row>
    <row r="967" spans="1:37" x14ac:dyDescent="0.2">
      <c r="B967" s="2">
        <v>25457</v>
      </c>
      <c r="D967" t="s">
        <v>1250</v>
      </c>
      <c r="H967" s="15"/>
      <c r="K967" s="15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E967" s="1">
        <v>2.9209999999999998</v>
      </c>
      <c r="AF967" s="14"/>
      <c r="AG967" s="14">
        <v>0</v>
      </c>
      <c r="AH967" s="14"/>
      <c r="AI967" s="14"/>
      <c r="AJ967" s="51"/>
      <c r="AK967" s="19"/>
    </row>
    <row r="968" spans="1:37" x14ac:dyDescent="0.2">
      <c r="A968" s="2">
        <v>27944</v>
      </c>
      <c r="B968" s="2">
        <v>25984</v>
      </c>
      <c r="C968" s="2">
        <v>33877</v>
      </c>
      <c r="D968" t="s">
        <v>797</v>
      </c>
      <c r="E968" t="s">
        <v>798</v>
      </c>
      <c r="G968" s="2">
        <v>4000</v>
      </c>
      <c r="H968" s="15">
        <v>1.9219999999999999</v>
      </c>
      <c r="K968" s="15"/>
      <c r="AE968" s="1">
        <v>0.28724699999999997</v>
      </c>
      <c r="AF968" s="14"/>
      <c r="AG968" s="14">
        <v>1.9219999999999999</v>
      </c>
      <c r="AH968" s="14"/>
      <c r="AI968" s="14"/>
      <c r="AJ968" s="51"/>
      <c r="AK968" s="19">
        <v>0.27152777777777776</v>
      </c>
    </row>
    <row r="969" spans="1:37" x14ac:dyDescent="0.2">
      <c r="A969" s="2">
        <v>28125</v>
      </c>
      <c r="B969" s="2">
        <v>26083</v>
      </c>
      <c r="C969" s="2">
        <v>43863</v>
      </c>
      <c r="D969" t="s">
        <v>965</v>
      </c>
      <c r="H969" s="15">
        <v>1.8029999999999999</v>
      </c>
      <c r="K969" s="15"/>
      <c r="AF969" s="14"/>
      <c r="AG969" s="14">
        <v>1.8029999999999999</v>
      </c>
      <c r="AH969" s="14"/>
      <c r="AI969" s="14"/>
      <c r="AJ969" s="51"/>
      <c r="AK969" s="19">
        <v>0.13958333333333334</v>
      </c>
    </row>
    <row r="970" spans="1:37" x14ac:dyDescent="0.2">
      <c r="A970" s="2">
        <v>28394</v>
      </c>
      <c r="B970" s="2">
        <v>26211</v>
      </c>
      <c r="C970" s="2">
        <v>51991</v>
      </c>
      <c r="D970" t="s">
        <v>1181</v>
      </c>
      <c r="H970" s="15">
        <v>1.3440000000000001</v>
      </c>
      <c r="K970" s="15"/>
      <c r="AF970" s="14"/>
      <c r="AG970" s="14">
        <v>1.3440000000000001</v>
      </c>
      <c r="AH970" s="14"/>
      <c r="AI970" s="14"/>
      <c r="AJ970" s="51"/>
      <c r="AK970" s="22">
        <v>7.9861111111111105E-2</v>
      </c>
    </row>
    <row r="971" spans="1:37" x14ac:dyDescent="0.2">
      <c r="A971" s="2">
        <v>28538</v>
      </c>
      <c r="B971" s="2">
        <v>26323</v>
      </c>
      <c r="C971" s="2">
        <v>25651</v>
      </c>
      <c r="D971" t="s">
        <v>1103</v>
      </c>
      <c r="H971" s="15">
        <v>2.145</v>
      </c>
      <c r="K971" s="15"/>
      <c r="AF971" s="14"/>
      <c r="AG971" s="14">
        <v>2.145</v>
      </c>
      <c r="AH971" s="14"/>
      <c r="AI971" s="14"/>
      <c r="AJ971" s="51"/>
      <c r="AK971" s="19">
        <v>0.17083333333333331</v>
      </c>
    </row>
    <row r="972" spans="1:37" x14ac:dyDescent="0.2">
      <c r="A972" s="2">
        <v>28879</v>
      </c>
      <c r="B972" s="2">
        <v>26693</v>
      </c>
      <c r="C972" s="2">
        <v>28464</v>
      </c>
      <c r="D972" t="s">
        <v>871</v>
      </c>
      <c r="H972" s="15">
        <v>1.9510000000000001</v>
      </c>
      <c r="K972" s="15"/>
      <c r="AF972" s="14"/>
      <c r="AG972" s="14">
        <v>1.9510000000000001</v>
      </c>
      <c r="AH972" s="14"/>
      <c r="AI972" s="14"/>
      <c r="AJ972" s="51"/>
      <c r="AK972" s="19">
        <v>0.14652777777777778</v>
      </c>
    </row>
    <row r="973" spans="1:37" x14ac:dyDescent="0.2">
      <c r="A973" s="2">
        <v>29115</v>
      </c>
      <c r="C973" s="2">
        <v>125709</v>
      </c>
      <c r="D973" t="s">
        <v>1143</v>
      </c>
      <c r="H973" s="15">
        <v>0.58443599999999996</v>
      </c>
      <c r="K973" s="15"/>
      <c r="AF973" s="14"/>
      <c r="AG973" s="14">
        <v>0.58443599999999996</v>
      </c>
      <c r="AH973" s="14"/>
      <c r="AI973" s="14"/>
      <c r="AJ973" s="51"/>
      <c r="AK973" s="19">
        <v>2.9166666666666664E-2</v>
      </c>
    </row>
    <row r="974" spans="1:37" x14ac:dyDescent="0.2">
      <c r="A974" s="2">
        <v>29148</v>
      </c>
      <c r="B974" s="2">
        <v>26826</v>
      </c>
      <c r="C974" s="2">
        <v>53655</v>
      </c>
      <c r="D974" t="s">
        <v>862</v>
      </c>
      <c r="H974" s="15">
        <v>1.0249999999999999</v>
      </c>
      <c r="K974" s="15"/>
      <c r="AF974" s="14"/>
      <c r="AG974" s="14">
        <v>1.0249999999999999</v>
      </c>
      <c r="AH974" s="14"/>
      <c r="AI974" s="14"/>
      <c r="AJ974" s="51"/>
      <c r="AK974" s="22">
        <v>0.11805555555555557</v>
      </c>
    </row>
    <row r="975" spans="1:37" x14ac:dyDescent="0.2">
      <c r="A975" s="2">
        <v>30286</v>
      </c>
      <c r="C975" s="2">
        <v>42126</v>
      </c>
      <c r="D975" t="s">
        <v>1010</v>
      </c>
      <c r="H975" s="15">
        <v>1.387</v>
      </c>
      <c r="K975" s="15"/>
      <c r="AF975" s="14"/>
      <c r="AG975" s="14">
        <v>1.387</v>
      </c>
      <c r="AH975" s="14"/>
      <c r="AI975" s="14"/>
      <c r="AJ975" s="51"/>
      <c r="AK975" s="19">
        <v>0.1173611111111111</v>
      </c>
    </row>
    <row r="976" spans="1:37" x14ac:dyDescent="0.2">
      <c r="A976" s="2">
        <v>30929</v>
      </c>
      <c r="B976" s="2">
        <v>27230</v>
      </c>
      <c r="C976" s="2">
        <v>71965</v>
      </c>
      <c r="D976" t="s">
        <v>573</v>
      </c>
      <c r="H976" s="15">
        <v>0.75358099999999995</v>
      </c>
      <c r="K976" s="15"/>
      <c r="AF976" s="14"/>
      <c r="AG976" s="14">
        <v>0.75358099999999995</v>
      </c>
      <c r="AH976" s="14"/>
      <c r="AI976" s="14"/>
      <c r="AJ976" s="51"/>
      <c r="AK976" s="19">
        <v>5.4166666666666669E-2</v>
      </c>
    </row>
    <row r="977" spans="1:38" x14ac:dyDescent="0.2">
      <c r="A977" s="2">
        <v>32082</v>
      </c>
      <c r="B977" s="2">
        <v>27488</v>
      </c>
      <c r="C977" s="2">
        <v>81464</v>
      </c>
      <c r="D977" t="s">
        <v>1012</v>
      </c>
      <c r="H977" s="15">
        <v>0.72070299999999998</v>
      </c>
      <c r="K977" s="15"/>
      <c r="AF977" s="14"/>
      <c r="AG977" s="14">
        <v>0.72070299999999998</v>
      </c>
      <c r="AH977" s="14"/>
      <c r="AI977" s="14"/>
      <c r="AJ977" s="51"/>
      <c r="AK977" s="19">
        <v>0.11041666666666666</v>
      </c>
    </row>
    <row r="978" spans="1:38" x14ac:dyDescent="0.2">
      <c r="A978" s="2">
        <v>32200</v>
      </c>
      <c r="B978" s="2">
        <v>27798</v>
      </c>
      <c r="C978" s="2">
        <v>32089</v>
      </c>
      <c r="D978" t="s">
        <v>972</v>
      </c>
      <c r="H978" s="15">
        <v>2.7610000000000001</v>
      </c>
      <c r="K978" s="15"/>
      <c r="AF978" s="14"/>
      <c r="AG978" s="14">
        <v>2.7610000000000001</v>
      </c>
      <c r="AH978" s="14"/>
      <c r="AI978" s="14"/>
      <c r="AJ978" s="51"/>
      <c r="AK978" s="22">
        <v>5.6250000000000001E-2</v>
      </c>
    </row>
    <row r="979" spans="1:38" x14ac:dyDescent="0.2">
      <c r="A979" s="2">
        <v>32363</v>
      </c>
      <c r="C979" s="2">
        <v>60520</v>
      </c>
      <c r="D979" t="s">
        <v>1045</v>
      </c>
      <c r="H979" s="15">
        <v>0.98753800000000003</v>
      </c>
      <c r="K979" s="15"/>
      <c r="AF979" s="14"/>
      <c r="AG979" s="14">
        <v>0.98753800000000003</v>
      </c>
      <c r="AH979" s="14"/>
      <c r="AI979" s="14"/>
      <c r="AJ979" s="51"/>
      <c r="AK979" s="19">
        <v>6.9444444444444434E-2</v>
      </c>
    </row>
    <row r="980" spans="1:38" x14ac:dyDescent="0.2">
      <c r="A980" s="2">
        <v>32417</v>
      </c>
      <c r="B980" s="2">
        <v>27944</v>
      </c>
      <c r="C980" s="2">
        <v>74686</v>
      </c>
      <c r="D980" t="s">
        <v>568</v>
      </c>
      <c r="H980" s="15">
        <v>0.789879</v>
      </c>
      <c r="I980" s="15">
        <v>2.7129E-2</v>
      </c>
      <c r="J980" s="16">
        <v>1.7961999999999999E-2</v>
      </c>
      <c r="K980" s="15">
        <v>0.16023499999999999</v>
      </c>
      <c r="AE980" s="1">
        <v>0.77525200000000005</v>
      </c>
      <c r="AF980" s="14"/>
      <c r="AG980" s="14">
        <v>0.74199700000000002</v>
      </c>
      <c r="AH980" s="14"/>
      <c r="AI980" s="14"/>
      <c r="AJ980" s="51"/>
      <c r="AK980" s="19">
        <v>0.1763888888888889</v>
      </c>
    </row>
    <row r="981" spans="1:38" x14ac:dyDescent="0.2">
      <c r="A981" s="2">
        <v>34025</v>
      </c>
      <c r="B981" s="2">
        <v>28125</v>
      </c>
      <c r="C981" s="2">
        <v>44526</v>
      </c>
      <c r="D981" t="s">
        <v>1090</v>
      </c>
      <c r="H981" s="15">
        <v>1.7010000000000001</v>
      </c>
      <c r="K981" s="15"/>
      <c r="AF981" s="14"/>
      <c r="AG981" s="14">
        <v>1.7010000000000001</v>
      </c>
      <c r="AH981" s="14"/>
      <c r="AI981" s="14"/>
      <c r="AJ981" s="51"/>
      <c r="AK981" s="22">
        <v>4.5833333333333337E-2</v>
      </c>
    </row>
    <row r="982" spans="1:38" x14ac:dyDescent="0.2">
      <c r="A982" s="2">
        <v>34307</v>
      </c>
      <c r="B982" s="2">
        <v>28394</v>
      </c>
      <c r="C982" s="2">
        <v>96734</v>
      </c>
      <c r="D982" t="s">
        <v>991</v>
      </c>
      <c r="H982" s="15">
        <v>0.46610499999999999</v>
      </c>
      <c r="K982" s="15"/>
      <c r="AF982" s="14"/>
      <c r="AG982" s="14">
        <v>0.46610499999999999</v>
      </c>
      <c r="AH982" s="14"/>
      <c r="AI982" s="14"/>
      <c r="AJ982" s="51"/>
      <c r="AK982" s="22">
        <v>0.16041666666666668</v>
      </c>
    </row>
    <row r="983" spans="1:38" x14ac:dyDescent="0.2">
      <c r="A983" s="2">
        <v>34646</v>
      </c>
      <c r="B983" s="2">
        <v>28538</v>
      </c>
      <c r="C983" s="2">
        <v>20101</v>
      </c>
      <c r="D983" t="s">
        <v>1019</v>
      </c>
      <c r="H983" s="15">
        <v>2.1360000000000001</v>
      </c>
      <c r="K983" s="15"/>
      <c r="AF983" s="14"/>
      <c r="AG983" s="14">
        <v>2.1360000000000001</v>
      </c>
      <c r="AH983" s="14"/>
      <c r="AI983" s="14"/>
      <c r="AJ983" s="51"/>
      <c r="AK983" s="19">
        <v>0.20069444444444443</v>
      </c>
    </row>
    <row r="984" spans="1:38" x14ac:dyDescent="0.2">
      <c r="A984" s="2">
        <v>35088</v>
      </c>
      <c r="B984" s="2">
        <v>28879</v>
      </c>
      <c r="C984" s="2">
        <v>50232</v>
      </c>
      <c r="D984" t="s">
        <v>838</v>
      </c>
      <c r="H984" s="15">
        <v>1.163</v>
      </c>
      <c r="K984" s="15"/>
      <c r="AF984" s="14"/>
      <c r="AG984" s="14">
        <v>1.163</v>
      </c>
      <c r="AH984" s="14"/>
      <c r="AI984" s="14"/>
      <c r="AJ984" s="51"/>
      <c r="AK984" s="19">
        <v>0.1388888888888889</v>
      </c>
    </row>
    <row r="985" spans="1:38" x14ac:dyDescent="0.2">
      <c r="A985" s="2">
        <v>35137</v>
      </c>
      <c r="B985" s="2">
        <v>29115</v>
      </c>
      <c r="C985" s="2">
        <v>71605</v>
      </c>
      <c r="D985" t="s">
        <v>937</v>
      </c>
      <c r="H985" s="15">
        <v>0.80907300000000004</v>
      </c>
      <c r="K985" s="15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E985" s="1">
        <v>0.46458500000000003</v>
      </c>
      <c r="AF985" s="14"/>
      <c r="AG985" s="14">
        <v>0.80907300000000004</v>
      </c>
      <c r="AH985" s="14"/>
      <c r="AI985" s="14"/>
      <c r="AJ985" s="51"/>
      <c r="AK985" s="19">
        <v>0.12291666666666667</v>
      </c>
    </row>
    <row r="986" spans="1:38" x14ac:dyDescent="0.2">
      <c r="A986" s="2">
        <v>35336</v>
      </c>
      <c r="B986" s="2">
        <v>29148</v>
      </c>
      <c r="C986" s="2">
        <v>84797</v>
      </c>
      <c r="D986" t="s">
        <v>817</v>
      </c>
      <c r="H986" s="15">
        <v>0.75510100000000002</v>
      </c>
      <c r="K986" s="15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E986" s="1">
        <v>0.59559099999999998</v>
      </c>
      <c r="AF986" s="14"/>
      <c r="AG986" s="14">
        <v>0.75510100000000002</v>
      </c>
      <c r="AH986" s="14"/>
      <c r="AI986" s="14"/>
      <c r="AJ986" s="51"/>
      <c r="AK986" s="19">
        <v>7.3611111111111113E-2</v>
      </c>
    </row>
    <row r="987" spans="1:38" x14ac:dyDescent="0.2">
      <c r="A987" s="2">
        <v>36040</v>
      </c>
      <c r="B987" s="2">
        <v>30286</v>
      </c>
      <c r="C987" s="2">
        <v>129720</v>
      </c>
      <c r="D987" t="s">
        <v>374</v>
      </c>
      <c r="AC987" s="2">
        <v>0.49841400000000002</v>
      </c>
      <c r="AD987" s="2" t="s">
        <v>773</v>
      </c>
      <c r="AE987" s="2" t="s">
        <v>773</v>
      </c>
      <c r="AF987" s="14" t="s">
        <v>773</v>
      </c>
      <c r="AG987" s="14" t="s">
        <v>773</v>
      </c>
      <c r="AH987" s="14" t="s">
        <v>773</v>
      </c>
      <c r="AI987" s="14" t="s">
        <v>773</v>
      </c>
      <c r="AJ987" s="57" t="s">
        <v>773</v>
      </c>
      <c r="AK987" s="19">
        <v>2.7083333333333334E-2</v>
      </c>
      <c r="AL987" s="8">
        <f>(39/60)*AC987</f>
        <v>0.32396910000000001</v>
      </c>
    </row>
    <row r="988" spans="1:38" x14ac:dyDescent="0.2">
      <c r="A988" s="2">
        <v>36761</v>
      </c>
      <c r="B988" s="2">
        <v>33173</v>
      </c>
      <c r="C988" s="2">
        <v>24646</v>
      </c>
      <c r="D988" t="s">
        <v>1146</v>
      </c>
      <c r="H988" s="15">
        <v>3.6629999999999998</v>
      </c>
      <c r="K988" s="15"/>
      <c r="AF988" s="14"/>
      <c r="AG988" s="14">
        <v>3.6629999999999998</v>
      </c>
      <c r="AH988" s="14"/>
      <c r="AI988" s="14"/>
      <c r="AJ988" s="51"/>
      <c r="AK988" s="19">
        <v>0.15</v>
      </c>
    </row>
    <row r="989" spans="1:38" x14ac:dyDescent="0.2">
      <c r="A989" s="2">
        <v>36807</v>
      </c>
      <c r="B989" s="2">
        <v>32082</v>
      </c>
      <c r="C989" s="2">
        <v>91588</v>
      </c>
      <c r="D989" t="s">
        <v>1102</v>
      </c>
      <c r="H989" s="15">
        <v>0.813168</v>
      </c>
      <c r="K989" s="15"/>
      <c r="AF989" s="14"/>
      <c r="AG989" s="14">
        <v>0.813168</v>
      </c>
      <c r="AH989" s="14"/>
      <c r="AI989" s="14"/>
      <c r="AJ989" s="51"/>
      <c r="AK989" s="19">
        <v>9.7222222222222224E-2</v>
      </c>
    </row>
    <row r="990" spans="1:38" x14ac:dyDescent="0.2">
      <c r="A990" s="2">
        <v>37029</v>
      </c>
      <c r="B990" s="2">
        <v>32200</v>
      </c>
      <c r="C990" s="2">
        <v>109343</v>
      </c>
      <c r="D990" t="s">
        <v>785</v>
      </c>
      <c r="H990" s="15">
        <v>0.49878899999999998</v>
      </c>
      <c r="K990" s="15"/>
      <c r="AF990" s="14"/>
      <c r="AG990" s="14">
        <v>0.49878899999999998</v>
      </c>
      <c r="AH990" s="14"/>
      <c r="AI990" s="14"/>
      <c r="AJ990" s="51"/>
      <c r="AK990" s="19">
        <v>7.0833333333333331E-2</v>
      </c>
    </row>
    <row r="991" spans="1:38" x14ac:dyDescent="0.2">
      <c r="A991" s="2">
        <v>37666</v>
      </c>
      <c r="B991" s="2">
        <v>32363</v>
      </c>
      <c r="C991" s="2">
        <v>61277</v>
      </c>
      <c r="D991" t="s">
        <v>859</v>
      </c>
      <c r="H991" s="15">
        <v>0.80319799999999997</v>
      </c>
      <c r="K991" s="15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E991" s="14">
        <v>0.5605</v>
      </c>
      <c r="AF991" s="14"/>
      <c r="AG991" s="14">
        <v>0.80319799999999997</v>
      </c>
      <c r="AH991" s="14"/>
      <c r="AI991" s="14"/>
      <c r="AJ991" s="51"/>
      <c r="AK991" s="19">
        <v>0.17986111111111111</v>
      </c>
    </row>
    <row r="992" spans="1:38" x14ac:dyDescent="0.2">
      <c r="A992" s="2">
        <v>38293</v>
      </c>
      <c r="B992" s="2">
        <v>26164</v>
      </c>
      <c r="C992" s="2">
        <v>17261</v>
      </c>
      <c r="D992" t="s">
        <v>1025</v>
      </c>
      <c r="H992" s="15">
        <v>2.7839999999999998</v>
      </c>
      <c r="K992" s="15"/>
      <c r="AE992" s="14"/>
      <c r="AF992" s="14"/>
      <c r="AG992" s="14">
        <v>2.7839999999999998</v>
      </c>
      <c r="AH992" s="14"/>
      <c r="AI992" s="14"/>
      <c r="AJ992" s="51"/>
      <c r="AK992" s="19">
        <v>0.17152777777777775</v>
      </c>
    </row>
    <row r="993" spans="1:37" x14ac:dyDescent="0.2">
      <c r="A993" s="2">
        <v>38983</v>
      </c>
      <c r="B993" s="2">
        <v>34025</v>
      </c>
      <c r="C993" s="2">
        <v>41040</v>
      </c>
      <c r="D993" t="s">
        <v>1107</v>
      </c>
      <c r="H993" s="15">
        <v>0.95647000000000004</v>
      </c>
      <c r="K993" s="15"/>
      <c r="AE993" s="14"/>
      <c r="AF993" s="14"/>
      <c r="AG993" s="14">
        <v>0.95647000000000004</v>
      </c>
      <c r="AH993" s="14"/>
      <c r="AI993" s="14"/>
      <c r="AJ993" s="51"/>
      <c r="AK993" s="19">
        <v>0.25</v>
      </c>
    </row>
    <row r="994" spans="1:37" x14ac:dyDescent="0.2">
      <c r="A994" s="2">
        <v>40124</v>
      </c>
      <c r="B994" s="2">
        <v>34307</v>
      </c>
      <c r="C994" s="2">
        <v>37519</v>
      </c>
      <c r="D994" t="s">
        <v>1036</v>
      </c>
      <c r="H994" s="15">
        <v>1.4039999999999999</v>
      </c>
      <c r="K994" s="15"/>
      <c r="AE994" s="14"/>
      <c r="AF994" s="14"/>
      <c r="AG994" s="14">
        <v>1.4039999999999999</v>
      </c>
      <c r="AH994" s="14"/>
      <c r="AI994" s="14"/>
      <c r="AJ994" s="51"/>
      <c r="AK994" s="19">
        <v>0.27013888888888887</v>
      </c>
    </row>
    <row r="995" spans="1:37" x14ac:dyDescent="0.2">
      <c r="A995" s="2">
        <v>41697</v>
      </c>
      <c r="B995" s="2">
        <v>34646</v>
      </c>
      <c r="C995" s="2">
        <v>69247</v>
      </c>
      <c r="D995" t="s">
        <v>1037</v>
      </c>
      <c r="H995" s="15">
        <v>0.939438</v>
      </c>
      <c r="K995" s="15"/>
      <c r="AE995" s="14"/>
      <c r="AF995" s="14"/>
      <c r="AG995" s="14">
        <v>0.939438</v>
      </c>
      <c r="AH995" s="14"/>
      <c r="AI995" s="14"/>
      <c r="AJ995" s="51"/>
      <c r="AK995" s="19">
        <v>6.0416666666666667E-2</v>
      </c>
    </row>
    <row r="996" spans="1:37" x14ac:dyDescent="0.2">
      <c r="A996" s="2">
        <v>42170</v>
      </c>
      <c r="B996" s="2">
        <v>35088</v>
      </c>
      <c r="C996" s="2">
        <v>43294</v>
      </c>
      <c r="D996" t="s">
        <v>1148</v>
      </c>
      <c r="H996" s="15">
        <v>1.6140000000000001</v>
      </c>
      <c r="K996" s="15"/>
      <c r="AE996" s="14"/>
      <c r="AF996" s="14"/>
      <c r="AG996" s="14">
        <v>1.6140000000000001</v>
      </c>
      <c r="AH996" s="14"/>
      <c r="AI996" s="14"/>
      <c r="AJ996" s="51"/>
      <c r="AK996" s="19">
        <v>0.1763888888888889</v>
      </c>
    </row>
    <row r="997" spans="1:37" x14ac:dyDescent="0.2">
      <c r="A997" s="2">
        <v>42270</v>
      </c>
      <c r="B997" s="2">
        <v>35137</v>
      </c>
      <c r="C997" s="2">
        <v>132544</v>
      </c>
      <c r="D997" t="s">
        <v>1026</v>
      </c>
      <c r="H997" s="15">
        <v>0.34871999999999997</v>
      </c>
      <c r="K997" s="15"/>
      <c r="AE997" s="14"/>
      <c r="AF997" s="14"/>
      <c r="AG997" s="14">
        <v>0.34871999999999997</v>
      </c>
      <c r="AH997" s="14"/>
      <c r="AI997" s="14"/>
      <c r="AJ997" s="51"/>
      <c r="AK997" s="19">
        <v>0.1277777777777778</v>
      </c>
    </row>
    <row r="998" spans="1:37" x14ac:dyDescent="0.2">
      <c r="A998" s="2">
        <v>46675</v>
      </c>
      <c r="B998" s="2">
        <v>35336</v>
      </c>
      <c r="C998" s="2">
        <v>33418</v>
      </c>
      <c r="D998" t="s">
        <v>837</v>
      </c>
      <c r="H998" s="15">
        <v>1.7669999999999999</v>
      </c>
      <c r="K998" s="15"/>
      <c r="AE998" s="14"/>
      <c r="AF998" s="14"/>
      <c r="AG998" s="14">
        <v>1.7669999999999999</v>
      </c>
      <c r="AH998" s="14"/>
      <c r="AI998" s="14"/>
      <c r="AJ998" s="51"/>
      <c r="AK998" s="19">
        <v>0.13194444444444445</v>
      </c>
    </row>
    <row r="999" spans="1:37" x14ac:dyDescent="0.2">
      <c r="A999" s="2">
        <v>47038</v>
      </c>
      <c r="B999" s="2">
        <v>472</v>
      </c>
      <c r="C999" s="2">
        <v>56427</v>
      </c>
      <c r="D999" t="s">
        <v>1041</v>
      </c>
      <c r="H999" s="15">
        <v>0.88661800000000002</v>
      </c>
      <c r="K999" s="15"/>
      <c r="AE999" s="14"/>
      <c r="AF999" s="14"/>
      <c r="AG999" s="14">
        <v>0.88661800000000002</v>
      </c>
      <c r="AH999" s="14"/>
      <c r="AI999" s="14"/>
      <c r="AJ999" s="51"/>
      <c r="AK999" s="19">
        <v>0.11388888888888889</v>
      </c>
    </row>
    <row r="1000" spans="1:37" x14ac:dyDescent="0.2">
      <c r="A1000" s="2">
        <v>48169</v>
      </c>
      <c r="B1000" s="2">
        <v>36761</v>
      </c>
      <c r="C1000" s="2">
        <v>150491</v>
      </c>
      <c r="D1000" t="s">
        <v>1130</v>
      </c>
      <c r="H1000" s="15">
        <v>0.288435</v>
      </c>
      <c r="K1000" s="15"/>
      <c r="AE1000" s="14"/>
      <c r="AF1000" s="14"/>
      <c r="AG1000" s="14">
        <v>0.288435</v>
      </c>
      <c r="AH1000" s="14"/>
      <c r="AI1000" s="14"/>
      <c r="AJ1000" s="51"/>
      <c r="AK1000" s="19">
        <v>0.47569444444444442</v>
      </c>
    </row>
    <row r="1001" spans="1:37" x14ac:dyDescent="0.2">
      <c r="A1001" s="2">
        <v>48750</v>
      </c>
      <c r="B1001" s="2">
        <v>36807</v>
      </c>
      <c r="C1001" s="2">
        <v>56854</v>
      </c>
      <c r="D1001" t="s">
        <v>1017</v>
      </c>
      <c r="H1001" s="15">
        <v>0.75953000000000004</v>
      </c>
      <c r="K1001" s="15"/>
      <c r="AE1001" s="14"/>
      <c r="AF1001" s="14"/>
      <c r="AG1001" s="14">
        <v>0.75953000000000004</v>
      </c>
      <c r="AH1001" s="14"/>
      <c r="AI1001" s="14"/>
      <c r="AJ1001" s="51"/>
      <c r="AK1001" s="19">
        <v>0.14305555555555557</v>
      </c>
    </row>
    <row r="1002" spans="1:37" x14ac:dyDescent="0.2">
      <c r="A1002" s="2">
        <v>48972</v>
      </c>
      <c r="B1002" s="2">
        <v>37029</v>
      </c>
      <c r="C1002" s="2">
        <v>108759</v>
      </c>
      <c r="D1002" t="s">
        <v>913</v>
      </c>
      <c r="H1002" s="15">
        <v>0.522698</v>
      </c>
      <c r="K1002" s="15"/>
      <c r="AE1002" s="14"/>
      <c r="AF1002" s="14"/>
      <c r="AG1002" s="14">
        <v>0.522698</v>
      </c>
      <c r="AH1002" s="14"/>
      <c r="AI1002" s="14"/>
      <c r="AJ1002" s="51"/>
      <c r="AK1002" s="19">
        <v>0.17500000000000002</v>
      </c>
    </row>
    <row r="1003" spans="1:37" x14ac:dyDescent="0.2">
      <c r="A1003" s="2">
        <v>52176</v>
      </c>
      <c r="B1003" s="2">
        <v>37666</v>
      </c>
      <c r="C1003" s="2">
        <v>127697</v>
      </c>
      <c r="D1003" t="s">
        <v>789</v>
      </c>
      <c r="H1003" s="15">
        <v>0.38327699999999998</v>
      </c>
      <c r="K1003" s="15"/>
      <c r="AE1003" s="14">
        <v>0.33562700000000001</v>
      </c>
      <c r="AF1003" s="14"/>
      <c r="AG1003" s="14">
        <v>0.38327699999999998</v>
      </c>
      <c r="AH1003" s="14"/>
      <c r="AI1003" s="14"/>
      <c r="AJ1003" s="51"/>
      <c r="AK1003" s="19">
        <v>0.11875000000000001</v>
      </c>
    </row>
    <row r="1004" spans="1:37" x14ac:dyDescent="0.2">
      <c r="A1004" s="2">
        <v>53051</v>
      </c>
      <c r="B1004" s="2">
        <v>38293</v>
      </c>
      <c r="C1004" s="2">
        <v>237636</v>
      </c>
      <c r="D1004" t="s">
        <v>1089</v>
      </c>
      <c r="H1004" s="15">
        <v>0.270791</v>
      </c>
      <c r="K1004" s="15"/>
      <c r="AE1004" s="14"/>
      <c r="AF1004" s="14"/>
      <c r="AG1004" s="14">
        <v>0.270791</v>
      </c>
      <c r="AH1004" s="14"/>
      <c r="AI1004" s="14"/>
      <c r="AJ1004" s="51"/>
      <c r="AK1004" s="19">
        <v>3.888888888888889E-2</v>
      </c>
    </row>
    <row r="1005" spans="1:37" x14ac:dyDescent="0.2">
      <c r="A1005" s="2">
        <v>55354</v>
      </c>
      <c r="B1005" s="2">
        <v>38983</v>
      </c>
      <c r="C1005" s="2">
        <v>70450</v>
      </c>
      <c r="D1005" t="s">
        <v>940</v>
      </c>
      <c r="H1005" s="15">
        <v>0.63859900000000003</v>
      </c>
      <c r="K1005" s="15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E1005" s="14">
        <v>0.43057200000000001</v>
      </c>
      <c r="AF1005" s="14"/>
      <c r="AG1005" s="14">
        <v>0.63859900000000003</v>
      </c>
      <c r="AH1005" s="14"/>
      <c r="AI1005" s="14"/>
      <c r="AJ1005" s="51"/>
      <c r="AK1005" s="19">
        <v>0.18611111111111112</v>
      </c>
    </row>
    <row r="1006" spans="1:37" x14ac:dyDescent="0.2">
      <c r="A1006" s="2">
        <v>55724</v>
      </c>
      <c r="B1006" s="2">
        <v>40124</v>
      </c>
      <c r="C1006" s="2">
        <v>209170</v>
      </c>
      <c r="D1006" t="s">
        <v>1038</v>
      </c>
      <c r="H1006" s="15">
        <v>0.298043</v>
      </c>
      <c r="K1006" s="15"/>
      <c r="AF1006" s="14"/>
      <c r="AG1006" s="14">
        <v>0.298043</v>
      </c>
      <c r="AH1006" s="14"/>
      <c r="AI1006" s="14"/>
      <c r="AJ1006" s="51"/>
      <c r="AK1006" s="19">
        <v>2.2916666666666669E-2</v>
      </c>
    </row>
    <row r="1007" spans="1:37" x14ac:dyDescent="0.2">
      <c r="A1007" s="2">
        <v>56210</v>
      </c>
      <c r="B1007" s="2">
        <v>41697</v>
      </c>
      <c r="C1007" s="2">
        <v>77864</v>
      </c>
      <c r="D1007" t="s">
        <v>933</v>
      </c>
      <c r="H1007" s="15">
        <v>0.77962500000000001</v>
      </c>
      <c r="K1007" s="15"/>
      <c r="AF1007" s="14"/>
      <c r="AG1007" s="14">
        <v>0.77962500000000001</v>
      </c>
      <c r="AH1007" s="14"/>
      <c r="AI1007" s="14"/>
      <c r="AJ1007" s="51"/>
      <c r="AK1007" s="19">
        <v>0.12708333333333333</v>
      </c>
    </row>
    <row r="1008" spans="1:37" x14ac:dyDescent="0.2">
      <c r="A1008" s="2">
        <v>56722</v>
      </c>
      <c r="B1008" s="2">
        <v>42170</v>
      </c>
      <c r="C1008" s="2">
        <v>179853</v>
      </c>
      <c r="D1008" t="s">
        <v>857</v>
      </c>
      <c r="H1008" s="15">
        <v>0.18307699999999999</v>
      </c>
      <c r="K1008" s="15"/>
      <c r="AF1008" s="14"/>
      <c r="AG1008" s="14">
        <v>0.18307699999999999</v>
      </c>
      <c r="AH1008" s="14"/>
      <c r="AI1008" s="14"/>
      <c r="AJ1008" s="51"/>
      <c r="AK1008" s="19">
        <v>0.33124999999999999</v>
      </c>
    </row>
    <row r="1009" spans="1:37" x14ac:dyDescent="0.2">
      <c r="A1009" s="2">
        <v>57277</v>
      </c>
      <c r="B1009" s="2">
        <v>42270</v>
      </c>
      <c r="C1009" s="2">
        <v>40671</v>
      </c>
      <c r="D1009" t="s">
        <v>961</v>
      </c>
      <c r="H1009" s="15">
        <v>0.88869299999999996</v>
      </c>
      <c r="K1009" s="15"/>
      <c r="AF1009" s="14"/>
      <c r="AG1009" s="14">
        <v>0.88869299999999996</v>
      </c>
      <c r="AH1009" s="14"/>
      <c r="AI1009" s="14"/>
      <c r="AJ1009" s="51"/>
      <c r="AK1009" s="19">
        <v>0.19930555555555554</v>
      </c>
    </row>
    <row r="1010" spans="1:37" x14ac:dyDescent="0.2">
      <c r="A1010" s="2">
        <v>58426</v>
      </c>
      <c r="B1010" s="2">
        <v>46675</v>
      </c>
      <c r="C1010" s="2">
        <v>107141</v>
      </c>
      <c r="D1010" t="s">
        <v>997</v>
      </c>
      <c r="H1010" s="15">
        <v>0.72270199999999996</v>
      </c>
      <c r="K1010" s="15"/>
      <c r="AF1010" s="14"/>
      <c r="AG1010" s="14">
        <v>0.72270199999999996</v>
      </c>
      <c r="AH1010" s="14"/>
      <c r="AI1010" s="14"/>
      <c r="AJ1010" s="51"/>
      <c r="AK1010" s="19">
        <v>6.6666666666666666E-2</v>
      </c>
    </row>
    <row r="1011" spans="1:37" x14ac:dyDescent="0.2">
      <c r="A1011" s="2">
        <v>59465</v>
      </c>
      <c r="B1011" s="2">
        <v>47038</v>
      </c>
      <c r="C1011" s="2">
        <v>106245</v>
      </c>
      <c r="D1011" t="s">
        <v>963</v>
      </c>
      <c r="H1011" s="15">
        <v>0.57583700000000004</v>
      </c>
      <c r="K1011" s="15"/>
      <c r="AF1011" s="14"/>
      <c r="AG1011" s="14">
        <v>0.57583700000000004</v>
      </c>
      <c r="AH1011" s="14"/>
      <c r="AI1011" s="14"/>
      <c r="AJ1011" s="51"/>
      <c r="AK1011" s="19">
        <v>0.12430555555555556</v>
      </c>
    </row>
    <row r="1012" spans="1:37" x14ac:dyDescent="0.2">
      <c r="A1012" s="2">
        <v>60053</v>
      </c>
      <c r="B1012" s="2">
        <v>48169</v>
      </c>
      <c r="C1012" s="2">
        <v>56764</v>
      </c>
      <c r="D1012" t="s">
        <v>1104</v>
      </c>
      <c r="H1012" s="15">
        <v>1.431</v>
      </c>
      <c r="K1012" s="15"/>
      <c r="AF1012" s="14"/>
      <c r="AG1012" s="14">
        <v>1.431</v>
      </c>
      <c r="AH1012" s="14"/>
      <c r="AI1012" s="14"/>
      <c r="AJ1012" s="51"/>
      <c r="AK1012" s="19">
        <v>5.9722222222222225E-2</v>
      </c>
    </row>
    <row r="1013" spans="1:37" x14ac:dyDescent="0.2">
      <c r="A1013" s="2">
        <v>60214</v>
      </c>
      <c r="B1013" s="2">
        <v>48750</v>
      </c>
      <c r="C1013" s="2">
        <v>64874</v>
      </c>
      <c r="D1013" t="s">
        <v>1073</v>
      </c>
      <c r="H1013" s="15">
        <v>0.71190200000000003</v>
      </c>
      <c r="K1013" s="15"/>
      <c r="AF1013" s="14"/>
      <c r="AG1013" s="14">
        <v>0.71190200000000003</v>
      </c>
      <c r="AH1013" s="14"/>
      <c r="AI1013" s="14"/>
      <c r="AJ1013" s="51"/>
      <c r="AK1013" s="19">
        <v>9.8611111111111108E-2</v>
      </c>
    </row>
    <row r="1014" spans="1:37" x14ac:dyDescent="0.2">
      <c r="A1014" s="2">
        <v>60917</v>
      </c>
      <c r="B1014" s="2">
        <v>48972</v>
      </c>
      <c r="C1014" s="2">
        <v>326034</v>
      </c>
      <c r="D1014" t="s">
        <v>782</v>
      </c>
      <c r="H1014" s="15">
        <v>0.137154</v>
      </c>
      <c r="K1014" s="15"/>
      <c r="AF1014" s="14"/>
      <c r="AG1014" s="14">
        <v>0.137154</v>
      </c>
      <c r="AH1014" s="14"/>
      <c r="AI1014" s="14"/>
      <c r="AJ1014" s="51"/>
      <c r="AK1014" s="19">
        <v>6.0416666666666667E-2</v>
      </c>
    </row>
    <row r="1015" spans="1:37" x14ac:dyDescent="0.2">
      <c r="A1015" s="2">
        <v>61697</v>
      </c>
      <c r="B1015" s="2">
        <v>52176</v>
      </c>
      <c r="C1015" s="2">
        <v>121842</v>
      </c>
      <c r="D1015" t="s">
        <v>780</v>
      </c>
      <c r="H1015" s="15">
        <v>0.39068900000000001</v>
      </c>
      <c r="K1015" s="15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E1015" s="1">
        <v>0.42218</v>
      </c>
      <c r="AF1015" s="14"/>
      <c r="AG1015" s="14">
        <v>0.39068900000000001</v>
      </c>
      <c r="AH1015" s="14"/>
      <c r="AI1015" s="14"/>
      <c r="AJ1015" s="51"/>
      <c r="AK1015" s="19">
        <v>0.1173611111111111</v>
      </c>
    </row>
    <row r="1016" spans="1:37" x14ac:dyDescent="0.2">
      <c r="A1016" s="2">
        <v>62871</v>
      </c>
      <c r="B1016" s="2">
        <v>53051</v>
      </c>
      <c r="C1016" s="2">
        <v>81867</v>
      </c>
      <c r="D1016" t="s">
        <v>1014</v>
      </c>
      <c r="H1016" s="15">
        <v>0.55604799999999999</v>
      </c>
      <c r="K1016" s="15"/>
      <c r="AF1016" s="14"/>
      <c r="AG1016" s="14">
        <v>0.55604799999999999</v>
      </c>
      <c r="AH1016" s="14"/>
      <c r="AI1016" s="14"/>
      <c r="AJ1016" s="51"/>
      <c r="AK1016" s="19">
        <v>0.11527777777777777</v>
      </c>
    </row>
    <row r="1017" spans="1:37" x14ac:dyDescent="0.2">
      <c r="A1017" s="2">
        <v>63237</v>
      </c>
      <c r="B1017" s="2">
        <v>55354</v>
      </c>
      <c r="C1017" s="2">
        <v>94603</v>
      </c>
      <c r="D1017" t="s">
        <v>924</v>
      </c>
      <c r="H1017" s="15">
        <v>0.36492400000000003</v>
      </c>
      <c r="K1017" s="15"/>
      <c r="AE1017" s="1">
        <v>0.30067199999999999</v>
      </c>
      <c r="AF1017" s="14"/>
      <c r="AG1017" s="14">
        <v>0.36492400000000003</v>
      </c>
      <c r="AH1017" s="14"/>
      <c r="AI1017" s="14"/>
      <c r="AJ1017" s="51"/>
      <c r="AK1017" s="19">
        <v>0.48680555555555555</v>
      </c>
    </row>
    <row r="1018" spans="1:37" x14ac:dyDescent="0.2">
      <c r="A1018" s="2">
        <v>63508</v>
      </c>
      <c r="B1018" s="2">
        <v>55724</v>
      </c>
      <c r="C1018" s="2">
        <v>91364</v>
      </c>
      <c r="D1018" t="s">
        <v>1034</v>
      </c>
      <c r="H1018" s="15">
        <v>0.54338699999999995</v>
      </c>
      <c r="K1018" s="15"/>
      <c r="AF1018" s="14"/>
      <c r="AG1018" s="14">
        <v>0.54338699999999995</v>
      </c>
      <c r="AH1018" s="14"/>
      <c r="AI1018" s="14"/>
      <c r="AJ1018" s="51"/>
      <c r="AK1018" s="19">
        <v>0.1388888888888889</v>
      </c>
    </row>
    <row r="1019" spans="1:37" x14ac:dyDescent="0.2">
      <c r="A1019" s="2">
        <v>64252</v>
      </c>
      <c r="B1019" s="2">
        <v>56210</v>
      </c>
      <c r="C1019" s="2">
        <v>106624</v>
      </c>
      <c r="D1019" t="s">
        <v>938</v>
      </c>
      <c r="H1019" s="15">
        <v>0.54640999999999995</v>
      </c>
      <c r="K1019" s="15"/>
      <c r="AF1019" s="14"/>
      <c r="AG1019" s="14">
        <v>0.54640999999999995</v>
      </c>
      <c r="AH1019" s="14"/>
      <c r="AI1019" s="14"/>
      <c r="AJ1019" s="51"/>
      <c r="AK1019" s="19">
        <v>5.5555555555555552E-2</v>
      </c>
    </row>
    <row r="1020" spans="1:37" x14ac:dyDescent="0.2">
      <c r="A1020" s="2">
        <v>65401</v>
      </c>
      <c r="B1020" s="2">
        <v>56722</v>
      </c>
      <c r="C1020" s="2">
        <v>320264</v>
      </c>
      <c r="D1020" t="s">
        <v>1043</v>
      </c>
      <c r="H1020" s="15">
        <v>0.166854</v>
      </c>
      <c r="K1020" s="15"/>
      <c r="AF1020" s="14"/>
      <c r="AG1020" s="14">
        <v>0.166854</v>
      </c>
      <c r="AH1020" s="14"/>
      <c r="AI1020" s="14"/>
      <c r="AJ1020" s="51"/>
      <c r="AK1020" s="19">
        <v>2.361111111111111E-2</v>
      </c>
    </row>
    <row r="1021" spans="1:37" x14ac:dyDescent="0.2">
      <c r="A1021" s="2">
        <v>70448</v>
      </c>
      <c r="B1021" s="2">
        <v>57277</v>
      </c>
      <c r="C1021" s="2">
        <v>332914</v>
      </c>
      <c r="D1021" t="s">
        <v>1042</v>
      </c>
      <c r="H1021" s="15">
        <v>0.123067</v>
      </c>
      <c r="K1021" s="15"/>
      <c r="AF1021" s="14"/>
      <c r="AG1021" s="14">
        <v>0.123067</v>
      </c>
      <c r="AH1021" s="14"/>
      <c r="AI1021" s="14"/>
      <c r="AJ1021" s="51"/>
      <c r="AK1021" s="19">
        <v>7.8472222222222221E-2</v>
      </c>
    </row>
    <row r="1022" spans="1:37" x14ac:dyDescent="0.2">
      <c r="A1022" s="2">
        <v>72506</v>
      </c>
      <c r="B1022" s="2">
        <v>58426</v>
      </c>
      <c r="C1022" s="2">
        <v>80107</v>
      </c>
      <c r="D1022" t="s">
        <v>912</v>
      </c>
      <c r="H1022" s="15">
        <v>8.0106999999999998E-2</v>
      </c>
      <c r="K1022" s="15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E1022" s="1">
        <v>0.453461</v>
      </c>
      <c r="AF1022" s="14"/>
      <c r="AG1022" s="14">
        <v>8.0106999999999998E-2</v>
      </c>
      <c r="AH1022" s="14"/>
      <c r="AI1022" s="14"/>
      <c r="AJ1022" s="51"/>
      <c r="AK1022" s="19">
        <v>0.14722222222222223</v>
      </c>
    </row>
    <row r="1023" spans="1:37" x14ac:dyDescent="0.2">
      <c r="A1023" s="2">
        <v>72645</v>
      </c>
      <c r="B1023" s="2">
        <v>59465</v>
      </c>
      <c r="C1023" s="2">
        <v>338552</v>
      </c>
      <c r="D1023" t="s">
        <v>992</v>
      </c>
      <c r="H1023" s="15">
        <v>7.8987000000000002E-2</v>
      </c>
      <c r="K1023" s="15"/>
      <c r="AF1023" s="14"/>
      <c r="AG1023" s="14">
        <v>7.8987000000000002E-2</v>
      </c>
      <c r="AH1023" s="14"/>
      <c r="AI1023" s="14"/>
      <c r="AJ1023" s="51"/>
      <c r="AK1023" s="19">
        <v>0.19583333333333333</v>
      </c>
    </row>
    <row r="1024" spans="1:37" x14ac:dyDescent="0.2">
      <c r="A1024" s="2">
        <v>73683</v>
      </c>
      <c r="B1024" s="2">
        <v>60053</v>
      </c>
      <c r="C1024" s="2">
        <v>82269</v>
      </c>
      <c r="D1024" t="s">
        <v>1081</v>
      </c>
      <c r="H1024" s="15">
        <v>0.64739599999999997</v>
      </c>
      <c r="K1024" s="15"/>
      <c r="AF1024" s="14"/>
      <c r="AG1024" s="14">
        <v>0.64739599999999997</v>
      </c>
      <c r="AH1024" s="14"/>
      <c r="AI1024" s="14"/>
      <c r="AJ1024" s="51"/>
      <c r="AK1024" s="19">
        <v>0.19305555555555554</v>
      </c>
    </row>
    <row r="1025" spans="1:37" x14ac:dyDescent="0.2">
      <c r="A1025" s="2">
        <v>73876</v>
      </c>
      <c r="B1025" s="2">
        <v>60214</v>
      </c>
      <c r="C1025" s="2">
        <v>76451</v>
      </c>
      <c r="D1025" t="s">
        <v>803</v>
      </c>
      <c r="H1025" s="15">
        <v>0.65510400000000002</v>
      </c>
      <c r="K1025" s="15"/>
      <c r="AF1025" s="14"/>
      <c r="AG1025" s="14">
        <v>0.65510400000000002</v>
      </c>
      <c r="AH1025" s="14"/>
      <c r="AI1025" s="14"/>
      <c r="AJ1025" s="51"/>
      <c r="AK1025" s="19">
        <v>6.1111111111111116E-2</v>
      </c>
    </row>
    <row r="1026" spans="1:37" x14ac:dyDescent="0.2">
      <c r="A1026" s="2">
        <v>73985</v>
      </c>
      <c r="B1026" s="2">
        <v>60917</v>
      </c>
      <c r="C1026" s="2">
        <v>61616</v>
      </c>
      <c r="D1026" t="s">
        <v>1085</v>
      </c>
      <c r="H1026" s="15">
        <v>1.0389999999999999</v>
      </c>
      <c r="K1026" s="15"/>
      <c r="AF1026" s="14"/>
      <c r="AG1026" s="14">
        <v>1.0389999999999999</v>
      </c>
      <c r="AH1026" s="14"/>
      <c r="AI1026" s="14"/>
      <c r="AJ1026" s="51"/>
      <c r="AK1026" s="19">
        <v>0.13125000000000001</v>
      </c>
    </row>
    <row r="1027" spans="1:37" x14ac:dyDescent="0.2">
      <c r="A1027" s="2">
        <v>76768</v>
      </c>
      <c r="B1027" s="2">
        <v>61697</v>
      </c>
      <c r="C1027" s="2">
        <v>53218</v>
      </c>
      <c r="D1027" t="s">
        <v>1033</v>
      </c>
      <c r="H1027" s="15">
        <v>0.80736399999999997</v>
      </c>
      <c r="K1027" s="15"/>
      <c r="AF1027" s="14"/>
      <c r="AG1027" s="14">
        <v>0.80736399999999997</v>
      </c>
      <c r="AH1027" s="14"/>
      <c r="AI1027" s="14"/>
      <c r="AJ1027" s="51"/>
      <c r="AK1027" s="19">
        <v>0.17777777777777778</v>
      </c>
    </row>
    <row r="1028" spans="1:37" x14ac:dyDescent="0.2">
      <c r="A1028" s="2">
        <v>77760</v>
      </c>
      <c r="B1028" s="2">
        <v>62871</v>
      </c>
      <c r="C1028" s="2">
        <v>9193</v>
      </c>
      <c r="D1028" t="s">
        <v>967</v>
      </c>
      <c r="H1028" s="15">
        <v>5.883</v>
      </c>
      <c r="K1028" s="15"/>
      <c r="AF1028" s="14"/>
      <c r="AG1028" s="14">
        <v>5.883</v>
      </c>
      <c r="AH1028" s="14"/>
      <c r="AI1028" s="14"/>
      <c r="AJ1028" s="51"/>
      <c r="AK1028" s="19">
        <v>0.31319444444444444</v>
      </c>
    </row>
    <row r="1029" spans="1:37" x14ac:dyDescent="0.2">
      <c r="A1029" s="2">
        <v>78266</v>
      </c>
      <c r="B1029" s="2">
        <v>63237</v>
      </c>
      <c r="C1029" s="2">
        <v>108303</v>
      </c>
      <c r="D1029" t="s">
        <v>999</v>
      </c>
      <c r="H1029" s="15">
        <v>0.54505300000000001</v>
      </c>
      <c r="K1029" s="15"/>
      <c r="AF1029" s="14"/>
      <c r="AG1029" s="14">
        <v>0.54505300000000001</v>
      </c>
      <c r="AH1029" s="14"/>
      <c r="AI1029" s="14"/>
      <c r="AJ1029" s="51"/>
      <c r="AK1029" s="19">
        <v>0.12013888888888889</v>
      </c>
    </row>
    <row r="1030" spans="1:37" x14ac:dyDescent="0.2">
      <c r="A1030" s="2">
        <v>80167</v>
      </c>
      <c r="B1030" s="2">
        <v>63508</v>
      </c>
      <c r="C1030" s="2">
        <v>85799</v>
      </c>
      <c r="D1030" t="s">
        <v>998</v>
      </c>
      <c r="H1030" s="15">
        <v>0.83872800000000003</v>
      </c>
      <c r="K1030" s="15"/>
      <c r="AF1030" s="14"/>
      <c r="AG1030" s="14">
        <v>0.83872800000000003</v>
      </c>
      <c r="AH1030" s="14"/>
      <c r="AI1030" s="14"/>
      <c r="AJ1030" s="51"/>
      <c r="AK1030" s="19">
        <v>5.2083333333333336E-2</v>
      </c>
    </row>
    <row r="1031" spans="1:37" x14ac:dyDescent="0.2">
      <c r="A1031" s="2">
        <v>80600</v>
      </c>
      <c r="B1031" s="2">
        <v>64252</v>
      </c>
      <c r="C1031" s="2">
        <v>57632</v>
      </c>
      <c r="D1031" t="s">
        <v>1112</v>
      </c>
      <c r="H1031" s="15">
        <v>0.75457799999999997</v>
      </c>
      <c r="K1031" s="15"/>
      <c r="AF1031" s="14"/>
      <c r="AG1031" s="14">
        <v>0.75457799999999997</v>
      </c>
      <c r="AH1031" s="14"/>
      <c r="AI1031" s="14"/>
      <c r="AJ1031" s="51"/>
      <c r="AK1031" s="22">
        <v>0.1763888888888889</v>
      </c>
    </row>
    <row r="1032" spans="1:37" x14ac:dyDescent="0.2">
      <c r="A1032" s="2">
        <v>82222</v>
      </c>
      <c r="B1032" s="2">
        <v>65401</v>
      </c>
      <c r="C1032" s="2">
        <v>96800</v>
      </c>
      <c r="D1032" t="s">
        <v>796</v>
      </c>
      <c r="H1032" s="15">
        <v>0.65190700000000001</v>
      </c>
      <c r="K1032" s="15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E1032" s="1">
        <v>0.26882099999999998</v>
      </c>
      <c r="AF1032" s="14"/>
      <c r="AG1032" s="14">
        <v>0.65190700000000001</v>
      </c>
      <c r="AH1032" s="14"/>
      <c r="AI1032" s="14"/>
      <c r="AJ1032" s="51"/>
      <c r="AK1032" s="19">
        <v>9.8611111111111108E-2</v>
      </c>
    </row>
    <row r="1033" spans="1:37" x14ac:dyDescent="0.2">
      <c r="A1033" s="2">
        <v>82940</v>
      </c>
      <c r="B1033" s="2">
        <v>70448</v>
      </c>
      <c r="C1033" s="2">
        <v>173729</v>
      </c>
      <c r="D1033" t="s">
        <v>966</v>
      </c>
      <c r="H1033" s="15">
        <v>0.38967299999999999</v>
      </c>
      <c r="K1033" s="15"/>
      <c r="AF1033" s="14"/>
      <c r="AG1033" s="14">
        <v>0.38967299999999999</v>
      </c>
      <c r="AH1033" s="14"/>
      <c r="AI1033" s="14"/>
      <c r="AJ1033" s="51"/>
      <c r="AK1033" s="19">
        <v>0.1451388888888889</v>
      </c>
    </row>
    <row r="1034" spans="1:37" x14ac:dyDescent="0.2">
      <c r="A1034" s="2">
        <v>83377</v>
      </c>
      <c r="B1034" s="2">
        <v>72506</v>
      </c>
      <c r="C1034" s="2">
        <v>127653</v>
      </c>
      <c r="D1034" t="s">
        <v>1013</v>
      </c>
      <c r="H1034" s="15">
        <v>0.36705199999999999</v>
      </c>
      <c r="K1034" s="15"/>
      <c r="AF1034" s="14"/>
      <c r="AG1034" s="14">
        <v>0.36705199999999999</v>
      </c>
      <c r="AH1034" s="14"/>
      <c r="AI1034" s="14"/>
      <c r="AJ1034" s="51"/>
      <c r="AK1034" s="19">
        <v>0.1173611111111111</v>
      </c>
    </row>
    <row r="1035" spans="1:37" x14ac:dyDescent="0.2">
      <c r="A1035" s="2">
        <v>83458</v>
      </c>
      <c r="B1035" s="2">
        <v>72645</v>
      </c>
      <c r="C1035" s="2">
        <v>245028</v>
      </c>
      <c r="D1035" t="s">
        <v>783</v>
      </c>
      <c r="H1035" s="15">
        <v>0.19157099999999999</v>
      </c>
      <c r="K1035" s="15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E1035" s="1">
        <v>0.20640800000000001</v>
      </c>
      <c r="AF1035" s="14"/>
      <c r="AG1035" s="14">
        <v>0.19157099999999999</v>
      </c>
      <c r="AH1035" s="14"/>
      <c r="AI1035" s="14"/>
      <c r="AJ1035" s="51"/>
      <c r="AK1035" s="19">
        <v>4.1666666666666664E-2</v>
      </c>
    </row>
    <row r="1036" spans="1:37" x14ac:dyDescent="0.2">
      <c r="A1036" s="2">
        <v>84038</v>
      </c>
      <c r="B1036" s="2">
        <v>73683</v>
      </c>
      <c r="C1036" s="2">
        <v>142930</v>
      </c>
      <c r="D1036" t="s">
        <v>1093</v>
      </c>
      <c r="H1036" s="15">
        <v>0.28136499999999998</v>
      </c>
      <c r="K1036" s="15"/>
      <c r="AF1036" s="14"/>
      <c r="AG1036" s="14">
        <v>0.28136499999999998</v>
      </c>
      <c r="AH1036" s="14"/>
      <c r="AI1036" s="14"/>
      <c r="AJ1036" s="51"/>
      <c r="AK1036" s="19">
        <v>0.11527777777777777</v>
      </c>
    </row>
    <row r="1037" spans="1:37" x14ac:dyDescent="0.2">
      <c r="A1037" s="2">
        <v>87014</v>
      </c>
      <c r="B1037" s="2">
        <v>73876</v>
      </c>
      <c r="C1037" s="2">
        <v>69720</v>
      </c>
      <c r="D1037" t="s">
        <v>1057</v>
      </c>
      <c r="H1037" s="15">
        <v>0.87467099999999998</v>
      </c>
      <c r="J1037" s="15"/>
      <c r="K1037" s="15"/>
      <c r="AF1037" s="14"/>
      <c r="AG1037" s="14">
        <v>0.87467099999999998</v>
      </c>
      <c r="AH1037" s="14"/>
      <c r="AI1037" s="14"/>
      <c r="AJ1037" s="51"/>
      <c r="AK1037" s="19">
        <v>6.6666666666666666E-2</v>
      </c>
    </row>
    <row r="1038" spans="1:37" x14ac:dyDescent="0.2">
      <c r="A1038" s="2">
        <v>87024</v>
      </c>
      <c r="B1038" s="2">
        <v>73985</v>
      </c>
      <c r="C1038" s="2">
        <v>79737</v>
      </c>
      <c r="D1038" t="s">
        <v>930</v>
      </c>
      <c r="H1038" s="15">
        <v>0.32195000000000001</v>
      </c>
      <c r="K1038" s="15"/>
      <c r="AF1038" s="14"/>
      <c r="AG1038" s="14">
        <v>0.32195000000000001</v>
      </c>
      <c r="AH1038" s="14"/>
      <c r="AI1038" s="14"/>
      <c r="AJ1038" s="51"/>
      <c r="AK1038" s="19">
        <v>0.26874999999999999</v>
      </c>
    </row>
    <row r="1039" spans="1:37" x14ac:dyDescent="0.2">
      <c r="A1039" s="2">
        <v>87349</v>
      </c>
      <c r="B1039" s="2">
        <v>76768</v>
      </c>
      <c r="C1039" s="2">
        <v>67096</v>
      </c>
      <c r="D1039" t="s">
        <v>1055</v>
      </c>
      <c r="H1039" s="15">
        <v>0.86591899999999999</v>
      </c>
      <c r="K1039" s="15"/>
      <c r="AF1039" s="14"/>
      <c r="AG1039" s="14">
        <v>0.86591899999999999</v>
      </c>
      <c r="AH1039" s="14"/>
      <c r="AI1039" s="14"/>
      <c r="AJ1039" s="51"/>
      <c r="AK1039" s="19">
        <v>0.10416666666666667</v>
      </c>
    </row>
    <row r="1040" spans="1:37" x14ac:dyDescent="0.2">
      <c r="A1040" s="2">
        <v>92899</v>
      </c>
      <c r="B1040" s="2">
        <v>77760</v>
      </c>
      <c r="C1040" s="2">
        <v>340633</v>
      </c>
      <c r="D1040" t="s">
        <v>1044</v>
      </c>
      <c r="H1040" s="15">
        <v>0.16528000000000001</v>
      </c>
      <c r="K1040" s="15"/>
      <c r="AF1040" s="14"/>
      <c r="AG1040" s="14">
        <v>0.16528000000000001</v>
      </c>
      <c r="AH1040" s="14"/>
      <c r="AI1040" s="14"/>
      <c r="AJ1040" s="51"/>
      <c r="AK1040" s="19">
        <v>3.5416666666666666E-2</v>
      </c>
    </row>
    <row r="1041" spans="1:37" x14ac:dyDescent="0.2">
      <c r="A1041" s="2">
        <v>94046</v>
      </c>
      <c r="B1041" s="2">
        <v>78266</v>
      </c>
      <c r="C1041" s="2">
        <v>187478</v>
      </c>
      <c r="D1041" t="s">
        <v>835</v>
      </c>
      <c r="H1041" s="15">
        <v>0.26639200000000002</v>
      </c>
      <c r="K1041" s="15"/>
      <c r="AF1041" s="14"/>
      <c r="AG1041" s="14">
        <v>0.26639200000000002</v>
      </c>
      <c r="AH1041" s="14"/>
      <c r="AI1041" s="14"/>
      <c r="AJ1041" s="51"/>
      <c r="AK1041" s="19">
        <v>7.9166666666666663E-2</v>
      </c>
    </row>
    <row r="1042" spans="1:37" x14ac:dyDescent="0.2">
      <c r="A1042" s="2">
        <v>95981</v>
      </c>
      <c r="B1042" s="2">
        <v>80167</v>
      </c>
      <c r="C1042" s="2">
        <v>245260</v>
      </c>
      <c r="D1042" t="s">
        <v>982</v>
      </c>
      <c r="H1042" s="15">
        <v>0.277696</v>
      </c>
      <c r="K1042" s="15"/>
      <c r="AF1042" s="14"/>
      <c r="AG1042" s="14">
        <v>0.277696</v>
      </c>
      <c r="AH1042" s="14"/>
      <c r="AI1042" s="14"/>
      <c r="AJ1042" s="51"/>
      <c r="AK1042" s="22">
        <v>3.0555555555555555E-2</v>
      </c>
    </row>
    <row r="1043" spans="1:37" x14ac:dyDescent="0.2">
      <c r="A1043" s="2">
        <v>98542</v>
      </c>
      <c r="B1043" s="2">
        <v>80600</v>
      </c>
      <c r="C1043" s="2">
        <v>116137</v>
      </c>
      <c r="D1043" t="s">
        <v>822</v>
      </c>
      <c r="H1043" s="15">
        <v>0.50777300000000003</v>
      </c>
      <c r="K1043" s="15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E1043" s="1">
        <v>0.237149</v>
      </c>
      <c r="AF1043" s="14"/>
      <c r="AG1043" s="14">
        <v>0.50777300000000003</v>
      </c>
      <c r="AH1043" s="14"/>
      <c r="AI1043" s="14"/>
      <c r="AJ1043" s="51"/>
      <c r="AK1043" s="19">
        <v>0.13333333333333333</v>
      </c>
    </row>
    <row r="1044" spans="1:37" x14ac:dyDescent="0.2">
      <c r="A1044" s="2">
        <v>98570</v>
      </c>
      <c r="B1044" s="2">
        <v>82222</v>
      </c>
      <c r="C1044" s="2">
        <v>315147</v>
      </c>
      <c r="D1044" t="s">
        <v>916</v>
      </c>
      <c r="H1044" s="15">
        <v>0.121147</v>
      </c>
      <c r="K1044" s="15"/>
      <c r="AF1044" s="14"/>
      <c r="AG1044" s="14">
        <v>0.121147</v>
      </c>
      <c r="AH1044" s="14"/>
      <c r="AI1044" s="14"/>
      <c r="AJ1044" s="51"/>
      <c r="AK1044" s="19">
        <v>0.34652777777777777</v>
      </c>
    </row>
    <row r="1045" spans="1:37" x14ac:dyDescent="0.2">
      <c r="A1045" s="2">
        <v>100195</v>
      </c>
      <c r="B1045" s="2">
        <v>82940</v>
      </c>
      <c r="C1045" s="2">
        <v>79530</v>
      </c>
      <c r="D1045" t="s">
        <v>1015</v>
      </c>
      <c r="H1045" s="15">
        <v>0.54786999999999997</v>
      </c>
      <c r="K1045" s="15"/>
      <c r="AF1045" s="14"/>
      <c r="AG1045" s="14">
        <v>0.54786999999999997</v>
      </c>
      <c r="AH1045" s="14"/>
      <c r="AI1045" s="14"/>
      <c r="AJ1045" s="51"/>
      <c r="AK1045" s="22">
        <v>0.19444444444444445</v>
      </c>
    </row>
    <row r="1046" spans="1:37" x14ac:dyDescent="0.2">
      <c r="A1046" s="2">
        <v>100959</v>
      </c>
      <c r="B1046" s="2">
        <v>83377</v>
      </c>
      <c r="C1046" s="2">
        <v>450951</v>
      </c>
      <c r="D1046" t="s">
        <v>866</v>
      </c>
      <c r="H1046" s="15">
        <v>5.9858000000000001E-2</v>
      </c>
      <c r="K1046" s="15"/>
      <c r="AF1046" s="14"/>
      <c r="AG1046" s="14">
        <v>5.9858000000000001E-2</v>
      </c>
      <c r="AH1046" s="14"/>
      <c r="AI1046" s="14"/>
      <c r="AJ1046" s="51"/>
      <c r="AK1046" s="22">
        <v>0.43194444444444446</v>
      </c>
    </row>
    <row r="1047" spans="1:37" x14ac:dyDescent="0.2">
      <c r="A1047" s="2">
        <v>104851</v>
      </c>
      <c r="B1047" s="2">
        <v>83458</v>
      </c>
      <c r="C1047" s="2">
        <v>191322</v>
      </c>
      <c r="D1047" t="s">
        <v>935</v>
      </c>
      <c r="H1047" s="15">
        <v>0.27698</v>
      </c>
      <c r="K1047" s="15"/>
      <c r="AF1047" s="14"/>
      <c r="AG1047" s="14">
        <v>0.27698</v>
      </c>
      <c r="AH1047" s="14"/>
      <c r="AI1047" s="14"/>
      <c r="AJ1047" s="51"/>
      <c r="AK1047" s="19">
        <v>9.375E-2</v>
      </c>
    </row>
    <row r="1048" spans="1:37" x14ac:dyDescent="0.2">
      <c r="A1048" s="2">
        <v>109230</v>
      </c>
      <c r="B1048" s="2">
        <v>84038</v>
      </c>
      <c r="C1048" s="2">
        <v>448033</v>
      </c>
      <c r="D1048" t="s">
        <v>848</v>
      </c>
      <c r="H1048" s="15">
        <v>8.3721000000000004E-2</v>
      </c>
      <c r="K1048" s="15"/>
      <c r="AF1048" s="14"/>
      <c r="AG1048" s="14">
        <v>8.3721000000000004E-2</v>
      </c>
      <c r="AH1048" s="14"/>
      <c r="AI1048" s="14"/>
      <c r="AJ1048" s="51"/>
      <c r="AK1048" s="19">
        <v>0.17083333333333331</v>
      </c>
    </row>
    <row r="1049" spans="1:37" x14ac:dyDescent="0.2">
      <c r="A1049" s="2">
        <v>110954</v>
      </c>
      <c r="B1049" s="2">
        <v>87014</v>
      </c>
      <c r="C1049" s="2">
        <v>161346</v>
      </c>
      <c r="D1049" t="s">
        <v>868</v>
      </c>
      <c r="H1049" s="15">
        <v>0.25052099999999999</v>
      </c>
      <c r="K1049" s="15"/>
      <c r="AF1049" s="14"/>
      <c r="AG1049" s="14">
        <v>0.25052099999999999</v>
      </c>
      <c r="AH1049" s="14"/>
      <c r="AI1049" s="14"/>
      <c r="AJ1049" s="51"/>
      <c r="AK1049" s="22">
        <v>0.23055555555555554</v>
      </c>
    </row>
    <row r="1050" spans="1:37" x14ac:dyDescent="0.2">
      <c r="A1050" s="2">
        <v>112151</v>
      </c>
      <c r="B1050" s="2">
        <v>87024</v>
      </c>
      <c r="C1050" s="2">
        <v>171189</v>
      </c>
      <c r="D1050" t="s">
        <v>983</v>
      </c>
      <c r="H1050" s="15">
        <v>0.357184</v>
      </c>
      <c r="K1050" s="15"/>
      <c r="AF1050" s="14"/>
      <c r="AG1050" s="14">
        <v>0.357184</v>
      </c>
      <c r="AH1050" s="14"/>
      <c r="AI1050" s="14"/>
      <c r="AJ1050" s="51"/>
      <c r="AK1050" s="22">
        <v>4.3055555555555562E-2</v>
      </c>
    </row>
    <row r="1051" spans="1:37" x14ac:dyDescent="0.2">
      <c r="A1051" s="2">
        <v>112417</v>
      </c>
      <c r="B1051" s="2">
        <v>87349</v>
      </c>
      <c r="C1051" s="2">
        <v>139460</v>
      </c>
      <c r="D1051" t="s">
        <v>1035</v>
      </c>
      <c r="H1051" s="15">
        <v>0.29633799999999999</v>
      </c>
      <c r="K1051" s="15"/>
      <c r="AF1051" s="14"/>
      <c r="AG1051" s="14">
        <v>0.29633799999999999</v>
      </c>
      <c r="AH1051" s="14"/>
      <c r="AI1051" s="14"/>
      <c r="AJ1051" s="51"/>
      <c r="AK1051" s="19">
        <v>0.23194444444444443</v>
      </c>
    </row>
    <row r="1052" spans="1:37" x14ac:dyDescent="0.2">
      <c r="A1052" s="2">
        <v>114126</v>
      </c>
      <c r="B1052" s="2">
        <v>92899</v>
      </c>
      <c r="C1052" s="2">
        <v>669602</v>
      </c>
      <c r="D1052" t="s">
        <v>953</v>
      </c>
      <c r="H1052" s="15">
        <v>3.7558000000000001E-2</v>
      </c>
      <c r="K1052" s="15"/>
      <c r="AF1052" s="14"/>
      <c r="AG1052" s="14">
        <v>3.7558000000000001E-2</v>
      </c>
      <c r="AH1052" s="14"/>
      <c r="AI1052" s="14"/>
      <c r="AJ1052" s="51"/>
      <c r="AK1052" s="19">
        <v>6.9444444444444434E-2</v>
      </c>
    </row>
    <row r="1053" spans="1:37" x14ac:dyDescent="0.2">
      <c r="A1053" s="2">
        <v>115744</v>
      </c>
      <c r="B1053" s="2">
        <v>94046</v>
      </c>
      <c r="C1053" s="2">
        <v>289102</v>
      </c>
      <c r="D1053" t="s">
        <v>804</v>
      </c>
      <c r="H1053" s="15">
        <v>0.17391100000000001</v>
      </c>
      <c r="K1053" s="15"/>
      <c r="AE1053" s="1">
        <v>0.17697499999999999</v>
      </c>
      <c r="AF1053" s="14"/>
      <c r="AG1053" s="14">
        <v>0.17391100000000001</v>
      </c>
      <c r="AH1053" s="14"/>
      <c r="AI1053" s="14"/>
      <c r="AJ1053" s="51"/>
      <c r="AK1053" s="22">
        <v>6.458333333333334E-2</v>
      </c>
    </row>
    <row r="1054" spans="1:37" x14ac:dyDescent="0.2">
      <c r="A1054" s="2">
        <v>120338</v>
      </c>
      <c r="B1054" s="2">
        <v>95981</v>
      </c>
      <c r="C1054" s="2">
        <v>155266</v>
      </c>
      <c r="D1054" t="s">
        <v>795</v>
      </c>
      <c r="H1054" s="15">
        <v>0.24010600000000001</v>
      </c>
      <c r="K1054" s="15"/>
      <c r="AF1054" s="14"/>
      <c r="AG1054" s="14">
        <v>0.24010600000000001</v>
      </c>
      <c r="AH1054" s="14"/>
      <c r="AI1054" s="14"/>
      <c r="AJ1054" s="51"/>
      <c r="AK1054" s="19">
        <v>0.30833333333333335</v>
      </c>
    </row>
    <row r="1055" spans="1:37" x14ac:dyDescent="0.2">
      <c r="A1055" s="2">
        <v>125085</v>
      </c>
      <c r="B1055" s="2">
        <v>98542</v>
      </c>
      <c r="C1055" s="2">
        <v>284365</v>
      </c>
      <c r="D1055" t="s">
        <v>979</v>
      </c>
      <c r="H1055" s="15">
        <v>0.23280300000000001</v>
      </c>
      <c r="K1055" s="15"/>
      <c r="AF1055" s="14"/>
      <c r="AG1055" s="14">
        <v>0.23280300000000001</v>
      </c>
      <c r="AH1055" s="14"/>
      <c r="AI1055" s="14"/>
      <c r="AJ1055" s="51"/>
      <c r="AK1055" s="22">
        <v>1.6666666666666666E-2</v>
      </c>
    </row>
    <row r="1056" spans="1:37" x14ac:dyDescent="0.2">
      <c r="A1056" s="2">
        <v>128783</v>
      </c>
      <c r="B1056" s="2">
        <v>98570</v>
      </c>
      <c r="C1056" s="2">
        <v>210686</v>
      </c>
      <c r="D1056" t="s">
        <v>1069</v>
      </c>
      <c r="H1056" s="15">
        <v>0.21390899999999999</v>
      </c>
      <c r="K1056" s="15"/>
      <c r="AF1056" s="14"/>
      <c r="AG1056" s="14">
        <v>0.21390899999999999</v>
      </c>
      <c r="AH1056" s="14"/>
      <c r="AI1056" s="14"/>
      <c r="AJ1056" s="51"/>
      <c r="AK1056" s="22">
        <v>9.3055555555555558E-2</v>
      </c>
    </row>
    <row r="1057" spans="1:37" x14ac:dyDescent="0.2">
      <c r="A1057" s="2">
        <v>131042</v>
      </c>
      <c r="B1057" s="2">
        <v>100195</v>
      </c>
      <c r="C1057" s="2">
        <v>531260</v>
      </c>
      <c r="D1057" t="s">
        <v>1046</v>
      </c>
      <c r="H1057" s="15">
        <v>7.1768999999999999E-2</v>
      </c>
      <c r="K1057" s="15"/>
      <c r="AF1057" s="14"/>
      <c r="AG1057" s="14">
        <v>7.1768999999999999E-2</v>
      </c>
      <c r="AH1057" s="14"/>
      <c r="AI1057" s="14"/>
      <c r="AJ1057" s="51"/>
      <c r="AK1057" s="19">
        <v>8.4722222222222213E-2</v>
      </c>
    </row>
    <row r="1058" spans="1:37" x14ac:dyDescent="0.2">
      <c r="A1058" s="2">
        <v>135127</v>
      </c>
      <c r="B1058" s="2">
        <v>100959</v>
      </c>
      <c r="C1058" s="2">
        <v>625610</v>
      </c>
      <c r="D1058" t="s">
        <v>799</v>
      </c>
      <c r="H1058" s="15">
        <v>6.4711000000000005E-2</v>
      </c>
      <c r="K1058" s="15"/>
      <c r="AF1058" s="14"/>
      <c r="AG1058" s="14">
        <v>6.4711000000000005E-2</v>
      </c>
      <c r="AH1058" s="14"/>
      <c r="AI1058" s="14"/>
      <c r="AJ1058" s="51"/>
      <c r="AK1058" s="19">
        <v>5.0694444444444452E-2</v>
      </c>
    </row>
    <row r="1059" spans="1:37" x14ac:dyDescent="0.2">
      <c r="A1059" s="2">
        <v>138955</v>
      </c>
      <c r="B1059" s="2">
        <v>104851</v>
      </c>
      <c r="C1059" s="2">
        <v>414216</v>
      </c>
      <c r="D1059" t="s">
        <v>819</v>
      </c>
      <c r="H1059" s="15">
        <v>9.7415000000000002E-2</v>
      </c>
      <c r="K1059" s="15"/>
      <c r="AF1059" s="14"/>
      <c r="AG1059" s="14">
        <v>9.7415000000000002E-2</v>
      </c>
      <c r="AH1059" s="14"/>
      <c r="AI1059" s="14"/>
      <c r="AJ1059" s="51"/>
      <c r="AK1059" s="19">
        <v>0.1111111111111111</v>
      </c>
    </row>
    <row r="1060" spans="1:37" x14ac:dyDescent="0.2">
      <c r="A1060" s="2">
        <v>144189</v>
      </c>
      <c r="B1060" s="2">
        <v>109230</v>
      </c>
      <c r="C1060" s="2">
        <v>448435</v>
      </c>
      <c r="D1060" t="s">
        <v>929</v>
      </c>
      <c r="H1060" s="15">
        <v>7.8155000000000002E-2</v>
      </c>
      <c r="K1060" s="15"/>
      <c r="AF1060" s="14"/>
      <c r="AG1060" s="14">
        <v>7.8155000000000002E-2</v>
      </c>
      <c r="AH1060" s="14"/>
      <c r="AI1060" s="14"/>
      <c r="AJ1060" s="51"/>
      <c r="AK1060" s="19">
        <v>0.47152777777777777</v>
      </c>
    </row>
    <row r="1061" spans="1:37" x14ac:dyDescent="0.2">
      <c r="A1061" s="2">
        <v>145685</v>
      </c>
      <c r="B1061" s="2">
        <v>110954</v>
      </c>
      <c r="C1061" s="2">
        <v>61350</v>
      </c>
      <c r="D1061" t="s">
        <v>1182</v>
      </c>
      <c r="H1061" s="15">
        <v>0.93016699999999997</v>
      </c>
      <c r="K1061" s="15"/>
      <c r="AF1061" s="14"/>
      <c r="AG1061" s="14">
        <v>0.93016699999999997</v>
      </c>
      <c r="AH1061" s="14"/>
      <c r="AI1061" s="14"/>
      <c r="AJ1061" s="51"/>
      <c r="AK1061" s="22">
        <v>0.12569444444444444</v>
      </c>
    </row>
    <row r="1062" spans="1:37" x14ac:dyDescent="0.2">
      <c r="A1062" s="2">
        <v>148264</v>
      </c>
      <c r="B1062" s="2">
        <v>112151</v>
      </c>
      <c r="C1062" s="2">
        <v>102014</v>
      </c>
      <c r="D1062" t="s">
        <v>1115</v>
      </c>
      <c r="H1062" s="15">
        <v>0.36461100000000002</v>
      </c>
      <c r="K1062" s="15"/>
      <c r="AF1062" s="14"/>
      <c r="AG1062" s="14">
        <v>0.36461100000000002</v>
      </c>
      <c r="AH1062" s="14"/>
      <c r="AI1062" s="14"/>
      <c r="AJ1062" s="51"/>
      <c r="AK1062" s="22">
        <v>0.20486111111111113</v>
      </c>
    </row>
    <row r="1063" spans="1:37" x14ac:dyDescent="0.2">
      <c r="A1063" s="2">
        <v>148434</v>
      </c>
      <c r="B1063" s="2">
        <v>112417</v>
      </c>
      <c r="C1063" s="2">
        <v>168328</v>
      </c>
      <c r="D1063" t="s">
        <v>867</v>
      </c>
      <c r="H1063" s="15">
        <v>0.31137399999999998</v>
      </c>
      <c r="K1063" s="15"/>
      <c r="N1063" s="64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E1063" s="1">
        <v>0.13262499999999999</v>
      </c>
      <c r="AF1063" s="14"/>
      <c r="AG1063" s="14">
        <v>0.31137399999999998</v>
      </c>
      <c r="AH1063" s="14"/>
      <c r="AI1063" s="14"/>
      <c r="AJ1063" s="51"/>
      <c r="AK1063" s="19">
        <v>5.7638888888888885E-2</v>
      </c>
    </row>
    <row r="1064" spans="1:37" x14ac:dyDescent="0.2">
      <c r="A1064" s="2">
        <v>156510</v>
      </c>
      <c r="B1064" s="2">
        <v>114126</v>
      </c>
      <c r="C1064" s="2">
        <v>504707</v>
      </c>
      <c r="D1064" t="s">
        <v>853</v>
      </c>
      <c r="H1064" s="15">
        <v>9.4228999999999993E-2</v>
      </c>
      <c r="K1064" s="15"/>
      <c r="AF1064" s="14"/>
      <c r="AG1064" s="14">
        <v>9.4228999999999993E-2</v>
      </c>
      <c r="AH1064" s="14"/>
      <c r="AI1064" s="14"/>
      <c r="AJ1064" s="51"/>
      <c r="AK1064" s="19">
        <v>0.14305555555555557</v>
      </c>
    </row>
    <row r="1065" spans="1:37" x14ac:dyDescent="0.2">
      <c r="A1065" s="2">
        <v>158155</v>
      </c>
      <c r="B1065" s="2">
        <v>115744</v>
      </c>
      <c r="C1065" s="2">
        <v>102471</v>
      </c>
      <c r="D1065" t="s">
        <v>1024</v>
      </c>
      <c r="H1065" s="15">
        <v>0.54634899999999997</v>
      </c>
      <c r="K1065" s="15"/>
      <c r="AF1065" s="14"/>
      <c r="AG1065" s="14">
        <v>0.54634899999999997</v>
      </c>
      <c r="AH1065" s="14"/>
      <c r="AI1065" s="14"/>
      <c r="AJ1065" s="51"/>
      <c r="AK1065" s="19">
        <v>4.1666666666666664E-2</v>
      </c>
    </row>
    <row r="1066" spans="1:37" x14ac:dyDescent="0.2">
      <c r="A1066" s="2">
        <v>160348</v>
      </c>
      <c r="B1066" s="2">
        <v>120338</v>
      </c>
      <c r="C1066" s="2">
        <v>107196</v>
      </c>
      <c r="D1066" t="s">
        <v>1067</v>
      </c>
      <c r="H1066" s="15">
        <v>0.56619299999999995</v>
      </c>
      <c r="K1066" s="15"/>
      <c r="AF1066" s="14"/>
      <c r="AG1066" s="14">
        <v>0.56619299999999995</v>
      </c>
      <c r="AH1066" s="14"/>
      <c r="AI1066" s="14"/>
      <c r="AJ1066" s="51"/>
      <c r="AK1066" s="19">
        <v>0.12291666666666667</v>
      </c>
    </row>
    <row r="1067" spans="1:37" x14ac:dyDescent="0.2">
      <c r="A1067" s="2">
        <v>162240</v>
      </c>
      <c r="B1067" s="2">
        <v>125085</v>
      </c>
      <c r="C1067" s="2">
        <v>76125</v>
      </c>
      <c r="D1067" t="s">
        <v>985</v>
      </c>
      <c r="H1067" s="15">
        <v>0.58323100000000005</v>
      </c>
      <c r="K1067" s="15"/>
      <c r="AF1067" s="14"/>
      <c r="AG1067" s="14">
        <v>0.58323100000000005</v>
      </c>
      <c r="AH1067" s="14"/>
      <c r="AI1067" s="14"/>
      <c r="AJ1067" s="51"/>
      <c r="AK1067" s="22">
        <v>0.24374999999999999</v>
      </c>
    </row>
    <row r="1068" spans="1:37" x14ac:dyDescent="0.2">
      <c r="A1068" s="2">
        <v>162630</v>
      </c>
      <c r="B1068" s="2">
        <v>210686</v>
      </c>
      <c r="C1068" s="2">
        <v>643051</v>
      </c>
      <c r="D1068" t="s">
        <v>595</v>
      </c>
      <c r="H1068" s="15">
        <v>8.9998999999999996E-2</v>
      </c>
      <c r="K1068" s="15"/>
      <c r="AF1068" s="14"/>
      <c r="AG1068" s="14">
        <v>8.9998999999999996E-2</v>
      </c>
      <c r="AH1068" s="14"/>
      <c r="AI1068" s="14"/>
      <c r="AJ1068" s="51"/>
      <c r="AK1068" s="19">
        <v>5.1388888888888894E-2</v>
      </c>
    </row>
    <row r="1069" spans="1:37" x14ac:dyDescent="0.2">
      <c r="A1069" s="2">
        <v>165077</v>
      </c>
      <c r="B1069" s="2">
        <v>131042</v>
      </c>
      <c r="C1069" s="2">
        <v>218560</v>
      </c>
      <c r="D1069" t="s">
        <v>908</v>
      </c>
      <c r="H1069" s="15">
        <v>0.20650399999999999</v>
      </c>
      <c r="K1069" s="15"/>
      <c r="N1069" s="64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E1069" s="1">
        <v>0.149338</v>
      </c>
      <c r="AF1069" s="14"/>
      <c r="AG1069" s="14">
        <v>0.20650399999999999</v>
      </c>
      <c r="AH1069" s="14"/>
      <c r="AI1069" s="14"/>
      <c r="AJ1069" s="51"/>
      <c r="AK1069" s="19">
        <v>0.22708333333333333</v>
      </c>
    </row>
    <row r="1070" spans="1:37" x14ac:dyDescent="0.2">
      <c r="A1070" s="2">
        <v>165117</v>
      </c>
      <c r="B1070" s="2">
        <v>135127</v>
      </c>
      <c r="C1070" s="2">
        <v>235799</v>
      </c>
      <c r="D1070" t="s">
        <v>1213</v>
      </c>
      <c r="H1070" s="2">
        <v>0.204351</v>
      </c>
      <c r="AF1070" s="14"/>
      <c r="AG1070" s="14">
        <v>0.204351</v>
      </c>
      <c r="AH1070" s="14"/>
      <c r="AI1070" s="14"/>
      <c r="AJ1070" s="51"/>
      <c r="AK1070" s="19">
        <v>0.26458333333333334</v>
      </c>
    </row>
    <row r="1071" spans="1:37" x14ac:dyDescent="0.2">
      <c r="A1071" s="2">
        <v>165214</v>
      </c>
      <c r="B1071" s="2">
        <v>138955</v>
      </c>
      <c r="C1071" s="2">
        <v>185779</v>
      </c>
      <c r="D1071" t="s">
        <v>1032</v>
      </c>
      <c r="H1071" s="15">
        <v>0.26993299999999998</v>
      </c>
      <c r="K1071" s="15"/>
      <c r="AF1071" s="14"/>
      <c r="AG1071" s="14">
        <v>0.26993299999999998</v>
      </c>
      <c r="AH1071" s="14"/>
      <c r="AI1071" s="14"/>
      <c r="AJ1071" s="51"/>
      <c r="AK1071" s="19">
        <v>6.7361111111111108E-2</v>
      </c>
    </row>
    <row r="1072" spans="1:37" x14ac:dyDescent="0.2">
      <c r="A1072" s="2">
        <v>175073</v>
      </c>
      <c r="B1072" s="2">
        <v>144189</v>
      </c>
      <c r="C1072" s="2">
        <v>592763</v>
      </c>
      <c r="D1072" t="s">
        <v>806</v>
      </c>
      <c r="H1072" s="15">
        <v>6.0814E-2</v>
      </c>
      <c r="K1072" s="15"/>
      <c r="AF1072" s="14"/>
      <c r="AG1072" s="14">
        <v>6.0814E-2</v>
      </c>
      <c r="AH1072" s="14"/>
      <c r="AI1072" s="14"/>
      <c r="AJ1072" s="51"/>
      <c r="AK1072" s="19">
        <v>5.6250000000000001E-2</v>
      </c>
    </row>
    <row r="1073" spans="1:37" x14ac:dyDescent="0.2">
      <c r="A1073" s="2">
        <v>179492</v>
      </c>
      <c r="B1073" s="2">
        <v>145685</v>
      </c>
      <c r="C1073" s="2">
        <v>300580</v>
      </c>
      <c r="D1073" t="s">
        <v>990</v>
      </c>
      <c r="H1073" s="15">
        <v>0.13455700000000001</v>
      </c>
      <c r="K1073" s="15"/>
      <c r="AF1073" s="14"/>
      <c r="AG1073" s="14">
        <v>0.13455700000000001</v>
      </c>
      <c r="AH1073" s="14"/>
      <c r="AI1073" s="14"/>
      <c r="AJ1073" s="51"/>
      <c r="AK1073" s="22">
        <v>0.1125</v>
      </c>
    </row>
    <row r="1074" spans="1:37" x14ac:dyDescent="0.2">
      <c r="A1074" s="2">
        <v>180116</v>
      </c>
      <c r="B1074" s="2">
        <v>148264</v>
      </c>
      <c r="C1074" s="2">
        <v>441256</v>
      </c>
      <c r="D1074" t="s">
        <v>855</v>
      </c>
      <c r="H1074" s="15">
        <v>9.5690999999999998E-2</v>
      </c>
      <c r="K1074" s="15"/>
      <c r="AF1074" s="14"/>
      <c r="AG1074" s="14">
        <v>9.5690999999999998E-2</v>
      </c>
      <c r="AH1074" s="14"/>
      <c r="AI1074" s="14"/>
      <c r="AJ1074" s="51"/>
      <c r="AK1074" s="19">
        <v>8.4722222222222213E-2</v>
      </c>
    </row>
    <row r="1075" spans="1:37" s="3" customFormat="1" x14ac:dyDescent="0.2">
      <c r="A1075" s="4">
        <v>180699</v>
      </c>
      <c r="B1075" s="4" t="s">
        <v>773</v>
      </c>
      <c r="C1075" s="4">
        <v>330274</v>
      </c>
      <c r="D1075" s="3" t="s">
        <v>1477</v>
      </c>
      <c r="G1075" s="4"/>
      <c r="H1075" s="16"/>
      <c r="I1075" s="16"/>
      <c r="J1075" s="16"/>
      <c r="K1075" s="16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>
        <v>0.108872</v>
      </c>
      <c r="AD1075" s="4"/>
      <c r="AE1075" s="9"/>
      <c r="AF1075" s="46"/>
      <c r="AG1075" s="46"/>
      <c r="AH1075" s="46"/>
      <c r="AI1075" s="46"/>
      <c r="AJ1075" s="52"/>
      <c r="AK1075" s="23"/>
    </row>
    <row r="1076" spans="1:37" x14ac:dyDescent="0.2">
      <c r="A1076" s="2">
        <v>183568</v>
      </c>
      <c r="B1076" s="2">
        <v>148434</v>
      </c>
      <c r="C1076" s="2">
        <v>754802</v>
      </c>
      <c r="D1076" t="s">
        <v>815</v>
      </c>
      <c r="H1076" s="15">
        <v>5.4674E-2</v>
      </c>
      <c r="K1076" s="15"/>
      <c r="AF1076" s="14"/>
      <c r="AG1076" s="14">
        <v>5.4670999999999997E-2</v>
      </c>
      <c r="AH1076" s="14"/>
      <c r="AI1076" s="14"/>
      <c r="AJ1076" s="51"/>
      <c r="AK1076" s="19">
        <v>9.4444444444444442E-2</v>
      </c>
    </row>
    <row r="1077" spans="1:37" x14ac:dyDescent="0.2">
      <c r="A1077" s="2">
        <v>185850</v>
      </c>
      <c r="B1077" s="2">
        <v>156510</v>
      </c>
      <c r="C1077" s="2">
        <v>74957</v>
      </c>
      <c r="D1077" t="s">
        <v>824</v>
      </c>
      <c r="H1077" s="15">
        <v>0.60908600000000002</v>
      </c>
      <c r="K1077" s="15"/>
      <c r="AF1077" s="14"/>
      <c r="AG1077" s="14">
        <v>0.60908600000000002</v>
      </c>
      <c r="AH1077" s="14"/>
      <c r="AI1077" s="14"/>
      <c r="AJ1077" s="51"/>
      <c r="AK1077" s="19">
        <v>0.31597222222222221</v>
      </c>
    </row>
    <row r="1078" spans="1:37" x14ac:dyDescent="0.2">
      <c r="A1078" s="2">
        <v>189602</v>
      </c>
      <c r="B1078" s="2">
        <v>158155</v>
      </c>
      <c r="C1078" s="2">
        <v>39283</v>
      </c>
      <c r="D1078" t="s">
        <v>784</v>
      </c>
      <c r="H1078" s="15">
        <v>1.0269999999999999</v>
      </c>
      <c r="K1078" s="15"/>
      <c r="AF1078" s="14"/>
      <c r="AG1078" s="14">
        <v>1.0269999999999999</v>
      </c>
      <c r="AH1078" s="14"/>
      <c r="AI1078" s="14"/>
      <c r="AJ1078" s="51"/>
      <c r="AK1078" s="22">
        <v>0.56805555555555554</v>
      </c>
    </row>
    <row r="1079" spans="1:37" x14ac:dyDescent="0.2">
      <c r="A1079" s="2">
        <v>193626</v>
      </c>
      <c r="B1079" s="2">
        <v>160348</v>
      </c>
      <c r="C1079" s="2">
        <v>315288</v>
      </c>
      <c r="D1079" t="s">
        <v>976</v>
      </c>
      <c r="H1079" s="15">
        <v>0.10598</v>
      </c>
      <c r="K1079" s="15"/>
      <c r="AF1079" s="14"/>
      <c r="AG1079" s="14">
        <v>0.10598</v>
      </c>
      <c r="AH1079" s="14"/>
      <c r="AI1079" s="14"/>
      <c r="AJ1079" s="51"/>
      <c r="AK1079" s="22">
        <v>0.1673611111111111</v>
      </c>
    </row>
    <row r="1080" spans="1:37" x14ac:dyDescent="0.2">
      <c r="A1080" s="2">
        <v>194991</v>
      </c>
      <c r="B1080" s="2">
        <v>162240</v>
      </c>
      <c r="C1080" s="2">
        <v>836526</v>
      </c>
      <c r="D1080" t="s">
        <v>816</v>
      </c>
      <c r="H1080" s="15">
        <v>5.1083999999999997E-2</v>
      </c>
      <c r="K1080" s="15"/>
      <c r="AF1080" s="14"/>
      <c r="AG1080" s="14">
        <v>5.1083999999999997E-2</v>
      </c>
      <c r="AH1080" s="14"/>
      <c r="AI1080" s="14"/>
      <c r="AJ1080" s="51"/>
      <c r="AK1080" s="22">
        <v>5.4166666666666669E-2</v>
      </c>
    </row>
    <row r="1081" spans="1:37" x14ac:dyDescent="0.2">
      <c r="A1081" s="2">
        <v>196044</v>
      </c>
      <c r="B1081" s="2">
        <v>29678</v>
      </c>
      <c r="C1081" s="2">
        <v>502782</v>
      </c>
      <c r="D1081" t="s">
        <v>800</v>
      </c>
      <c r="H1081" s="15">
        <v>8.6777999999999994E-2</v>
      </c>
      <c r="K1081" s="15"/>
      <c r="AF1081" s="14"/>
      <c r="AG1081" s="14">
        <v>8.6777999999999994E-2</v>
      </c>
      <c r="AH1081" s="14"/>
      <c r="AI1081" s="14"/>
      <c r="AJ1081" s="51"/>
      <c r="AK1081" s="22">
        <v>0.11666666666666665</v>
      </c>
    </row>
    <row r="1082" spans="1:37" x14ac:dyDescent="0.2">
      <c r="A1082" s="2">
        <v>198261</v>
      </c>
      <c r="B1082" s="2">
        <v>165077</v>
      </c>
      <c r="C1082" s="2">
        <v>473156</v>
      </c>
      <c r="D1082" t="s">
        <v>839</v>
      </c>
      <c r="H1082" s="15">
        <v>0.10972999999999999</v>
      </c>
      <c r="K1082" s="15"/>
      <c r="N1082" s="64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E1082" s="1">
        <v>0.17116999999999999</v>
      </c>
      <c r="AF1082" s="14"/>
      <c r="AG1082" s="14">
        <v>0.10972999999999999</v>
      </c>
      <c r="AH1082" s="14"/>
      <c r="AI1082" s="14"/>
      <c r="AJ1082" s="51"/>
      <c r="AK1082" s="22">
        <v>4.8611111111111112E-2</v>
      </c>
    </row>
    <row r="1083" spans="1:37" x14ac:dyDescent="0.2">
      <c r="A1083" s="2">
        <v>206518</v>
      </c>
      <c r="B1083" s="2">
        <v>165117</v>
      </c>
      <c r="C1083" s="2">
        <v>402841</v>
      </c>
      <c r="D1083" t="s">
        <v>863</v>
      </c>
      <c r="H1083" s="15">
        <v>0.13608400000000001</v>
      </c>
      <c r="K1083" s="15"/>
      <c r="AF1083" s="14"/>
      <c r="AG1083" s="14">
        <v>0.13608400000000001</v>
      </c>
      <c r="AH1083" s="14"/>
      <c r="AI1083" s="14"/>
      <c r="AJ1083" s="51"/>
      <c r="AK1083" s="22">
        <v>3.3333333333333333E-2</v>
      </c>
    </row>
    <row r="1084" spans="1:37" x14ac:dyDescent="0.2">
      <c r="A1084" s="2">
        <v>215398</v>
      </c>
      <c r="B1084" s="2">
        <v>165214</v>
      </c>
      <c r="C1084" s="2">
        <v>745454</v>
      </c>
      <c r="D1084" t="s">
        <v>814</v>
      </c>
      <c r="H1084" s="15">
        <v>6.0047999999999997E-2</v>
      </c>
      <c r="K1084" s="15"/>
      <c r="AF1084" s="14"/>
      <c r="AG1084" s="14">
        <v>6.0047999999999997E-2</v>
      </c>
      <c r="AH1084" s="14"/>
      <c r="AI1084" s="14"/>
      <c r="AJ1084" s="51"/>
      <c r="AK1084" s="22">
        <v>6.25E-2</v>
      </c>
    </row>
    <row r="1085" spans="1:37" x14ac:dyDescent="0.2">
      <c r="A1085" s="2">
        <v>220383</v>
      </c>
      <c r="B1085" s="2">
        <v>175073</v>
      </c>
      <c r="C1085" s="2">
        <v>5868</v>
      </c>
      <c r="D1085" t="s">
        <v>1049</v>
      </c>
      <c r="H1085" s="15">
        <v>7.9880000000000004</v>
      </c>
      <c r="K1085" s="15"/>
      <c r="AF1085" s="14"/>
      <c r="AG1085" s="14">
        <v>7.9880000000000004</v>
      </c>
      <c r="AH1085" s="14"/>
      <c r="AI1085" s="14"/>
      <c r="AJ1085" s="51"/>
      <c r="AK1085" s="19">
        <v>0.14722222222222223</v>
      </c>
    </row>
    <row r="1086" spans="1:37" x14ac:dyDescent="0.2">
      <c r="A1086" s="2">
        <v>233390</v>
      </c>
      <c r="B1086" s="2">
        <v>179492</v>
      </c>
      <c r="C1086" s="2">
        <v>196245</v>
      </c>
      <c r="D1086" t="s">
        <v>1111</v>
      </c>
      <c r="H1086" s="15">
        <v>0.29372900000000002</v>
      </c>
      <c r="K1086" s="15"/>
      <c r="AF1086" s="14"/>
      <c r="AG1086" s="14">
        <v>0.29372900000000002</v>
      </c>
      <c r="AH1086" s="14"/>
      <c r="AI1086" s="14"/>
      <c r="AJ1086" s="51"/>
      <c r="AK1086" s="22">
        <v>5.7638888888888885E-2</v>
      </c>
    </row>
    <row r="1087" spans="1:37" x14ac:dyDescent="0.2">
      <c r="A1087" s="2">
        <v>239872</v>
      </c>
      <c r="B1087" s="2">
        <v>180116</v>
      </c>
      <c r="C1087" s="2">
        <v>290877</v>
      </c>
      <c r="D1087" t="s">
        <v>884</v>
      </c>
      <c r="H1087" s="15">
        <v>0.11515400000000001</v>
      </c>
      <c r="K1087" s="15"/>
      <c r="AF1087" s="14"/>
      <c r="AG1087" s="14">
        <v>0.11515400000000001</v>
      </c>
      <c r="AH1087" s="14"/>
      <c r="AI1087" s="14"/>
      <c r="AJ1087" s="51"/>
      <c r="AK1087" s="22">
        <v>0.13263888888888889</v>
      </c>
    </row>
    <row r="1088" spans="1:37" x14ac:dyDescent="0.2">
      <c r="A1088" s="2">
        <v>249693</v>
      </c>
      <c r="B1088" s="2">
        <v>183568</v>
      </c>
      <c r="C1088" s="2">
        <v>196407</v>
      </c>
      <c r="D1088" t="s">
        <v>891</v>
      </c>
      <c r="H1088" s="15">
        <v>0.36059000000000002</v>
      </c>
      <c r="K1088" s="15"/>
      <c r="N1088" s="64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E1088" s="1">
        <v>0.628861</v>
      </c>
      <c r="AF1088" s="14"/>
      <c r="AG1088" s="14">
        <v>0.36059000000000002</v>
      </c>
      <c r="AH1088" s="14"/>
      <c r="AI1088" s="14"/>
      <c r="AJ1088" s="51"/>
      <c r="AK1088" s="22">
        <v>7.6388888888888886E-3</v>
      </c>
    </row>
    <row r="1089" spans="1:37" x14ac:dyDescent="0.2">
      <c r="A1089" s="2">
        <v>251404</v>
      </c>
      <c r="B1089" s="2">
        <v>185850</v>
      </c>
      <c r="C1089" s="2">
        <v>237449</v>
      </c>
      <c r="D1089" t="s">
        <v>1127</v>
      </c>
      <c r="H1089" s="15">
        <v>0.149258</v>
      </c>
      <c r="K1089" s="15"/>
      <c r="AF1089" s="14"/>
      <c r="AG1089" s="14">
        <v>0.149258</v>
      </c>
      <c r="AH1089" s="14"/>
      <c r="AI1089" s="14"/>
      <c r="AJ1089" s="51"/>
      <c r="AK1089" s="22">
        <v>0.11944444444444445</v>
      </c>
    </row>
    <row r="1090" spans="1:37" x14ac:dyDescent="0.2">
      <c r="A1090" s="2">
        <v>266787</v>
      </c>
      <c r="B1090" s="2">
        <v>189602</v>
      </c>
      <c r="C1090" s="2">
        <v>721521</v>
      </c>
      <c r="D1090" t="s">
        <v>910</v>
      </c>
      <c r="H1090" s="15">
        <v>5.7058999999999999E-2</v>
      </c>
      <c r="K1090" s="15"/>
      <c r="N1090" s="64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E1090" s="1">
        <v>7.0493E-2</v>
      </c>
      <c r="AF1090" s="14"/>
      <c r="AG1090" s="14">
        <v>5.7058999999999999E-2</v>
      </c>
      <c r="AH1090" s="14"/>
      <c r="AI1090" s="14"/>
      <c r="AJ1090" s="51"/>
      <c r="AK1090" s="22">
        <v>5.9722222222222225E-2</v>
      </c>
    </row>
    <row r="1091" spans="1:37" x14ac:dyDescent="0.2">
      <c r="A1091" s="2">
        <v>275806</v>
      </c>
      <c r="B1091" s="2">
        <v>193626</v>
      </c>
      <c r="C1091" s="2">
        <v>31718</v>
      </c>
      <c r="D1091" t="s">
        <v>1133</v>
      </c>
      <c r="H1091" s="15">
        <v>1.865</v>
      </c>
      <c r="K1091" s="15"/>
      <c r="AF1091" s="14"/>
      <c r="AG1091" s="14">
        <v>1.865</v>
      </c>
      <c r="AH1091" s="14"/>
      <c r="AI1091" s="14"/>
      <c r="AJ1091" s="51"/>
      <c r="AK1091" s="19">
        <v>0.12222222222222223</v>
      </c>
    </row>
    <row r="1092" spans="1:37" x14ac:dyDescent="0.2">
      <c r="A1092" s="2">
        <v>276728</v>
      </c>
      <c r="B1092" s="2">
        <v>194991</v>
      </c>
      <c r="C1092" s="2">
        <v>229666</v>
      </c>
      <c r="D1092" t="s">
        <v>791</v>
      </c>
      <c r="H1092" s="15">
        <v>0.221168</v>
      </c>
      <c r="K1092" s="15"/>
      <c r="AF1092" s="14"/>
      <c r="AG1092" s="14">
        <v>0.221168</v>
      </c>
      <c r="AH1092" s="14"/>
      <c r="AI1092" s="14"/>
      <c r="AJ1092" s="51"/>
      <c r="AK1092" s="22">
        <v>0.15</v>
      </c>
    </row>
    <row r="1093" spans="1:37" x14ac:dyDescent="0.2">
      <c r="A1093" s="2">
        <v>287152</v>
      </c>
      <c r="B1093" s="2">
        <v>196044</v>
      </c>
      <c r="C1093" s="2">
        <v>1541548</v>
      </c>
      <c r="D1093" t="s">
        <v>894</v>
      </c>
      <c r="H1093" s="15">
        <v>2.3637999999999999E-2</v>
      </c>
      <c r="K1093" s="15"/>
      <c r="AF1093" s="14"/>
      <c r="AG1093" s="14">
        <v>2.3637999999999999E-2</v>
      </c>
      <c r="AH1093" s="14"/>
      <c r="AI1093" s="14"/>
      <c r="AJ1093" s="51"/>
      <c r="AK1093" s="22">
        <v>6.3194444444444442E-2</v>
      </c>
    </row>
    <row r="1094" spans="1:37" x14ac:dyDescent="0.2">
      <c r="A1094" s="2">
        <v>287556</v>
      </c>
      <c r="B1094" s="2">
        <v>198261</v>
      </c>
      <c r="C1094" s="2">
        <v>111916</v>
      </c>
      <c r="D1094" t="s">
        <v>1110</v>
      </c>
      <c r="H1094" s="15">
        <v>0.36848599999999998</v>
      </c>
      <c r="K1094" s="15"/>
      <c r="AF1094" s="14"/>
      <c r="AG1094" s="14">
        <v>0.36848599999999998</v>
      </c>
      <c r="AH1094" s="14"/>
      <c r="AI1094" s="14"/>
      <c r="AJ1094" s="51"/>
      <c r="AK1094" s="22">
        <v>6.7361111111111108E-2</v>
      </c>
    </row>
    <row r="1095" spans="1:37" x14ac:dyDescent="0.2">
      <c r="A1095" s="2">
        <v>281091</v>
      </c>
      <c r="B1095" s="2">
        <v>206518</v>
      </c>
      <c r="C1095" s="2">
        <v>396061</v>
      </c>
      <c r="D1095" t="s">
        <v>994</v>
      </c>
      <c r="H1095" s="15">
        <v>0.14083300000000001</v>
      </c>
      <c r="K1095" s="15"/>
      <c r="AF1095" s="14"/>
      <c r="AG1095" s="14">
        <v>0.14083300000000001</v>
      </c>
      <c r="AH1095" s="14"/>
      <c r="AI1095" s="14"/>
      <c r="AJ1095" s="51"/>
      <c r="AK1095" s="22">
        <v>2.9861111111111113E-2</v>
      </c>
    </row>
    <row r="1096" spans="1:37" x14ac:dyDescent="0.2">
      <c r="A1096" s="2">
        <v>288094</v>
      </c>
      <c r="B1096" s="2">
        <v>215398</v>
      </c>
      <c r="C1096" s="2">
        <v>290348</v>
      </c>
      <c r="D1096" t="s">
        <v>978</v>
      </c>
      <c r="H1096" s="15">
        <v>0.17930199999999999</v>
      </c>
      <c r="K1096" s="15"/>
      <c r="AF1096" s="14"/>
      <c r="AG1096" s="14">
        <v>0.17930199999999999</v>
      </c>
      <c r="AH1096" s="14"/>
      <c r="AI1096" s="14"/>
      <c r="AJ1096" s="51"/>
      <c r="AK1096" s="22">
        <v>4.8611111111111112E-2</v>
      </c>
    </row>
    <row r="1097" spans="1:37" x14ac:dyDescent="0.2">
      <c r="A1097" s="2">
        <v>299812</v>
      </c>
      <c r="B1097" s="2">
        <v>220383</v>
      </c>
      <c r="C1097" s="2">
        <v>1073909</v>
      </c>
      <c r="D1097" t="s">
        <v>1000</v>
      </c>
      <c r="H1097" s="15">
        <v>4.7247999999999998E-2</v>
      </c>
      <c r="K1097" s="15"/>
      <c r="AF1097" s="14"/>
      <c r="AG1097" s="14">
        <v>4.7247999999999998E-2</v>
      </c>
      <c r="AH1097" s="14"/>
      <c r="AI1097" s="14"/>
      <c r="AJ1097" s="51"/>
      <c r="AK1097" s="22">
        <v>6.805555555555555E-2</v>
      </c>
    </row>
    <row r="1098" spans="1:37" x14ac:dyDescent="0.2">
      <c r="A1098" s="2">
        <v>302947</v>
      </c>
      <c r="B1098" s="2">
        <v>233390</v>
      </c>
      <c r="C1098" s="2">
        <v>1519075</v>
      </c>
      <c r="D1098" t="s">
        <v>876</v>
      </c>
      <c r="H1098" s="15">
        <v>1.7176E-2</v>
      </c>
      <c r="K1098" s="15"/>
      <c r="AF1098" s="14"/>
      <c r="AG1098" s="14">
        <v>1.7176E-2</v>
      </c>
      <c r="AH1098" s="14"/>
      <c r="AI1098" s="14"/>
      <c r="AJ1098" s="51"/>
      <c r="AK1098" s="22">
        <v>0.15833333333333333</v>
      </c>
    </row>
    <row r="1099" spans="1:37" x14ac:dyDescent="0.2">
      <c r="A1099" s="2">
        <v>310908</v>
      </c>
      <c r="B1099" s="2">
        <v>239872</v>
      </c>
      <c r="C1099" s="2">
        <v>1110206</v>
      </c>
      <c r="D1099" t="s">
        <v>975</v>
      </c>
      <c r="H1099" s="15">
        <v>4.1696999999999998E-2</v>
      </c>
      <c r="K1099" s="15"/>
      <c r="AF1099" s="14"/>
      <c r="AG1099" s="14">
        <v>4.1696999999999998E-2</v>
      </c>
      <c r="AH1099" s="14"/>
      <c r="AI1099" s="14"/>
      <c r="AJ1099" s="51"/>
      <c r="AK1099" s="22">
        <v>5.4166666666666669E-2</v>
      </c>
    </row>
    <row r="1100" spans="1:37" x14ac:dyDescent="0.2">
      <c r="A1100" s="2">
        <v>311388</v>
      </c>
      <c r="B1100" s="2">
        <v>249693</v>
      </c>
      <c r="C1100" s="2">
        <v>1019461</v>
      </c>
      <c r="D1100" t="s">
        <v>854</v>
      </c>
      <c r="H1100" s="15">
        <v>3.8109999999999998E-2</v>
      </c>
      <c r="K1100" s="15"/>
      <c r="AF1100" s="14"/>
      <c r="AG1100" s="14">
        <v>3.8109999999999998E-2</v>
      </c>
      <c r="AH1100" s="14"/>
      <c r="AI1100" s="14"/>
      <c r="AJ1100" s="51"/>
      <c r="AK1100" s="22">
        <v>6.8749999999999992E-2</v>
      </c>
    </row>
    <row r="1101" spans="1:37" x14ac:dyDescent="0.2">
      <c r="A1101" s="2">
        <v>316010</v>
      </c>
      <c r="B1101" s="2">
        <v>251404</v>
      </c>
      <c r="C1101" s="2">
        <v>106276</v>
      </c>
      <c r="D1101" t="s">
        <v>1197</v>
      </c>
      <c r="H1101" s="15">
        <v>0.42126599999999997</v>
      </c>
      <c r="K1101" s="15"/>
      <c r="AF1101" s="14"/>
      <c r="AG1101" s="14">
        <v>0.42126599999999997</v>
      </c>
      <c r="AH1101" s="14"/>
      <c r="AI1101" s="14"/>
      <c r="AJ1101" s="51"/>
      <c r="AK1101" s="22">
        <v>8.1250000000000003E-2</v>
      </c>
    </row>
    <row r="1102" spans="1:37" x14ac:dyDescent="0.2">
      <c r="A1102" s="2">
        <v>322298</v>
      </c>
      <c r="B1102" s="2">
        <v>266787</v>
      </c>
      <c r="C1102" s="2">
        <v>217314</v>
      </c>
      <c r="D1102" t="s">
        <v>952</v>
      </c>
      <c r="H1102" s="15">
        <v>0.273484</v>
      </c>
      <c r="K1102" s="15"/>
      <c r="AF1102" s="14"/>
      <c r="AG1102" s="14">
        <v>0.273484</v>
      </c>
      <c r="AH1102" s="14"/>
      <c r="AI1102" s="14"/>
      <c r="AJ1102" s="51"/>
      <c r="AK1102" s="22">
        <v>8.5416666666666655E-2</v>
      </c>
    </row>
    <row r="1103" spans="1:37" x14ac:dyDescent="0.2">
      <c r="A1103" s="2">
        <v>323767</v>
      </c>
      <c r="B1103" s="2">
        <v>275806</v>
      </c>
      <c r="C1103" s="2">
        <v>1317153</v>
      </c>
      <c r="D1103" t="s">
        <v>958</v>
      </c>
      <c r="H1103" s="15">
        <v>1.5440000000000001E-2</v>
      </c>
      <c r="K1103" s="15"/>
      <c r="AF1103" s="14"/>
      <c r="AG1103" s="14">
        <v>1.5440000000000001E-2</v>
      </c>
      <c r="AH1103" s="14"/>
      <c r="AI1103" s="14"/>
      <c r="AJ1103" s="51"/>
      <c r="AK1103" s="22">
        <v>0.47638888888888892</v>
      </c>
    </row>
    <row r="1104" spans="1:37" x14ac:dyDescent="0.2">
      <c r="A1104" s="2">
        <v>323843</v>
      </c>
      <c r="B1104" s="2">
        <v>276728</v>
      </c>
      <c r="C1104" s="2">
        <v>534793</v>
      </c>
      <c r="D1104" t="s">
        <v>850</v>
      </c>
      <c r="H1104" s="15">
        <v>9.9955000000000002E-2</v>
      </c>
      <c r="K1104" s="15"/>
      <c r="AF1104" s="14"/>
      <c r="AG1104" s="14">
        <v>9.9955000000000002E-2</v>
      </c>
      <c r="AH1104" s="14"/>
      <c r="AI1104" s="14"/>
      <c r="AJ1104" s="51"/>
      <c r="AK1104" s="22">
        <v>5.5555555555555552E-2</v>
      </c>
    </row>
    <row r="1105" spans="1:37" x14ac:dyDescent="0.2">
      <c r="A1105" s="2">
        <v>336588</v>
      </c>
      <c r="B1105" s="2">
        <v>287152</v>
      </c>
      <c r="C1105" s="2">
        <v>495267</v>
      </c>
      <c r="D1105" t="s">
        <v>1068</v>
      </c>
      <c r="H1105" s="14">
        <v>8.1984000000000001E-2</v>
      </c>
      <c r="K1105" s="15"/>
      <c r="AF1105" s="14"/>
      <c r="AG1105" s="14">
        <v>8.1984000000000001E-2</v>
      </c>
      <c r="AH1105" s="14"/>
      <c r="AI1105" s="14"/>
      <c r="AJ1105" s="51"/>
      <c r="AK1105" s="22">
        <v>6.9444444444444434E-2</v>
      </c>
    </row>
    <row r="1106" spans="1:37" x14ac:dyDescent="0.2">
      <c r="A1106" s="2">
        <v>338642</v>
      </c>
      <c r="B1106" s="2">
        <v>287556</v>
      </c>
      <c r="C1106" s="2">
        <v>569527</v>
      </c>
      <c r="D1106" t="s">
        <v>1134</v>
      </c>
      <c r="H1106" s="14">
        <v>5.8404999999999999E-2</v>
      </c>
      <c r="I1106" s="14"/>
      <c r="J1106" s="46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E1106" s="14"/>
      <c r="AF1106" s="14"/>
      <c r="AG1106" s="14">
        <v>5.8404999999999999E-2</v>
      </c>
      <c r="AH1106" s="14"/>
      <c r="AI1106" s="14"/>
      <c r="AJ1106" s="51"/>
      <c r="AK1106" s="22">
        <v>7.4305555555555555E-2</v>
      </c>
    </row>
    <row r="1107" spans="1:37" x14ac:dyDescent="0.2">
      <c r="A1107" s="2">
        <v>343524</v>
      </c>
      <c r="B1107" s="2">
        <v>281091</v>
      </c>
      <c r="C1107" s="2">
        <v>554149</v>
      </c>
      <c r="D1107" t="s">
        <v>1040</v>
      </c>
      <c r="H1107" s="15">
        <v>6.6655000000000006E-2</v>
      </c>
      <c r="K1107" s="15"/>
      <c r="AF1107" s="14"/>
      <c r="AG1107" s="14">
        <v>6.6655000000000006E-2</v>
      </c>
      <c r="AH1107" s="14"/>
      <c r="AI1107" s="14"/>
      <c r="AJ1107" s="51"/>
      <c r="AK1107" s="19">
        <v>5.4166666666666669E-2</v>
      </c>
    </row>
    <row r="1108" spans="1:37" x14ac:dyDescent="0.2">
      <c r="A1108" s="2">
        <v>345178</v>
      </c>
      <c r="B1108" s="2">
        <v>288094</v>
      </c>
      <c r="C1108" s="2">
        <v>551260</v>
      </c>
      <c r="D1108" t="s">
        <v>893</v>
      </c>
      <c r="H1108" s="15">
        <v>7.7016000000000001E-2</v>
      </c>
      <c r="K1108" s="15"/>
      <c r="AF1108" s="14"/>
      <c r="AG1108" s="14">
        <v>7.7016000000000001E-2</v>
      </c>
      <c r="AH1108" s="14"/>
      <c r="AI1108" s="14"/>
      <c r="AJ1108" s="51"/>
      <c r="AK1108" s="22">
        <v>4.5833333333333337E-2</v>
      </c>
    </row>
    <row r="1109" spans="1:37" x14ac:dyDescent="0.2">
      <c r="A1109" s="2">
        <v>348235</v>
      </c>
      <c r="B1109" s="2">
        <v>299821</v>
      </c>
      <c r="C1109" s="2">
        <v>785259</v>
      </c>
      <c r="D1109" t="s">
        <v>864</v>
      </c>
      <c r="H1109" s="15">
        <v>5.7549999999999997E-2</v>
      </c>
      <c r="K1109" s="15"/>
      <c r="AF1109" s="14"/>
      <c r="AG1109" s="14">
        <v>5.7549999999999997E-2</v>
      </c>
      <c r="AH1109" s="14"/>
      <c r="AI1109" s="14"/>
      <c r="AJ1109" s="51"/>
      <c r="AK1109" s="22">
        <v>8.1944444444444445E-2</v>
      </c>
    </row>
    <row r="1110" spans="1:37" x14ac:dyDescent="0.2">
      <c r="A1110" s="2">
        <v>349464</v>
      </c>
      <c r="B1110" s="2">
        <v>302947</v>
      </c>
      <c r="C1110" s="2">
        <v>1439813</v>
      </c>
      <c r="D1110" t="s">
        <v>788</v>
      </c>
      <c r="H1110" s="15">
        <v>2.6478000000000002E-2</v>
      </c>
      <c r="K1110" s="15"/>
      <c r="AF1110" s="14"/>
      <c r="AG1110" s="14">
        <v>2.6478000000000002E-2</v>
      </c>
      <c r="AH1110" s="14"/>
      <c r="AI1110" s="14"/>
      <c r="AJ1110" s="51"/>
      <c r="AK1110" s="22">
        <v>5.5555555555555552E-2</v>
      </c>
    </row>
    <row r="1111" spans="1:37" x14ac:dyDescent="0.2">
      <c r="A1111" s="2">
        <v>360123</v>
      </c>
      <c r="B1111" s="2">
        <v>310908</v>
      </c>
      <c r="C1111" s="2">
        <v>815969</v>
      </c>
      <c r="D1111" t="s">
        <v>849</v>
      </c>
      <c r="H1111" s="15">
        <v>2.6478000000000002E-2</v>
      </c>
      <c r="K1111" s="15"/>
      <c r="AE1111" s="1">
        <v>3.3105999999999997E-2</v>
      </c>
      <c r="AF1111" s="14"/>
      <c r="AG1111" s="14">
        <v>2.9766999999999998E-2</v>
      </c>
      <c r="AH1111" s="14"/>
      <c r="AI1111" s="14"/>
      <c r="AJ1111" s="51"/>
      <c r="AK1111" s="22">
        <v>0.32569444444444445</v>
      </c>
    </row>
    <row r="1112" spans="1:37" x14ac:dyDescent="0.2">
      <c r="A1112" s="2">
        <v>360918</v>
      </c>
      <c r="B1112" s="2">
        <v>311388</v>
      </c>
      <c r="C1112" s="2">
        <v>734063</v>
      </c>
      <c r="D1112" t="s">
        <v>921</v>
      </c>
      <c r="H1112" s="15">
        <v>6.6060999999999995E-2</v>
      </c>
      <c r="K1112" s="15"/>
      <c r="AF1112" s="14"/>
      <c r="AG1112" s="14">
        <v>6.6060999999999995E-2</v>
      </c>
      <c r="AH1112" s="14"/>
      <c r="AI1112" s="14"/>
      <c r="AJ1112" s="51"/>
      <c r="AK1112" s="22">
        <v>0.1125</v>
      </c>
    </row>
    <row r="1113" spans="1:37" x14ac:dyDescent="0.2">
      <c r="A1113" s="2">
        <v>389962</v>
      </c>
      <c r="B1113" s="2">
        <v>316010</v>
      </c>
      <c r="C1113" s="2">
        <v>688196</v>
      </c>
      <c r="D1113" t="s">
        <v>823</v>
      </c>
      <c r="H1113" s="15">
        <v>6.9675000000000001E-2</v>
      </c>
      <c r="K1113" s="15"/>
      <c r="AF1113" s="14"/>
      <c r="AG1113" s="14">
        <v>6.9675000000000001E-2</v>
      </c>
      <c r="AH1113" s="14"/>
      <c r="AI1113" s="14"/>
      <c r="AJ1113" s="51"/>
      <c r="AK1113" s="22">
        <v>2.8472222222222222E-2</v>
      </c>
    </row>
    <row r="1114" spans="1:37" s="3" customFormat="1" x14ac:dyDescent="0.2">
      <c r="A1114" s="4">
        <v>582240</v>
      </c>
      <c r="B1114" s="4">
        <v>393631</v>
      </c>
      <c r="C1114" s="4">
        <v>1677567</v>
      </c>
      <c r="D1114" s="3" t="s">
        <v>922</v>
      </c>
      <c r="G1114" s="4"/>
      <c r="H1114" s="16">
        <v>1.9050000000000001E-2</v>
      </c>
      <c r="I1114" s="16"/>
      <c r="J1114" s="16"/>
      <c r="K1114" s="16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16">
        <v>1.3309E-2</v>
      </c>
      <c r="AD1114" s="4"/>
      <c r="AE1114" s="9"/>
      <c r="AF1114" s="46"/>
      <c r="AG1114" s="46">
        <v>1.9050000000000001E-2</v>
      </c>
      <c r="AH1114" s="46"/>
      <c r="AI1114" s="46"/>
      <c r="AJ1114" s="52"/>
      <c r="AK1114" s="48">
        <v>0.11319444444444444</v>
      </c>
    </row>
    <row r="1115" spans="1:37" x14ac:dyDescent="0.2">
      <c r="A1115" s="2">
        <v>397878</v>
      </c>
      <c r="B1115" s="2">
        <v>323767</v>
      </c>
      <c r="C1115" s="2">
        <v>1070407</v>
      </c>
      <c r="D1115" t="s">
        <v>860</v>
      </c>
      <c r="H1115" s="15">
        <v>3.8234999999999998E-2</v>
      </c>
      <c r="K1115" s="15"/>
      <c r="AF1115" s="14"/>
      <c r="AG1115" s="14">
        <v>3.8234999999999998E-2</v>
      </c>
      <c r="AH1115" s="14"/>
      <c r="AI1115" s="14"/>
      <c r="AJ1115" s="51"/>
      <c r="AK1115" s="22">
        <v>2.4305555555555556E-2</v>
      </c>
    </row>
    <row r="1116" spans="1:37" x14ac:dyDescent="0.2">
      <c r="A1116" s="2">
        <v>417182</v>
      </c>
      <c r="B1116" s="2">
        <v>323843</v>
      </c>
      <c r="C1116" s="2">
        <v>1072306</v>
      </c>
      <c r="D1116" t="s">
        <v>787</v>
      </c>
      <c r="H1116" s="15">
        <v>2.2433000000000002E-2</v>
      </c>
      <c r="K1116" s="15"/>
      <c r="AF1116" s="14"/>
      <c r="AG1116" s="14">
        <v>2.2433000000000002E-2</v>
      </c>
      <c r="AH1116" s="14"/>
      <c r="AI1116" s="14"/>
      <c r="AJ1116" s="51"/>
      <c r="AK1116" s="22">
        <v>0.51597222222222217</v>
      </c>
    </row>
    <row r="1117" spans="1:37" x14ac:dyDescent="0.2">
      <c r="A1117" s="2">
        <v>420515</v>
      </c>
      <c r="B1117" s="2">
        <v>336588</v>
      </c>
      <c r="C1117" s="2">
        <v>988217</v>
      </c>
      <c r="D1117" t="s">
        <v>810</v>
      </c>
      <c r="H1117" s="15">
        <v>3.8457999999999999E-2</v>
      </c>
      <c r="K1117" s="15"/>
      <c r="AF1117" s="14"/>
      <c r="AG1117" s="14">
        <v>3.8457999999999999E-2</v>
      </c>
      <c r="AH1117" s="14"/>
      <c r="AI1117" s="14"/>
      <c r="AJ1117" s="51"/>
      <c r="AK1117" s="22">
        <v>0.11388888888888889</v>
      </c>
    </row>
    <row r="1118" spans="1:37" x14ac:dyDescent="0.2">
      <c r="A1118" s="2">
        <v>421512</v>
      </c>
      <c r="B1118" s="2">
        <v>338642</v>
      </c>
      <c r="C1118" s="2">
        <v>1298181</v>
      </c>
      <c r="D1118" t="s">
        <v>920</v>
      </c>
      <c r="H1118" s="15">
        <v>2.4740999999999999E-2</v>
      </c>
      <c r="K1118" s="15"/>
      <c r="AF1118" s="14"/>
      <c r="AG1118" s="14">
        <v>2.4740999999999999E-2</v>
      </c>
      <c r="AH1118" s="14"/>
      <c r="AI1118" s="14"/>
      <c r="AJ1118" s="51"/>
      <c r="AK1118" s="22">
        <v>0.14444444444444446</v>
      </c>
    </row>
    <row r="1119" spans="1:37" x14ac:dyDescent="0.2">
      <c r="A1119" s="2">
        <v>421859</v>
      </c>
      <c r="B1119" s="2">
        <v>343524</v>
      </c>
      <c r="C1119" s="2">
        <v>874137</v>
      </c>
      <c r="D1119" t="s">
        <v>877</v>
      </c>
      <c r="H1119" s="15">
        <v>4.3948000000000001E-2</v>
      </c>
      <c r="K1119" s="15"/>
      <c r="AF1119" s="14"/>
      <c r="AG1119" s="14">
        <v>4.3948000000000001E-2</v>
      </c>
      <c r="AH1119" s="14"/>
      <c r="AI1119" s="14"/>
      <c r="AJ1119" s="51"/>
      <c r="AK1119" s="22">
        <v>0.23333333333333331</v>
      </c>
    </row>
    <row r="1120" spans="1:37" x14ac:dyDescent="0.2">
      <c r="A1120" s="2">
        <v>433666</v>
      </c>
      <c r="B1120" s="2">
        <v>345178</v>
      </c>
      <c r="C1120" s="2">
        <v>609532</v>
      </c>
      <c r="D1120" t="s">
        <v>931</v>
      </c>
      <c r="H1120" s="15">
        <v>7.2140999999999997E-2</v>
      </c>
      <c r="K1120" s="15"/>
      <c r="AF1120" s="14"/>
      <c r="AG1120" s="14">
        <v>7.2140999999999997E-2</v>
      </c>
      <c r="AH1120" s="14"/>
      <c r="AI1120" s="14"/>
      <c r="AJ1120" s="51"/>
      <c r="AK1120" s="22">
        <v>3.5416666666666666E-2</v>
      </c>
    </row>
    <row r="1121" spans="1:37" x14ac:dyDescent="0.2">
      <c r="A1121" s="2">
        <v>444554</v>
      </c>
      <c r="B1121" s="2">
        <v>348235</v>
      </c>
      <c r="C1121" s="2">
        <v>1471268</v>
      </c>
      <c r="D1121" t="s">
        <v>852</v>
      </c>
      <c r="H1121" s="15">
        <v>2.9928E-2</v>
      </c>
      <c r="K1121" s="15"/>
      <c r="AF1121" s="14"/>
      <c r="AG1121" s="14">
        <v>2.9928E-2</v>
      </c>
      <c r="AH1121" s="14"/>
      <c r="AI1121" s="14"/>
      <c r="AJ1121" s="51"/>
      <c r="AK1121" s="22">
        <v>9.5833333333333326E-2</v>
      </c>
    </row>
    <row r="1122" spans="1:37" x14ac:dyDescent="0.2">
      <c r="A1122" s="2">
        <v>444657</v>
      </c>
      <c r="B1122" s="2">
        <v>349464</v>
      </c>
      <c r="C1122" s="2">
        <v>527587</v>
      </c>
      <c r="D1122" t="s">
        <v>793</v>
      </c>
      <c r="H1122" s="15">
        <v>6.6556000000000004E-2</v>
      </c>
      <c r="K1122" s="15"/>
      <c r="AF1122" s="14"/>
      <c r="AG1122" s="14">
        <v>6.6556000000000004E-2</v>
      </c>
      <c r="AH1122" s="14"/>
      <c r="AI1122" s="14"/>
      <c r="AJ1122" s="51"/>
      <c r="AK1122" s="22">
        <v>0.2590277777777778</v>
      </c>
    </row>
    <row r="1123" spans="1:37" x14ac:dyDescent="0.2">
      <c r="A1123" s="2">
        <v>445215</v>
      </c>
      <c r="B1123" s="2">
        <v>360123</v>
      </c>
      <c r="C1123" s="2">
        <v>353271</v>
      </c>
      <c r="D1123" t="s">
        <v>986</v>
      </c>
      <c r="H1123" s="15">
        <v>0.119949</v>
      </c>
      <c r="K1123" s="15"/>
      <c r="AF1123" s="14"/>
      <c r="AG1123" s="14">
        <v>0.119949</v>
      </c>
      <c r="AH1123" s="14"/>
      <c r="AI1123" s="14"/>
      <c r="AJ1123" s="51"/>
      <c r="AK1123" s="19">
        <v>8.1944444444444445E-2</v>
      </c>
    </row>
    <row r="1124" spans="1:37" x14ac:dyDescent="0.2">
      <c r="A1124" s="2">
        <v>446715</v>
      </c>
      <c r="B1124" s="2">
        <v>360918</v>
      </c>
      <c r="C1124" s="2">
        <v>902966</v>
      </c>
      <c r="D1124" t="s">
        <v>885</v>
      </c>
      <c r="H1124" s="15">
        <v>3.8922999999999999E-2</v>
      </c>
      <c r="K1124" s="15"/>
      <c r="AF1124" s="14"/>
      <c r="AG1124" s="14">
        <v>3.8922999999999999E-2</v>
      </c>
      <c r="AH1124" s="14"/>
      <c r="AI1124" s="14"/>
      <c r="AJ1124" s="51"/>
      <c r="AK1124" s="22">
        <v>5.4166666666666669E-2</v>
      </c>
    </row>
    <row r="1125" spans="1:37" x14ac:dyDescent="0.2">
      <c r="A1125" s="2">
        <v>449963</v>
      </c>
      <c r="B1125" s="2">
        <v>389962</v>
      </c>
      <c r="C1125" s="2">
        <v>1735572</v>
      </c>
      <c r="D1125" t="s">
        <v>861</v>
      </c>
      <c r="H1125" s="15">
        <v>2.3448E-2</v>
      </c>
      <c r="K1125" s="15"/>
      <c r="AF1125" s="14"/>
      <c r="AG1125" s="14">
        <v>2.3448E-2</v>
      </c>
      <c r="AH1125" s="14"/>
      <c r="AI1125" s="14"/>
      <c r="AJ1125" s="51"/>
      <c r="AK1125" s="22">
        <v>3.8194444444444441E-2</v>
      </c>
    </row>
    <row r="1126" spans="1:37" x14ac:dyDescent="0.2">
      <c r="A1126" s="2">
        <v>450134</v>
      </c>
      <c r="B1126" s="2">
        <v>393631</v>
      </c>
      <c r="C1126" s="2">
        <v>1693143</v>
      </c>
      <c r="D1126" t="s">
        <v>818</v>
      </c>
      <c r="H1126" s="15">
        <v>1.7038000000000001E-2</v>
      </c>
      <c r="K1126" s="15"/>
      <c r="AF1126" s="14"/>
      <c r="AG1126" s="14">
        <v>1.7038000000000001E-2</v>
      </c>
      <c r="AH1126" s="14"/>
      <c r="AI1126" s="14"/>
      <c r="AJ1126" s="51"/>
      <c r="AK1126" s="22">
        <v>0.13749999999999998</v>
      </c>
    </row>
    <row r="1127" spans="1:37" x14ac:dyDescent="0.2">
      <c r="A1127" s="2">
        <v>454688</v>
      </c>
      <c r="B1127" s="2">
        <v>397878</v>
      </c>
      <c r="C1127" s="2">
        <v>445551</v>
      </c>
      <c r="D1127" t="s">
        <v>1109</v>
      </c>
      <c r="H1127" s="15">
        <v>9.9835999999999994E-2</v>
      </c>
      <c r="K1127" s="15"/>
      <c r="AF1127" s="14"/>
      <c r="AG1127" s="14">
        <v>9.9835999999999994E-2</v>
      </c>
      <c r="AH1127" s="14"/>
      <c r="AI1127" s="14"/>
      <c r="AJ1127" s="51"/>
      <c r="AK1127" s="22">
        <v>7.5694444444444439E-2</v>
      </c>
    </row>
    <row r="1128" spans="1:37" x14ac:dyDescent="0.2">
      <c r="A1128" s="2">
        <v>467431</v>
      </c>
      <c r="B1128" s="2">
        <v>417182</v>
      </c>
      <c r="C1128" s="2">
        <v>842967</v>
      </c>
      <c r="D1128" t="s">
        <v>880</v>
      </c>
      <c r="H1128" s="15">
        <v>5.3367999999999999E-2</v>
      </c>
      <c r="K1128" s="15"/>
      <c r="AF1128" s="14"/>
      <c r="AG1128" s="14">
        <v>5.3367999999999999E-2</v>
      </c>
      <c r="AH1128" s="14"/>
      <c r="AI1128" s="14"/>
      <c r="AJ1128" s="51"/>
      <c r="AK1128" s="22">
        <v>8.2638888888888887E-2</v>
      </c>
    </row>
    <row r="1129" spans="1:37" x14ac:dyDescent="0.2">
      <c r="A1129" s="2">
        <v>488080</v>
      </c>
      <c r="B1129" s="2">
        <v>420515</v>
      </c>
      <c r="C1129" s="2">
        <v>1747853</v>
      </c>
      <c r="D1129" t="s">
        <v>811</v>
      </c>
      <c r="H1129" s="15">
        <v>2.2540000000000001E-2</v>
      </c>
      <c r="K1129" s="15"/>
      <c r="AF1129" s="14"/>
      <c r="AG1129" s="14">
        <v>2.2540000000000001E-2</v>
      </c>
      <c r="AH1129" s="14"/>
      <c r="AI1129" s="14"/>
      <c r="AJ1129" s="51"/>
      <c r="AK1129" s="22">
        <v>3.888888888888889E-2</v>
      </c>
    </row>
    <row r="1130" spans="1:37" x14ac:dyDescent="0.2">
      <c r="A1130" s="2">
        <v>490173</v>
      </c>
      <c r="B1130" s="2">
        <v>421512</v>
      </c>
      <c r="C1130" s="2">
        <v>90271</v>
      </c>
      <c r="D1130" t="s">
        <v>1048</v>
      </c>
      <c r="H1130" s="15">
        <v>0.72974600000000001</v>
      </c>
      <c r="K1130" s="15"/>
      <c r="AF1130" s="14"/>
      <c r="AG1130" s="14">
        <v>0.72974600000000001</v>
      </c>
      <c r="AH1130" s="14"/>
      <c r="AI1130" s="14"/>
      <c r="AJ1130" s="51"/>
      <c r="AK1130" s="19">
        <v>5.7638888888888885E-2</v>
      </c>
    </row>
    <row r="1131" spans="1:37" x14ac:dyDescent="0.2">
      <c r="A1131" s="2">
        <v>500383</v>
      </c>
      <c r="B1131" s="2">
        <v>421859</v>
      </c>
      <c r="C1131" s="2">
        <v>966791</v>
      </c>
      <c r="D1131" t="s">
        <v>899</v>
      </c>
      <c r="H1131" s="15">
        <v>2.8972000000000001E-2</v>
      </c>
      <c r="K1131" s="15"/>
      <c r="AF1131" s="14"/>
      <c r="AG1131" s="14">
        <v>2.8972000000000001E-2</v>
      </c>
      <c r="AH1131" s="14"/>
      <c r="AI1131" s="14"/>
      <c r="AJ1131" s="51"/>
      <c r="AK1131" s="22">
        <v>0.30763888888888891</v>
      </c>
    </row>
    <row r="1132" spans="1:37" x14ac:dyDescent="0.2">
      <c r="A1132" s="2">
        <v>531416</v>
      </c>
      <c r="B1132" s="2">
        <v>433666</v>
      </c>
      <c r="C1132" s="2">
        <v>665301</v>
      </c>
      <c r="D1132" t="s">
        <v>988</v>
      </c>
      <c r="H1132" s="15">
        <v>6.8719000000000002E-2</v>
      </c>
      <c r="K1132" s="15"/>
      <c r="AF1132" s="14"/>
      <c r="AG1132" s="14">
        <v>6.8719000000000002E-2</v>
      </c>
      <c r="AH1132" s="14"/>
      <c r="AI1132" s="14"/>
      <c r="AJ1132" s="51"/>
      <c r="AK1132" s="22">
        <v>4.7916666666666663E-2</v>
      </c>
    </row>
    <row r="1133" spans="1:37" x14ac:dyDescent="0.2">
      <c r="A1133" s="2">
        <v>534305</v>
      </c>
      <c r="B1133" s="2">
        <v>444554</v>
      </c>
      <c r="C1133" s="2">
        <v>2395526</v>
      </c>
      <c r="D1133" t="s">
        <v>925</v>
      </c>
      <c r="H1133" s="15">
        <v>1.3875999999999999E-2</v>
      </c>
      <c r="K1133" s="15"/>
      <c r="AF1133" s="14"/>
      <c r="AG1133" s="14">
        <v>1.3875999999999999E-2</v>
      </c>
      <c r="AH1133" s="14"/>
      <c r="AI1133" s="14"/>
      <c r="AJ1133" s="51"/>
      <c r="AK1133" s="22">
        <v>2.4305555555555556E-2</v>
      </c>
    </row>
    <row r="1134" spans="1:37" s="3" customFormat="1" x14ac:dyDescent="0.2">
      <c r="A1134" s="4">
        <v>535295</v>
      </c>
      <c r="B1134" s="4">
        <v>634589</v>
      </c>
      <c r="C1134" s="4">
        <v>1275467</v>
      </c>
      <c r="D1134" s="3" t="s">
        <v>574</v>
      </c>
      <c r="G1134" s="4"/>
      <c r="H1134" s="16">
        <v>0.41208099999999998</v>
      </c>
      <c r="I1134" s="16">
        <v>1.089E-2</v>
      </c>
      <c r="J1134" s="16">
        <v>1.0588E-2</v>
      </c>
      <c r="K1134" s="16">
        <v>0.23796300000000001</v>
      </c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16">
        <v>1.9914000000000001E-2</v>
      </c>
      <c r="AD1134" s="16"/>
      <c r="AE1134" s="16">
        <v>0.14094899999999999</v>
      </c>
      <c r="AF1134" s="46"/>
      <c r="AG1134" s="46">
        <v>0.15287899999999999</v>
      </c>
      <c r="AH1134" s="46"/>
      <c r="AI1134" s="46"/>
      <c r="AJ1134" s="52"/>
      <c r="AK1134" s="48">
        <v>2.4305555555555556E-2</v>
      </c>
    </row>
    <row r="1135" spans="1:37" x14ac:dyDescent="0.2">
      <c r="A1135" s="2">
        <v>535575</v>
      </c>
      <c r="B1135" s="2">
        <v>444657</v>
      </c>
      <c r="C1135" s="2">
        <v>1793208</v>
      </c>
      <c r="D1135" t="s">
        <v>807</v>
      </c>
      <c r="H1135" s="15">
        <v>1.9136E-2</v>
      </c>
      <c r="K1135" s="15"/>
      <c r="AF1135" s="14"/>
      <c r="AG1135" s="14">
        <v>1.9136E-2</v>
      </c>
      <c r="AH1135" s="14"/>
      <c r="AI1135" s="14"/>
      <c r="AJ1135" s="51"/>
      <c r="AK1135" s="22">
        <v>5.6250000000000001E-2</v>
      </c>
    </row>
    <row r="1136" spans="1:37" x14ac:dyDescent="0.2">
      <c r="A1136" s="2">
        <v>537012</v>
      </c>
      <c r="B1136" s="2">
        <v>445215</v>
      </c>
      <c r="C1136" s="2">
        <v>405952</v>
      </c>
      <c r="D1136" t="s">
        <v>989</v>
      </c>
      <c r="H1136" s="15">
        <v>0.121917</v>
      </c>
      <c r="K1136" s="15"/>
      <c r="AF1136" s="14"/>
      <c r="AG1136" s="14">
        <v>0.121917</v>
      </c>
      <c r="AH1136" s="14"/>
      <c r="AI1136" s="14"/>
      <c r="AJ1136" s="51"/>
      <c r="AK1136" s="22">
        <v>3.6111111111111115E-2</v>
      </c>
    </row>
    <row r="1137" spans="1:38" x14ac:dyDescent="0.2">
      <c r="A1137" s="2">
        <v>537480</v>
      </c>
      <c r="B1137" s="2">
        <v>446715</v>
      </c>
      <c r="C1137" s="2">
        <v>523525</v>
      </c>
      <c r="D1137" t="s">
        <v>1126</v>
      </c>
      <c r="H1137" s="15">
        <v>8.4498000000000004E-2</v>
      </c>
      <c r="K1137" s="15"/>
      <c r="AF1137" s="14"/>
      <c r="AG1137" s="14">
        <v>8.4498000000000004E-2</v>
      </c>
      <c r="AH1137" s="14"/>
      <c r="AI1137" s="14"/>
      <c r="AJ1137" s="51"/>
      <c r="AK1137" s="22">
        <v>8.7500000000000008E-2</v>
      </c>
    </row>
    <row r="1138" spans="1:38" x14ac:dyDescent="0.2">
      <c r="A1138" s="2">
        <v>540680</v>
      </c>
      <c r="B1138" s="2">
        <v>449963</v>
      </c>
      <c r="C1138" s="2">
        <v>2298772</v>
      </c>
      <c r="D1138" t="s">
        <v>896</v>
      </c>
      <c r="H1138" s="15">
        <v>1.6847000000000001E-2</v>
      </c>
      <c r="K1138" s="15"/>
      <c r="AF1138" s="14"/>
      <c r="AG1138" s="14">
        <v>1.6847000000000001E-2</v>
      </c>
      <c r="AH1138" s="14"/>
      <c r="AI1138" s="14"/>
      <c r="AJ1138" s="51"/>
      <c r="AK1138" s="22">
        <v>1.3888888888888889E-3</v>
      </c>
    </row>
    <row r="1139" spans="1:38" x14ac:dyDescent="0.2">
      <c r="A1139" s="2">
        <v>591842</v>
      </c>
      <c r="B1139" s="2">
        <v>450134</v>
      </c>
      <c r="C1139" s="2">
        <v>79970</v>
      </c>
      <c r="D1139" t="s">
        <v>786</v>
      </c>
      <c r="H1139" s="15">
        <v>0.55719300000000005</v>
      </c>
      <c r="K1139" s="15"/>
      <c r="AF1139" s="14"/>
      <c r="AG1139" s="14">
        <v>0.55719300000000005</v>
      </c>
      <c r="AH1139" s="14"/>
      <c r="AI1139" s="14"/>
      <c r="AJ1139" s="51"/>
      <c r="AK1139" s="22">
        <v>0.80763888888888891</v>
      </c>
    </row>
    <row r="1140" spans="1:38" x14ac:dyDescent="0.2">
      <c r="A1140" s="2">
        <v>609159</v>
      </c>
      <c r="B1140" s="2">
        <v>454688</v>
      </c>
      <c r="C1140" s="2">
        <v>321214</v>
      </c>
      <c r="D1140" t="s">
        <v>923</v>
      </c>
      <c r="H1140" s="15">
        <v>0.156365</v>
      </c>
      <c r="K1140" s="15"/>
      <c r="AF1140" s="14"/>
      <c r="AG1140" s="14">
        <v>0.156365</v>
      </c>
      <c r="AH1140" s="14"/>
      <c r="AI1140" s="14"/>
      <c r="AJ1140" s="51"/>
      <c r="AK1140" s="22">
        <v>0.20972222222222223</v>
      </c>
    </row>
    <row r="1141" spans="1:38" x14ac:dyDescent="0.2">
      <c r="A1141" s="2">
        <v>613039</v>
      </c>
      <c r="B1141" s="2">
        <v>467431</v>
      </c>
      <c r="C1141" s="2">
        <v>567508</v>
      </c>
      <c r="D1141" t="s">
        <v>917</v>
      </c>
      <c r="H1141" s="15">
        <v>4.4072E-2</v>
      </c>
      <c r="K1141" s="15"/>
      <c r="AF1141" s="14"/>
      <c r="AG1141" s="14">
        <v>4.4072E-2</v>
      </c>
      <c r="AH1141" s="14"/>
      <c r="AI1141" s="14"/>
      <c r="AJ1141" s="51"/>
      <c r="AK1141" s="22">
        <v>0.21875</v>
      </c>
    </row>
    <row r="1142" spans="1:38" x14ac:dyDescent="0.2">
      <c r="A1142" s="2">
        <v>625185</v>
      </c>
      <c r="B1142" s="2">
        <v>488080</v>
      </c>
      <c r="C1142" s="2">
        <v>1054681</v>
      </c>
      <c r="D1142" t="s">
        <v>820</v>
      </c>
      <c r="H1142" s="15">
        <v>4.0629999999999999E-2</v>
      </c>
      <c r="K1142" s="15"/>
      <c r="AF1142" s="14"/>
      <c r="AG1142" s="14">
        <v>4.0629999999999999E-2</v>
      </c>
      <c r="AH1142" s="14"/>
      <c r="AI1142" s="14"/>
      <c r="AJ1142" s="51"/>
      <c r="AK1142" s="22">
        <v>0.11875000000000001</v>
      </c>
    </row>
    <row r="1143" spans="1:38" x14ac:dyDescent="0.2">
      <c r="A1143" s="2">
        <v>642708</v>
      </c>
      <c r="B1143" s="2">
        <v>500383</v>
      </c>
      <c r="C1143" s="2">
        <v>752134</v>
      </c>
      <c r="D1143" t="s">
        <v>1220</v>
      </c>
      <c r="H1143" s="15">
        <v>3.9455999999999998E-2</v>
      </c>
      <c r="K1143" s="15"/>
      <c r="AF1143" s="14"/>
      <c r="AG1143" s="14">
        <v>3.9455999999999998E-2</v>
      </c>
      <c r="AH1143" s="14"/>
      <c r="AI1143" s="14"/>
      <c r="AJ1143" s="51"/>
      <c r="AK1143" s="22">
        <v>0.16805555555555554</v>
      </c>
    </row>
    <row r="1144" spans="1:38" x14ac:dyDescent="0.2">
      <c r="A1144" s="2">
        <v>657445</v>
      </c>
      <c r="B1144" s="2">
        <v>531416</v>
      </c>
      <c r="C1144" s="2">
        <v>74686</v>
      </c>
      <c r="D1144" t="s">
        <v>1129</v>
      </c>
      <c r="H1144" s="15">
        <v>0.44040600000000002</v>
      </c>
      <c r="K1144" s="15"/>
      <c r="AF1144" s="14"/>
      <c r="AG1144" s="14">
        <v>0.44040600000000002</v>
      </c>
      <c r="AH1144" s="14"/>
      <c r="AI1144" s="14"/>
      <c r="AJ1144" s="51"/>
      <c r="AK1144" s="19">
        <v>0.15694444444444444</v>
      </c>
    </row>
    <row r="1145" spans="1:38" x14ac:dyDescent="0.2">
      <c r="A1145" s="2">
        <v>347925</v>
      </c>
      <c r="B1145" s="2">
        <v>534305</v>
      </c>
      <c r="C1145" s="2">
        <v>1429606</v>
      </c>
      <c r="D1145" t="s">
        <v>346</v>
      </c>
      <c r="F1145" t="s">
        <v>1306</v>
      </c>
      <c r="H1145" s="2">
        <v>13.75</v>
      </c>
      <c r="I1145" s="15">
        <v>0.49114999999999998</v>
      </c>
      <c r="J1145" s="16">
        <v>0.22437699999999999</v>
      </c>
      <c r="AC1145" s="2">
        <v>1.8086999999999999E-2</v>
      </c>
      <c r="AD1145" s="2">
        <v>8.6660000000000004</v>
      </c>
      <c r="AE1145" s="2">
        <v>13.75</v>
      </c>
      <c r="AF1145" s="14" t="s">
        <v>773</v>
      </c>
      <c r="AG1145" s="14" t="s">
        <v>773</v>
      </c>
      <c r="AH1145" s="14" t="s">
        <v>773</v>
      </c>
      <c r="AI1145" s="14" t="s">
        <v>773</v>
      </c>
      <c r="AJ1145" s="14" t="s">
        <v>773</v>
      </c>
      <c r="AK1145" s="19">
        <v>0.1</v>
      </c>
      <c r="AL1145" s="8">
        <f>(2+(24/60))*AE1145</f>
        <v>33</v>
      </c>
    </row>
    <row r="1146" spans="1:38" x14ac:dyDescent="0.2">
      <c r="A1146" s="2">
        <v>678583</v>
      </c>
      <c r="B1146" s="2">
        <v>535575</v>
      </c>
      <c r="C1146" s="2">
        <v>781819</v>
      </c>
      <c r="D1146" t="s">
        <v>1210</v>
      </c>
      <c r="H1146" s="15">
        <v>5.8803000000000001E-2</v>
      </c>
      <c r="K1146" s="15"/>
      <c r="AF1146" s="14"/>
      <c r="AG1146" s="14">
        <v>5.8803000000000001E-2</v>
      </c>
      <c r="AH1146" s="14"/>
      <c r="AI1146" s="14"/>
      <c r="AJ1146" s="51"/>
      <c r="AK1146" s="19">
        <v>8.0555555555555561E-2</v>
      </c>
    </row>
    <row r="1147" spans="1:38" x14ac:dyDescent="0.2">
      <c r="A1147" s="2">
        <v>691803</v>
      </c>
      <c r="B1147" s="2">
        <v>537012</v>
      </c>
      <c r="C1147" s="2">
        <v>962670</v>
      </c>
      <c r="D1147" t="s">
        <v>977</v>
      </c>
      <c r="H1147" s="15">
        <v>4.7480000000000001E-2</v>
      </c>
      <c r="K1147" s="15"/>
      <c r="AF1147" s="14"/>
      <c r="AG1147" s="14">
        <v>4.7480000000000001E-2</v>
      </c>
      <c r="AH1147" s="14"/>
      <c r="AI1147" s="14"/>
      <c r="AJ1147" s="51"/>
      <c r="AK1147" s="22">
        <v>0.25416666666666665</v>
      </c>
    </row>
    <row r="1148" spans="1:38" x14ac:dyDescent="0.2">
      <c r="A1148" s="2">
        <v>711587</v>
      </c>
      <c r="B1148" s="2">
        <v>537480</v>
      </c>
      <c r="C1148" s="2">
        <v>810424</v>
      </c>
      <c r="D1148" t="s">
        <v>889</v>
      </c>
      <c r="H1148" s="15">
        <v>4.2204999999999999E-2</v>
      </c>
      <c r="K1148" s="15"/>
      <c r="AF1148" s="14"/>
      <c r="AG1148" s="14">
        <v>4.2204999999999999E-2</v>
      </c>
      <c r="AH1148" s="14"/>
      <c r="AI1148" s="14"/>
      <c r="AJ1148" s="51"/>
      <c r="AK1148" s="22">
        <v>0.16458333333333333</v>
      </c>
    </row>
    <row r="1149" spans="1:38" x14ac:dyDescent="0.2">
      <c r="A1149" s="2">
        <v>713854</v>
      </c>
      <c r="B1149" s="2">
        <v>540680</v>
      </c>
      <c r="C1149" s="2">
        <v>2989213</v>
      </c>
      <c r="D1149" t="s">
        <v>946</v>
      </c>
      <c r="H1149" s="15">
        <v>9.3509999999999999E-3</v>
      </c>
      <c r="K1149" s="15"/>
      <c r="AF1149" s="14"/>
      <c r="AG1149" s="14">
        <v>9.3509999999999999E-3</v>
      </c>
      <c r="AH1149" s="14"/>
      <c r="AI1149" s="14"/>
      <c r="AJ1149" s="51"/>
      <c r="AK1149" s="22">
        <v>2.9861111111111113E-2</v>
      </c>
    </row>
    <row r="1150" spans="1:38" x14ac:dyDescent="0.2">
      <c r="A1150" s="2">
        <v>721786</v>
      </c>
      <c r="B1150" s="2">
        <v>591842</v>
      </c>
      <c r="C1150" s="2">
        <v>2565701</v>
      </c>
      <c r="D1150" t="s">
        <v>792</v>
      </c>
      <c r="H1150" s="15">
        <v>1.1689E-2</v>
      </c>
      <c r="K1150" s="15"/>
      <c r="AF1150" s="14"/>
      <c r="AG1150" s="14">
        <v>1.1689E-2</v>
      </c>
      <c r="AH1150" s="14"/>
      <c r="AI1150" s="14"/>
      <c r="AJ1150" s="51"/>
      <c r="AK1150" s="22">
        <v>0.14444444444444446</v>
      </c>
    </row>
    <row r="1151" spans="1:38" x14ac:dyDescent="0.2">
      <c r="A1151" s="2">
        <v>724307</v>
      </c>
      <c r="B1151" s="2">
        <v>609159</v>
      </c>
      <c r="C1151" s="2">
        <v>3067096</v>
      </c>
      <c r="D1151" t="s">
        <v>890</v>
      </c>
      <c r="H1151" s="15">
        <v>8.9449999999999998E-3</v>
      </c>
      <c r="K1151" s="15"/>
      <c r="AF1151" s="14"/>
      <c r="AG1151" s="14">
        <v>8.9449999999999998E-3</v>
      </c>
      <c r="AH1151" s="14"/>
      <c r="AI1151" s="14"/>
      <c r="AJ1151" s="51"/>
      <c r="AK1151" s="22">
        <v>2.9166666666666664E-2</v>
      </c>
    </row>
    <row r="1152" spans="1:38" x14ac:dyDescent="0.2">
      <c r="A1152" s="2">
        <v>730301</v>
      </c>
      <c r="B1152" s="2">
        <v>613039</v>
      </c>
      <c r="C1152" s="2">
        <v>2194204</v>
      </c>
      <c r="D1152" t="s">
        <v>951</v>
      </c>
      <c r="H1152" s="15">
        <v>0</v>
      </c>
      <c r="K1152" s="15"/>
      <c r="AF1152" s="14"/>
      <c r="AG1152" s="14">
        <v>0</v>
      </c>
      <c r="AH1152" s="14"/>
      <c r="AI1152" s="14"/>
      <c r="AJ1152" s="51"/>
      <c r="AK1152" s="22"/>
    </row>
    <row r="1153" spans="1:37" x14ac:dyDescent="0.2">
      <c r="A1153" s="2">
        <v>766473</v>
      </c>
      <c r="B1153" s="2">
        <v>625185</v>
      </c>
      <c r="C1153" s="2">
        <v>744628</v>
      </c>
      <c r="D1153" t="s">
        <v>1218</v>
      </c>
      <c r="H1153" s="15">
        <v>7.8120999999999996E-2</v>
      </c>
      <c r="K1153" s="15"/>
      <c r="AF1153" s="14"/>
      <c r="AG1153" s="14">
        <v>7.8120999999999996E-2</v>
      </c>
      <c r="AH1153" s="14"/>
      <c r="AI1153" s="14"/>
      <c r="AJ1153" s="51"/>
      <c r="AK1153" s="22">
        <v>4.6527777777777779E-2</v>
      </c>
    </row>
    <row r="1154" spans="1:37" x14ac:dyDescent="0.2">
      <c r="A1154" s="2">
        <v>751450</v>
      </c>
      <c r="B1154" s="2">
        <v>338704</v>
      </c>
      <c r="C1154" s="2">
        <v>1961638</v>
      </c>
      <c r="D1154" t="s">
        <v>919</v>
      </c>
      <c r="H1154" s="15">
        <v>2.0410999999999999E-2</v>
      </c>
      <c r="K1154" s="15"/>
      <c r="AF1154" s="14"/>
      <c r="AG1154" s="14">
        <v>2.0410999999999999E-2</v>
      </c>
      <c r="AH1154" s="14"/>
      <c r="AI1154" s="14"/>
      <c r="AJ1154" s="51"/>
      <c r="AK1154" s="22">
        <v>5.5555555555555552E-2</v>
      </c>
    </row>
    <row r="1155" spans="1:37" x14ac:dyDescent="0.2">
      <c r="A1155" s="2">
        <v>755935</v>
      </c>
      <c r="B1155" s="2">
        <v>642708</v>
      </c>
      <c r="C1155" s="2">
        <v>1375631</v>
      </c>
      <c r="D1155" t="s">
        <v>980</v>
      </c>
      <c r="H1155" s="15">
        <v>3.2750000000000001E-2</v>
      </c>
      <c r="K1155" s="15"/>
      <c r="AF1155" s="14"/>
      <c r="AG1155" s="14">
        <v>3.2750000000000001E-2</v>
      </c>
      <c r="AH1155" s="14"/>
      <c r="AI1155" s="14"/>
      <c r="AJ1155" s="51"/>
      <c r="AK1155" s="22">
        <v>6.3888888888888884E-2</v>
      </c>
    </row>
    <row r="1156" spans="1:37" x14ac:dyDescent="0.2">
      <c r="A1156" s="2">
        <v>778659</v>
      </c>
      <c r="B1156" s="2">
        <v>657445</v>
      </c>
      <c r="C1156" s="2">
        <v>658375</v>
      </c>
      <c r="D1156" t="s">
        <v>981</v>
      </c>
      <c r="H1156" s="15">
        <v>6.5905000000000005E-2</v>
      </c>
      <c r="K1156" s="15"/>
      <c r="AF1156" s="14"/>
      <c r="AG1156" s="14">
        <v>6.5905000000000005E-2</v>
      </c>
      <c r="AH1156" s="14"/>
      <c r="AI1156" s="14"/>
      <c r="AJ1156" s="51"/>
      <c r="AK1156" s="22">
        <v>7.0833333333333331E-2</v>
      </c>
    </row>
    <row r="1157" spans="1:37" x14ac:dyDescent="0.2">
      <c r="A1157" s="2">
        <v>794421</v>
      </c>
      <c r="B1157" s="2">
        <v>680</v>
      </c>
      <c r="C1157" s="2">
        <v>3223195</v>
      </c>
      <c r="D1157" t="s">
        <v>881</v>
      </c>
      <c r="H1157" s="15">
        <v>9.9749999999999995E-3</v>
      </c>
      <c r="K1157" s="15"/>
      <c r="AF1157" s="14"/>
      <c r="AG1157" s="14">
        <v>9.9749999999999995E-3</v>
      </c>
      <c r="AH1157" s="14"/>
      <c r="AI1157" s="14"/>
      <c r="AJ1157" s="51"/>
      <c r="AK1157" s="22">
        <v>2.4305555555555556E-2</v>
      </c>
    </row>
    <row r="1158" spans="1:37" x14ac:dyDescent="0.2">
      <c r="A1158" s="2">
        <v>812422</v>
      </c>
      <c r="B1158" s="2">
        <v>678583</v>
      </c>
      <c r="C1158" s="2">
        <v>2346784</v>
      </c>
      <c r="D1158" t="s">
        <v>949</v>
      </c>
      <c r="H1158" s="15">
        <v>1.2711999999999999E-2</v>
      </c>
      <c r="K1158" s="15"/>
      <c r="AF1158" s="14"/>
      <c r="AG1158" s="14">
        <v>1.2711999999999999E-2</v>
      </c>
      <c r="AH1158" s="14"/>
      <c r="AI1158" s="14"/>
      <c r="AJ1158" s="51"/>
      <c r="AK1158" s="22">
        <v>2.013888888888889E-2</v>
      </c>
    </row>
    <row r="1159" spans="1:37" x14ac:dyDescent="0.2">
      <c r="A1159" s="2">
        <v>814271</v>
      </c>
      <c r="B1159" s="2" t="s">
        <v>773</v>
      </c>
      <c r="C1159" s="2">
        <v>507815</v>
      </c>
      <c r="H1159" s="15">
        <v>4.9312000000000002E-2</v>
      </c>
      <c r="K1159" s="15"/>
      <c r="AC1159" s="16">
        <v>4.9312000000000002E-2</v>
      </c>
      <c r="AF1159" s="14"/>
      <c r="AG1159" s="14"/>
      <c r="AH1159" s="14"/>
      <c r="AI1159" s="14"/>
      <c r="AJ1159" s="51"/>
      <c r="AK1159" s="22"/>
    </row>
    <row r="1160" spans="1:37" x14ac:dyDescent="0.2">
      <c r="A1160" s="2">
        <v>816618</v>
      </c>
      <c r="B1160" s="2">
        <v>691803</v>
      </c>
      <c r="C1160" s="2">
        <v>613488</v>
      </c>
      <c r="D1160" t="s">
        <v>888</v>
      </c>
      <c r="H1160" s="15">
        <v>8.3259E-2</v>
      </c>
      <c r="K1160" s="15"/>
      <c r="AF1160" s="14"/>
      <c r="AG1160" s="14">
        <v>8.3259E-2</v>
      </c>
      <c r="AH1160" s="14"/>
      <c r="AI1160" s="14"/>
      <c r="AJ1160" s="51"/>
      <c r="AK1160" s="22">
        <v>1.4583333333333332E-2</v>
      </c>
    </row>
    <row r="1161" spans="1:37" x14ac:dyDescent="0.2">
      <c r="A1161" s="2">
        <v>819733</v>
      </c>
      <c r="B1161" s="2">
        <v>711587</v>
      </c>
      <c r="C1161" s="2">
        <v>3107652</v>
      </c>
      <c r="D1161" t="s">
        <v>915</v>
      </c>
      <c r="H1161" s="15">
        <v>9.1590000000000005E-3</v>
      </c>
      <c r="K1161" s="15"/>
      <c r="AF1161" s="14"/>
      <c r="AG1161" s="14">
        <v>9.1590000000000005E-3</v>
      </c>
      <c r="AH1161" s="14"/>
      <c r="AI1161" s="14"/>
      <c r="AJ1161" s="51"/>
      <c r="AK1161" s="22">
        <v>8.819444444444445E-2</v>
      </c>
    </row>
    <row r="1162" spans="1:37" x14ac:dyDescent="0.2">
      <c r="A1162" s="2">
        <v>856281</v>
      </c>
      <c r="B1162" s="2">
        <v>713854</v>
      </c>
      <c r="C1162" s="2">
        <v>1743104</v>
      </c>
      <c r="D1162" t="s">
        <v>801</v>
      </c>
      <c r="H1162" s="15">
        <v>1.9585000000000002E-2</v>
      </c>
      <c r="K1162" s="15"/>
      <c r="AF1162" s="14"/>
      <c r="AG1162" s="14">
        <v>1.9585000000000002E-2</v>
      </c>
      <c r="AH1162" s="14"/>
      <c r="AI1162" s="14"/>
      <c r="AJ1162" s="51"/>
      <c r="AK1162" s="22">
        <v>9.375E-2</v>
      </c>
    </row>
    <row r="1163" spans="1:37" x14ac:dyDescent="0.2">
      <c r="A1163" s="2">
        <v>869773</v>
      </c>
      <c r="B1163" s="2">
        <v>721786</v>
      </c>
      <c r="C1163" s="2">
        <v>1788424</v>
      </c>
      <c r="D1163" t="s">
        <v>950</v>
      </c>
      <c r="H1163" s="15">
        <v>2.2461999999999999E-2</v>
      </c>
      <c r="K1163" s="15"/>
      <c r="AF1163" s="14"/>
      <c r="AG1163" s="14">
        <v>2.2461999999999999E-2</v>
      </c>
      <c r="AH1163" s="14"/>
      <c r="AI1163" s="14"/>
      <c r="AJ1163" s="51"/>
      <c r="AK1163" s="22">
        <v>3.0555555555555555E-2</v>
      </c>
    </row>
    <row r="1164" spans="1:37" x14ac:dyDescent="0.2">
      <c r="A1164" s="2">
        <v>893077</v>
      </c>
      <c r="B1164" s="2">
        <v>724307</v>
      </c>
      <c r="C1164" s="2">
        <v>2480040</v>
      </c>
      <c r="D1164" t="s">
        <v>911</v>
      </c>
      <c r="H1164" s="15">
        <v>1.3032E-2</v>
      </c>
      <c r="K1164" s="15"/>
      <c r="AF1164" s="14"/>
      <c r="AG1164" s="14">
        <v>1.3032E-2</v>
      </c>
      <c r="AH1164" s="14"/>
      <c r="AI1164" s="14"/>
      <c r="AJ1164" s="51"/>
      <c r="AK1164" s="22">
        <v>6.458333333333334E-2</v>
      </c>
    </row>
    <row r="1165" spans="1:37" x14ac:dyDescent="0.2">
      <c r="A1165" s="2">
        <v>903551</v>
      </c>
      <c r="B1165" s="2">
        <v>730301</v>
      </c>
      <c r="C1165" s="2">
        <v>3048194</v>
      </c>
      <c r="D1165" t="s">
        <v>944</v>
      </c>
      <c r="H1165" s="15">
        <v>8.2150000000000001E-3</v>
      </c>
      <c r="K1165" s="15"/>
      <c r="AF1165" s="14"/>
      <c r="AG1165" s="14">
        <v>8.2150000000000001E-3</v>
      </c>
      <c r="AH1165" s="14"/>
      <c r="AI1165" s="14"/>
      <c r="AJ1165" s="51"/>
      <c r="AK1165" s="22">
        <v>9.2361111111111116E-2</v>
      </c>
    </row>
    <row r="1166" spans="1:37" x14ac:dyDescent="0.2">
      <c r="A1166" s="2">
        <v>948640</v>
      </c>
      <c r="B1166" s="2">
        <v>766473</v>
      </c>
      <c r="C1166" s="2">
        <v>2661615</v>
      </c>
      <c r="D1166" t="s">
        <v>957</v>
      </c>
      <c r="H1166" s="15">
        <v>1.4638E-2</v>
      </c>
      <c r="K1166" s="15"/>
      <c r="AF1166" s="14"/>
      <c r="AG1166" s="14">
        <v>1.4638E-2</v>
      </c>
      <c r="AH1166" s="14"/>
      <c r="AI1166" s="14"/>
      <c r="AJ1166" s="51"/>
      <c r="AK1166" s="22">
        <v>5.1388888888888894E-2</v>
      </c>
    </row>
    <row r="1167" spans="1:37" x14ac:dyDescent="0.2">
      <c r="A1167" s="2">
        <v>986988</v>
      </c>
      <c r="B1167" s="2">
        <v>751450</v>
      </c>
      <c r="C1167" s="2">
        <v>568921</v>
      </c>
      <c r="D1167" t="s">
        <v>1201</v>
      </c>
      <c r="H1167" s="15">
        <v>5.6669999999999998E-2</v>
      </c>
      <c r="K1167" s="15"/>
      <c r="AF1167" s="14"/>
      <c r="AG1167" s="14">
        <v>5.6669999999999998E-2</v>
      </c>
      <c r="AH1167" s="14"/>
      <c r="AI1167" s="14"/>
      <c r="AJ1167" s="51"/>
      <c r="AK1167" s="22">
        <v>0.22013888888888888</v>
      </c>
    </row>
    <row r="1168" spans="1:37" x14ac:dyDescent="0.2">
      <c r="A1168" s="2">
        <v>1032019</v>
      </c>
      <c r="B1168" s="2">
        <v>755935</v>
      </c>
      <c r="C1168" s="2">
        <v>1120508</v>
      </c>
      <c r="D1168" t="s">
        <v>901</v>
      </c>
      <c r="H1168" s="15">
        <v>3.5885E-2</v>
      </c>
      <c r="K1168" s="15"/>
      <c r="AF1168" s="14"/>
      <c r="AG1168" s="14">
        <v>3.5885E-2</v>
      </c>
      <c r="AH1168" s="14"/>
      <c r="AI1168" s="14"/>
      <c r="AJ1168" s="51"/>
      <c r="AK1168" s="22">
        <v>0.12430555555555556</v>
      </c>
    </row>
    <row r="1169" spans="1:37" x14ac:dyDescent="0.2">
      <c r="A1169" s="2">
        <v>1041795</v>
      </c>
      <c r="B1169" s="2">
        <v>778659</v>
      </c>
      <c r="C1169" s="2">
        <v>2946132</v>
      </c>
      <c r="D1169" t="s">
        <v>879</v>
      </c>
      <c r="H1169" s="15">
        <v>9.9089999999999994E-3</v>
      </c>
      <c r="K1169" s="15"/>
      <c r="AF1169" s="14"/>
      <c r="AG1169" s="14">
        <v>9.9089999999999994E-3</v>
      </c>
      <c r="AH1169" s="14"/>
      <c r="AI1169" s="14"/>
      <c r="AJ1169" s="51"/>
      <c r="AK1169" s="22">
        <v>0.11319444444444444</v>
      </c>
    </row>
    <row r="1170" spans="1:37" x14ac:dyDescent="0.2">
      <c r="A1170" s="2">
        <v>1084352</v>
      </c>
      <c r="B1170" s="2">
        <v>794421</v>
      </c>
      <c r="C1170" s="2">
        <v>3228032</v>
      </c>
      <c r="D1170" t="s">
        <v>887</v>
      </c>
      <c r="H1170" s="15">
        <v>8.0569999999999999E-3</v>
      </c>
      <c r="K1170" s="15"/>
      <c r="AF1170" s="14"/>
      <c r="AG1170" s="14">
        <v>8.0569999999999999E-3</v>
      </c>
      <c r="AH1170" s="14"/>
      <c r="AI1170" s="14"/>
      <c r="AJ1170" s="51"/>
      <c r="AK1170" s="22">
        <v>3.4722222222222224E-2</v>
      </c>
    </row>
    <row r="1171" spans="1:37" x14ac:dyDescent="0.2">
      <c r="A1171" s="2">
        <v>1276052</v>
      </c>
      <c r="B1171" s="2">
        <v>812422</v>
      </c>
      <c r="C1171" s="2">
        <v>2753378</v>
      </c>
      <c r="D1171" t="s">
        <v>934</v>
      </c>
      <c r="H1171" s="15">
        <v>1.0409E-2</v>
      </c>
      <c r="K1171" s="15"/>
      <c r="AF1171" s="14"/>
      <c r="AG1171" s="14">
        <v>1.0409E-2</v>
      </c>
      <c r="AH1171" s="14"/>
      <c r="AI1171" s="14"/>
      <c r="AJ1171" s="51"/>
      <c r="AK1171" s="22">
        <v>7.2916666666666671E-2</v>
      </c>
    </row>
    <row r="1172" spans="1:37" s="3" customFormat="1" x14ac:dyDescent="0.2">
      <c r="A1172" s="4">
        <v>1347503</v>
      </c>
      <c r="B1172" s="4">
        <v>2777353</v>
      </c>
      <c r="C1172" s="4">
        <v>3810127</v>
      </c>
      <c r="D1172" s="3" t="s">
        <v>569</v>
      </c>
      <c r="G1172" s="4"/>
      <c r="H1172" s="16">
        <v>5.1970000000000002E-3</v>
      </c>
      <c r="I1172" s="16"/>
      <c r="J1172" s="16"/>
      <c r="K1172" s="16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16">
        <v>5.1970000000000002E-3</v>
      </c>
      <c r="AD1172" s="4"/>
      <c r="AE1172" s="9"/>
      <c r="AF1172" s="46"/>
      <c r="AG1172" s="46"/>
      <c r="AH1172" s="46"/>
      <c r="AI1172" s="46"/>
      <c r="AJ1172" s="52"/>
    </row>
    <row r="1173" spans="1:37" x14ac:dyDescent="0.2">
      <c r="A1173" s="2">
        <v>1388000</v>
      </c>
      <c r="B1173" s="2">
        <v>816618</v>
      </c>
      <c r="C1173" s="2">
        <v>3920854</v>
      </c>
      <c r="D1173" t="s">
        <v>928</v>
      </c>
      <c r="H1173" s="15">
        <v>0</v>
      </c>
      <c r="K1173" s="15"/>
      <c r="AF1173" s="14"/>
      <c r="AG1173" s="14">
        <v>0</v>
      </c>
      <c r="AH1173" s="14"/>
      <c r="AI1173" s="14"/>
      <c r="AJ1173" s="51"/>
      <c r="AK1173" s="22">
        <v>0.17430555555555557</v>
      </c>
    </row>
    <row r="1174" spans="1:37" x14ac:dyDescent="0.2">
      <c r="A1174" s="2">
        <v>1453324</v>
      </c>
      <c r="B1174" s="2">
        <v>819733</v>
      </c>
      <c r="C1174" s="2">
        <v>657994</v>
      </c>
      <c r="D1174" t="s">
        <v>947</v>
      </c>
      <c r="H1174" s="15">
        <v>4.9446999999999998E-2</v>
      </c>
      <c r="K1174" s="15"/>
      <c r="AF1174" s="14"/>
      <c r="AG1174" s="14">
        <v>4.9446999999999998E-2</v>
      </c>
      <c r="AH1174" s="14"/>
      <c r="AI1174" s="14"/>
      <c r="AJ1174" s="51"/>
      <c r="AK1174" s="22">
        <v>0.21458333333333335</v>
      </c>
    </row>
    <row r="1175" spans="1:37" x14ac:dyDescent="0.2">
      <c r="A1175" s="2">
        <v>1469139</v>
      </c>
      <c r="B1175" s="2">
        <v>856281</v>
      </c>
      <c r="C1175" s="2">
        <v>1051876</v>
      </c>
      <c r="D1175" t="s">
        <v>809</v>
      </c>
      <c r="H1175" s="15">
        <v>3.5132999999999998E-2</v>
      </c>
      <c r="K1175" s="15"/>
      <c r="AF1175" s="14"/>
      <c r="AG1175" s="14">
        <v>3.5132999999999998E-2</v>
      </c>
      <c r="AH1175" s="14"/>
      <c r="AI1175" s="14"/>
      <c r="AJ1175" s="51"/>
      <c r="AK1175" s="22">
        <v>6.1805555555555558E-2</v>
      </c>
    </row>
    <row r="1176" spans="1:37" x14ac:dyDescent="0.2">
      <c r="A1176" s="2">
        <v>1470665</v>
      </c>
      <c r="B1176" s="2">
        <v>869773</v>
      </c>
      <c r="C1176" s="2">
        <v>722383</v>
      </c>
      <c r="D1176" t="s">
        <v>856</v>
      </c>
      <c r="H1176" s="15">
        <v>5.6721000000000001E-2</v>
      </c>
      <c r="K1176" s="15"/>
      <c r="AF1176" s="14"/>
      <c r="AG1176" s="14">
        <v>5.6721000000000001E-2</v>
      </c>
      <c r="AH1176" s="14"/>
      <c r="AI1176" s="14"/>
      <c r="AJ1176" s="51"/>
      <c r="AK1176" s="22">
        <v>0.14722222222222223</v>
      </c>
    </row>
    <row r="1177" spans="1:37" x14ac:dyDescent="0.2">
      <c r="A1177" s="2">
        <v>1483016</v>
      </c>
      <c r="B1177" s="2">
        <v>893077</v>
      </c>
      <c r="C1177" s="2">
        <v>671115</v>
      </c>
      <c r="D1177" t="s">
        <v>805</v>
      </c>
      <c r="H1177" s="15">
        <v>4.1541000000000002E-2</v>
      </c>
      <c r="K1177" s="15"/>
      <c r="AF1177" s="14"/>
      <c r="AG1177" s="14">
        <v>4.1541000000000002E-2</v>
      </c>
      <c r="AH1177" s="14"/>
      <c r="AI1177" s="14"/>
      <c r="AJ1177" s="51"/>
      <c r="AK1177" s="22">
        <v>0.21111111111111111</v>
      </c>
    </row>
    <row r="1178" spans="1:37" x14ac:dyDescent="0.2">
      <c r="A1178" s="2">
        <v>1485916</v>
      </c>
      <c r="B1178" s="2">
        <v>903551</v>
      </c>
      <c r="C1178" s="2">
        <v>365458</v>
      </c>
      <c r="D1178" t="s">
        <v>1141</v>
      </c>
      <c r="H1178" s="15">
        <v>0.121352</v>
      </c>
      <c r="K1178" s="15"/>
      <c r="AF1178" s="14"/>
      <c r="AG1178" s="14">
        <v>0.121352</v>
      </c>
      <c r="AH1178" s="14"/>
      <c r="AI1178" s="14"/>
      <c r="AJ1178" s="51"/>
      <c r="AK1178" s="22">
        <v>6.458333333333334E-2</v>
      </c>
    </row>
    <row r="1179" spans="1:37" x14ac:dyDescent="0.2">
      <c r="A1179" s="2">
        <v>1487860</v>
      </c>
      <c r="B1179" s="2">
        <v>948640</v>
      </c>
      <c r="C1179" s="2">
        <v>648416</v>
      </c>
      <c r="D1179" t="s">
        <v>914</v>
      </c>
      <c r="H1179" s="15">
        <v>5.2790999999999998E-2</v>
      </c>
      <c r="K1179" s="15"/>
      <c r="AF1179" s="14"/>
      <c r="AG1179" s="14">
        <v>5.2790999999999998E-2</v>
      </c>
      <c r="AH1179" s="14"/>
      <c r="AI1179" s="14"/>
      <c r="AJ1179" s="51"/>
      <c r="AK1179" s="22">
        <v>0.14861111111111111</v>
      </c>
    </row>
    <row r="1180" spans="1:37" x14ac:dyDescent="0.2">
      <c r="A1180" s="2">
        <v>1496049</v>
      </c>
      <c r="B1180" s="2">
        <v>986988</v>
      </c>
      <c r="C1180" s="2">
        <v>2498079</v>
      </c>
      <c r="D1180" t="s">
        <v>954</v>
      </c>
      <c r="H1180" s="15">
        <v>1.2933E-2</v>
      </c>
      <c r="K1180" s="15"/>
      <c r="AF1180" s="14"/>
      <c r="AG1180" s="14">
        <v>1.2933E-2</v>
      </c>
      <c r="AH1180" s="14"/>
      <c r="AI1180" s="14"/>
      <c r="AJ1180" s="51"/>
      <c r="AK1180" s="22">
        <v>5.1388888888888894E-2</v>
      </c>
    </row>
    <row r="1181" spans="1:37" x14ac:dyDescent="0.2">
      <c r="A1181" s="2">
        <v>1501755</v>
      </c>
      <c r="B1181" s="2">
        <v>1032019</v>
      </c>
      <c r="C1181" s="2">
        <v>781173</v>
      </c>
      <c r="D1181" t="s">
        <v>956</v>
      </c>
      <c r="H1181" s="15">
        <v>3.125E-2</v>
      </c>
      <c r="K1181" s="15"/>
      <c r="AF1181" s="14"/>
      <c r="AG1181" s="14">
        <v>3.125E-2</v>
      </c>
      <c r="AH1181" s="14"/>
      <c r="AI1181" s="14"/>
      <c r="AJ1181" s="51"/>
      <c r="AK1181" s="22">
        <v>0.34583333333333338</v>
      </c>
    </row>
    <row r="1182" spans="1:37" x14ac:dyDescent="0.2">
      <c r="A1182" s="2">
        <v>1538501</v>
      </c>
      <c r="B1182" s="2">
        <v>1041795</v>
      </c>
      <c r="C1182" s="2">
        <v>4498057</v>
      </c>
      <c r="D1182" t="s">
        <v>1219</v>
      </c>
      <c r="H1182" s="15">
        <v>0</v>
      </c>
      <c r="K1182" s="15"/>
      <c r="AF1182" s="14"/>
      <c r="AG1182" s="14">
        <v>0</v>
      </c>
      <c r="AH1182" s="14"/>
      <c r="AI1182" s="14"/>
      <c r="AJ1182" s="51"/>
      <c r="AK1182" s="22">
        <v>2.6388888888888889E-2</v>
      </c>
    </row>
    <row r="1183" spans="1:37" x14ac:dyDescent="0.2">
      <c r="A1183" s="2">
        <v>1547901</v>
      </c>
      <c r="B1183" s="2">
        <v>1084352</v>
      </c>
      <c r="C1183" s="2">
        <v>626499</v>
      </c>
      <c r="D1183" t="s">
        <v>802</v>
      </c>
      <c r="H1183" s="15">
        <v>5.3029E-2</v>
      </c>
      <c r="K1183" s="15"/>
      <c r="AF1183" s="14"/>
      <c r="AG1183" s="14">
        <v>5.3029E-2</v>
      </c>
      <c r="AH1183" s="14"/>
      <c r="AI1183" s="14"/>
      <c r="AJ1183" s="51"/>
      <c r="AK1183" s="22">
        <v>5.7638888888888885E-2</v>
      </c>
    </row>
    <row r="1184" spans="1:37" x14ac:dyDescent="0.2">
      <c r="A1184" s="2">
        <v>1566811</v>
      </c>
      <c r="B1184" s="2">
        <v>1276052</v>
      </c>
      <c r="C1184" s="2">
        <v>3598018</v>
      </c>
      <c r="D1184" t="s">
        <v>878</v>
      </c>
      <c r="H1184" s="15">
        <v>7.8969999999999995E-3</v>
      </c>
      <c r="K1184" s="15"/>
      <c r="AF1184" s="14"/>
      <c r="AG1184" s="14">
        <v>7.8969999999999995E-3</v>
      </c>
      <c r="AH1184" s="14"/>
      <c r="AI1184" s="14"/>
      <c r="AJ1184" s="51"/>
      <c r="AK1184" s="22">
        <v>2.7777777777777776E-2</v>
      </c>
    </row>
    <row r="1185" spans="1:37" x14ac:dyDescent="0.2">
      <c r="A1185" s="2">
        <v>1574712</v>
      </c>
      <c r="B1185" s="2">
        <v>1388000</v>
      </c>
      <c r="C1185" s="2">
        <v>5454882</v>
      </c>
      <c r="D1185" t="s">
        <v>883</v>
      </c>
      <c r="H1185" s="15">
        <v>0</v>
      </c>
      <c r="K1185" s="15"/>
      <c r="AF1185" s="14"/>
      <c r="AG1185" s="14">
        <v>0</v>
      </c>
      <c r="AH1185" s="14"/>
      <c r="AI1185" s="14"/>
      <c r="AJ1185" s="51"/>
      <c r="AK1185" s="22">
        <v>8.3333333333333332E-3</v>
      </c>
    </row>
    <row r="1186" spans="1:37" x14ac:dyDescent="0.2">
      <c r="A1186" s="2">
        <v>1626799</v>
      </c>
      <c r="B1186" s="2">
        <v>1453324</v>
      </c>
      <c r="C1186" s="2">
        <v>3559230</v>
      </c>
      <c r="D1186" t="s">
        <v>1211</v>
      </c>
      <c r="H1186" s="15">
        <v>6.7039999999999999E-3</v>
      </c>
      <c r="K1186" s="15"/>
      <c r="AF1186" s="14"/>
      <c r="AG1186" s="14">
        <v>6.7039999999999999E-3</v>
      </c>
      <c r="AH1186" s="14"/>
      <c r="AI1186" s="14"/>
      <c r="AJ1186" s="51"/>
      <c r="AK1186" s="22">
        <v>0.13749999999999998</v>
      </c>
    </row>
    <row r="1187" spans="1:37" x14ac:dyDescent="0.2">
      <c r="A1187" s="2">
        <v>1709514</v>
      </c>
      <c r="B1187" s="2">
        <v>1051876</v>
      </c>
      <c r="C1187" s="2">
        <v>1453044</v>
      </c>
      <c r="D1187" t="s">
        <v>845</v>
      </c>
      <c r="H1187" s="15">
        <v>5.3029E-2</v>
      </c>
      <c r="K1187" s="15"/>
      <c r="AF1187" s="14"/>
      <c r="AG1187" s="14">
        <v>1.5021E-2</v>
      </c>
      <c r="AH1187" s="14"/>
      <c r="AI1187" s="14"/>
      <c r="AJ1187" s="51"/>
      <c r="AK1187" s="22">
        <v>0.25694444444444448</v>
      </c>
    </row>
    <row r="1188" spans="1:37" x14ac:dyDescent="0.2">
      <c r="A1188" s="2">
        <v>1723265</v>
      </c>
      <c r="B1188" s="2">
        <v>1470665</v>
      </c>
      <c r="C1188" s="2">
        <v>585164</v>
      </c>
      <c r="D1188" t="s">
        <v>844</v>
      </c>
      <c r="H1188" s="15">
        <v>3.4018E-2</v>
      </c>
      <c r="K1188" s="15"/>
      <c r="AF1188" s="14"/>
      <c r="AG1188" s="14">
        <v>3.4018E-2</v>
      </c>
      <c r="AH1188" s="14"/>
      <c r="AI1188" s="14"/>
      <c r="AJ1188" s="51"/>
      <c r="AK1188" s="22">
        <v>0.75416666666666676</v>
      </c>
    </row>
    <row r="1189" spans="1:37" x14ac:dyDescent="0.2">
      <c r="A1189" s="2">
        <v>1810259</v>
      </c>
      <c r="B1189" s="2">
        <v>1483016</v>
      </c>
      <c r="C1189" s="2">
        <v>5679012</v>
      </c>
      <c r="D1189" t="s">
        <v>897</v>
      </c>
      <c r="H1189" s="15">
        <v>0</v>
      </c>
      <c r="K1189" s="15"/>
      <c r="AF1189" s="14"/>
      <c r="AG1189" s="14">
        <v>0</v>
      </c>
      <c r="AH1189" s="14"/>
      <c r="AI1189" s="14"/>
      <c r="AJ1189" s="51"/>
      <c r="AK1189" s="22">
        <v>0.10277777777777779</v>
      </c>
    </row>
    <row r="1190" spans="1:37" x14ac:dyDescent="0.2">
      <c r="A1190" s="2">
        <v>1878480</v>
      </c>
      <c r="B1190" s="2">
        <v>1485916</v>
      </c>
      <c r="C1190" s="2">
        <v>2801868</v>
      </c>
      <c r="D1190" t="s">
        <v>1217</v>
      </c>
      <c r="H1190" s="15">
        <v>1.0973999999999999E-2</v>
      </c>
      <c r="K1190" s="15"/>
      <c r="AF1190" s="14"/>
      <c r="AG1190" s="14">
        <v>1.0973999999999999E-2</v>
      </c>
      <c r="AH1190" s="14"/>
      <c r="AI1190" s="14"/>
      <c r="AJ1190" s="51"/>
      <c r="AK1190" s="22">
        <v>3.6111111111111115E-2</v>
      </c>
    </row>
    <row r="1191" spans="1:37" x14ac:dyDescent="0.2">
      <c r="A1191" s="2">
        <v>1892396</v>
      </c>
      <c r="B1191" s="2">
        <v>1487860</v>
      </c>
      <c r="C1191" s="2">
        <v>2413965</v>
      </c>
      <c r="D1191" t="s">
        <v>832</v>
      </c>
      <c r="H1191" s="15">
        <v>1.1807E-2</v>
      </c>
      <c r="K1191" s="15"/>
      <c r="AF1191" s="14"/>
      <c r="AG1191" s="14">
        <v>1.1807E-2</v>
      </c>
      <c r="AH1191" s="14"/>
      <c r="AI1191" s="14"/>
      <c r="AJ1191" s="51"/>
      <c r="AK1191" s="22">
        <v>0.10486111111111111</v>
      </c>
    </row>
    <row r="1192" spans="1:37" x14ac:dyDescent="0.2">
      <c r="A1192" s="2">
        <v>1983716</v>
      </c>
      <c r="B1192" s="2">
        <v>1496049</v>
      </c>
      <c r="C1192" s="2">
        <v>1468883</v>
      </c>
      <c r="D1192" t="s">
        <v>847</v>
      </c>
      <c r="H1192" s="15">
        <v>3.1140999999999999E-2</v>
      </c>
      <c r="K1192" s="15"/>
      <c r="AF1192" s="14"/>
      <c r="AG1192" s="14">
        <v>3.1140999999999999E-2</v>
      </c>
      <c r="AH1192" s="14"/>
      <c r="AI1192" s="14"/>
      <c r="AJ1192" s="51"/>
      <c r="AK1192" s="22">
        <v>7.6388888888888886E-3</v>
      </c>
    </row>
    <row r="1193" spans="1:37" x14ac:dyDescent="0.2">
      <c r="A1193" s="2">
        <v>1984390</v>
      </c>
      <c r="B1193" s="2">
        <v>1501755</v>
      </c>
      <c r="C1193" s="2">
        <v>1746633</v>
      </c>
      <c r="D1193" t="s">
        <v>945</v>
      </c>
      <c r="H1193" s="15">
        <v>2.2341E-2</v>
      </c>
      <c r="K1193" s="15"/>
      <c r="AF1193" s="14"/>
      <c r="AG1193" s="14">
        <v>2.2341E-2</v>
      </c>
      <c r="AH1193" s="14"/>
      <c r="AI1193" s="14"/>
      <c r="AJ1193" s="51"/>
      <c r="AK1193" s="22">
        <v>3.8194444444444441E-2</v>
      </c>
    </row>
    <row r="1194" spans="1:37" x14ac:dyDescent="0.2">
      <c r="A1194" s="2">
        <v>2008570</v>
      </c>
      <c r="B1194" s="2">
        <v>1538501</v>
      </c>
      <c r="C1194" s="2">
        <v>4612936</v>
      </c>
      <c r="D1194" t="s">
        <v>932</v>
      </c>
      <c r="H1194" s="15">
        <v>5.2030000000000002E-3</v>
      </c>
      <c r="K1194" s="15"/>
      <c r="AF1194" s="14"/>
      <c r="AG1194" s="14">
        <v>5.2030000000000002E-3</v>
      </c>
      <c r="AH1194" s="14"/>
      <c r="AI1194" s="14"/>
      <c r="AJ1194" s="51"/>
      <c r="AK1194" s="22">
        <v>1.7361111111111112E-2</v>
      </c>
    </row>
    <row r="1195" spans="1:37" x14ac:dyDescent="0.2">
      <c r="A1195" s="2">
        <v>2129417</v>
      </c>
      <c r="B1195" s="2">
        <v>1547901</v>
      </c>
      <c r="C1195" s="2">
        <v>6590937</v>
      </c>
      <c r="D1195" t="s">
        <v>875</v>
      </c>
      <c r="H1195" s="15">
        <v>0</v>
      </c>
      <c r="K1195" s="15"/>
      <c r="AF1195" s="14"/>
      <c r="AG1195" s="14">
        <v>0</v>
      </c>
      <c r="AH1195" s="14"/>
      <c r="AI1195" s="14"/>
      <c r="AJ1195" s="51"/>
      <c r="AK1195" s="22">
        <v>6.5277777777777782E-2</v>
      </c>
    </row>
    <row r="1196" spans="1:37" x14ac:dyDescent="0.2">
      <c r="A1196" s="2">
        <v>2225877</v>
      </c>
      <c r="B1196" s="2">
        <v>1566811</v>
      </c>
      <c r="C1196" s="2">
        <v>6241321</v>
      </c>
      <c r="D1196" t="s">
        <v>918</v>
      </c>
      <c r="H1196" s="15">
        <v>0</v>
      </c>
      <c r="K1196" s="15"/>
      <c r="AF1196" s="14"/>
      <c r="AG1196" s="14">
        <v>0</v>
      </c>
      <c r="AH1196" s="14"/>
      <c r="AI1196" s="14"/>
      <c r="AJ1196" s="51"/>
      <c r="AK1196" s="22">
        <v>0.1451388888888889</v>
      </c>
    </row>
    <row r="1197" spans="1:37" x14ac:dyDescent="0.2">
      <c r="A1197" s="2">
        <v>2266164</v>
      </c>
      <c r="B1197" s="2">
        <v>1574712</v>
      </c>
      <c r="C1197" s="2">
        <v>1422960</v>
      </c>
      <c r="D1197" t="s">
        <v>858</v>
      </c>
      <c r="H1197" s="15">
        <v>3.2729000000000001E-2</v>
      </c>
      <c r="K1197" s="15"/>
      <c r="AF1197" s="14"/>
      <c r="AG1197" s="14">
        <v>3.2729000000000001E-2</v>
      </c>
      <c r="AH1197" s="14"/>
      <c r="AI1197" s="14"/>
      <c r="AJ1197" s="51"/>
      <c r="AK1197" s="22">
        <v>2.5694444444444447E-2</v>
      </c>
    </row>
    <row r="1198" spans="1:37" x14ac:dyDescent="0.2">
      <c r="A1198" s="2">
        <v>2369899</v>
      </c>
      <c r="B1198" s="2">
        <v>1626799</v>
      </c>
      <c r="C1198" s="2">
        <v>7006353</v>
      </c>
      <c r="D1198" t="s">
        <v>927</v>
      </c>
      <c r="H1198" s="15">
        <v>0</v>
      </c>
      <c r="K1198" s="15"/>
      <c r="AF1198" s="14"/>
      <c r="AG1198" s="14">
        <v>0</v>
      </c>
      <c r="AH1198" s="14"/>
      <c r="AI1198" s="14"/>
      <c r="AJ1198" s="51"/>
      <c r="AK1198" s="22">
        <v>7.4999999999999997E-2</v>
      </c>
    </row>
    <row r="1199" spans="1:37" x14ac:dyDescent="0.2">
      <c r="A1199" s="2">
        <v>2422516</v>
      </c>
      <c r="B1199" s="2">
        <v>1709514</v>
      </c>
      <c r="C1199" s="2">
        <v>6175427</v>
      </c>
      <c r="D1199" t="s">
        <v>874</v>
      </c>
      <c r="H1199" s="15">
        <v>0</v>
      </c>
      <c r="K1199" s="15"/>
      <c r="AF1199" s="14"/>
      <c r="AG1199" s="14">
        <v>0</v>
      </c>
      <c r="AH1199" s="14"/>
      <c r="AI1199" s="14"/>
      <c r="AJ1199" s="51"/>
      <c r="AK1199" s="22">
        <v>1.3194444444444444E-2</v>
      </c>
    </row>
    <row r="1200" spans="1:37" x14ac:dyDescent="0.2">
      <c r="A1200" s="2">
        <v>2556474</v>
      </c>
      <c r="B1200" s="2">
        <v>1723265</v>
      </c>
      <c r="C1200" s="2">
        <v>5165388</v>
      </c>
      <c r="D1200" t="s">
        <v>846</v>
      </c>
      <c r="H1200" s="15">
        <v>0</v>
      </c>
      <c r="K1200" s="15"/>
      <c r="AF1200" s="14"/>
      <c r="AG1200" s="14">
        <v>0</v>
      </c>
      <c r="AH1200" s="14"/>
      <c r="AI1200" s="14"/>
      <c r="AJ1200" s="51"/>
      <c r="AK1200" s="22">
        <v>2.9861111111111113E-2</v>
      </c>
    </row>
    <row r="1201" spans="1:37" x14ac:dyDescent="0.2">
      <c r="A1201" s="2">
        <v>2777353</v>
      </c>
      <c r="B1201" s="2">
        <v>1810259</v>
      </c>
      <c r="C1201" s="2">
        <v>2267580</v>
      </c>
      <c r="D1201" t="s">
        <v>833</v>
      </c>
      <c r="H1201" s="15">
        <v>7.4970000000000002E-3</v>
      </c>
      <c r="K1201" s="15"/>
      <c r="AF1201" s="14"/>
      <c r="AG1201" s="14">
        <v>7.4969999999999995E-2</v>
      </c>
      <c r="AH1201" s="14"/>
      <c r="AI1201" s="14"/>
      <c r="AJ1201" s="51"/>
      <c r="AK1201" s="22">
        <v>0.2388888888888889</v>
      </c>
    </row>
    <row r="1202" spans="1:37" x14ac:dyDescent="0.2">
      <c r="A1202" s="2">
        <v>2898515</v>
      </c>
      <c r="B1202" s="2">
        <v>1878480</v>
      </c>
      <c r="C1202" s="2">
        <v>7553946</v>
      </c>
      <c r="D1202" t="s">
        <v>943</v>
      </c>
      <c r="H1202" s="15">
        <v>0</v>
      </c>
      <c r="K1202" s="15"/>
      <c r="AF1202" s="14"/>
      <c r="AG1202" s="14">
        <v>0</v>
      </c>
      <c r="AH1202" s="14"/>
      <c r="AI1202" s="14"/>
      <c r="AJ1202" s="51"/>
      <c r="AK1202" s="22">
        <v>0.26527777777777778</v>
      </c>
    </row>
    <row r="1203" spans="1:37" x14ac:dyDescent="0.2">
      <c r="A1203" s="2">
        <v>3093218</v>
      </c>
      <c r="B1203" s="2">
        <v>1892396</v>
      </c>
      <c r="C1203" s="2">
        <v>6302594</v>
      </c>
      <c r="D1203" t="s">
        <v>902</v>
      </c>
      <c r="H1203" s="15">
        <v>0</v>
      </c>
      <c r="K1203" s="15"/>
      <c r="AF1203" s="14"/>
      <c r="AG1203" s="14">
        <v>0</v>
      </c>
      <c r="AH1203" s="14"/>
      <c r="AI1203" s="14"/>
      <c r="AJ1203" s="51"/>
      <c r="AK1203" s="22">
        <v>4.5833333333333337E-2</v>
      </c>
    </row>
    <row r="1204" spans="1:37" x14ac:dyDescent="0.2">
      <c r="A1204" s="2">
        <v>3293815</v>
      </c>
      <c r="B1204" s="2">
        <v>1983716</v>
      </c>
      <c r="C1204" s="2">
        <v>7055081</v>
      </c>
      <c r="D1204" t="s">
        <v>834</v>
      </c>
      <c r="H1204" s="15">
        <v>0</v>
      </c>
      <c r="K1204" s="15"/>
      <c r="AF1204" s="14"/>
      <c r="AG1204" s="14">
        <v>0</v>
      </c>
      <c r="AH1204" s="14"/>
      <c r="AI1204" s="14"/>
      <c r="AJ1204" s="51"/>
      <c r="AK1204" s="22">
        <v>0.11805555555555557</v>
      </c>
    </row>
    <row r="1205" spans="1:37" x14ac:dyDescent="0.2">
      <c r="A1205" s="2">
        <v>3483419</v>
      </c>
      <c r="B1205" s="2">
        <v>1984390</v>
      </c>
      <c r="C1205" s="2">
        <v>6489411</v>
      </c>
      <c r="D1205" t="s">
        <v>909</v>
      </c>
      <c r="H1205" s="15">
        <v>0</v>
      </c>
      <c r="K1205" s="15"/>
      <c r="AF1205" s="14"/>
      <c r="AG1205" s="14">
        <v>0</v>
      </c>
      <c r="AH1205" s="14"/>
      <c r="AI1205" s="14"/>
      <c r="AJ1205" s="51"/>
      <c r="AK1205" s="22">
        <v>0.16597222222222222</v>
      </c>
    </row>
    <row r="1206" spans="1:37" x14ac:dyDescent="0.2">
      <c r="A1206" s="2">
        <v>3620708</v>
      </c>
      <c r="B1206" s="2">
        <v>2008570</v>
      </c>
      <c r="C1206" s="2">
        <v>2733023</v>
      </c>
      <c r="D1206" t="s">
        <v>959</v>
      </c>
      <c r="H1206" s="15">
        <v>7.8329999999999997E-3</v>
      </c>
      <c r="K1206" s="15"/>
      <c r="AF1206" s="14"/>
      <c r="AG1206" s="14">
        <v>7.8329999999999997E-3</v>
      </c>
      <c r="AH1206" s="14"/>
      <c r="AI1206" s="14"/>
      <c r="AJ1206" s="51"/>
      <c r="AK1206" s="22">
        <v>0.56111111111111112</v>
      </c>
    </row>
    <row r="1207" spans="1:37" x14ac:dyDescent="0.2">
      <c r="A1207" s="2">
        <v>3853078</v>
      </c>
      <c r="B1207" s="2">
        <v>2129417</v>
      </c>
      <c r="C1207" s="2">
        <v>6537201</v>
      </c>
      <c r="D1207" t="s">
        <v>955</v>
      </c>
      <c r="H1207" s="15">
        <v>0</v>
      </c>
      <c r="K1207" s="15"/>
      <c r="AF1207" s="14"/>
      <c r="AG1207" s="14">
        <v>0</v>
      </c>
      <c r="AH1207" s="14"/>
      <c r="AI1207" s="14"/>
      <c r="AJ1207" s="51"/>
      <c r="AK1207" s="22">
        <v>0.17569444444444446</v>
      </c>
    </row>
    <row r="1208" spans="1:37" x14ac:dyDescent="0.2">
      <c r="A1208" s="2">
        <v>4164800</v>
      </c>
      <c r="B1208" s="2">
        <v>2225877</v>
      </c>
      <c r="C1208" s="2">
        <v>2758035</v>
      </c>
      <c r="D1208" t="s">
        <v>1221</v>
      </c>
      <c r="H1208" s="15">
        <v>1.0630000000000001E-2</v>
      </c>
      <c r="K1208" s="15"/>
      <c r="AF1208" s="14"/>
      <c r="AG1208" s="14">
        <v>1.0630000000000001E-2</v>
      </c>
      <c r="AH1208" s="14"/>
      <c r="AI1208" s="14"/>
      <c r="AJ1208" s="51"/>
      <c r="AK1208" s="22">
        <v>0.15625</v>
      </c>
    </row>
    <row r="1209" spans="1:37" x14ac:dyDescent="0.2">
      <c r="A1209" s="2">
        <v>4352528</v>
      </c>
      <c r="B1209" s="2">
        <v>2266164</v>
      </c>
      <c r="C1209" s="2">
        <v>8136748</v>
      </c>
      <c r="D1209" t="s">
        <v>926</v>
      </c>
      <c r="H1209" s="15">
        <v>0</v>
      </c>
      <c r="K1209" s="15"/>
      <c r="AF1209" s="14"/>
      <c r="AG1209" s="14">
        <v>0</v>
      </c>
      <c r="AH1209" s="14"/>
      <c r="AI1209" s="14"/>
      <c r="AJ1209" s="51"/>
      <c r="AK1209" s="22">
        <v>3.3333333333333333E-2</v>
      </c>
    </row>
    <row r="1210" spans="1:37" x14ac:dyDescent="0.2">
      <c r="A1210" s="2">
        <v>4427327</v>
      </c>
      <c r="B1210" s="2">
        <v>2369899</v>
      </c>
      <c r="C1210" s="2">
        <v>11944288</v>
      </c>
      <c r="D1210" t="s">
        <v>892</v>
      </c>
      <c r="H1210" s="15">
        <v>0</v>
      </c>
      <c r="K1210" s="15"/>
      <c r="AF1210" s="14"/>
      <c r="AG1210" s="14">
        <v>0</v>
      </c>
      <c r="AH1210" s="14"/>
      <c r="AI1210" s="14"/>
      <c r="AJ1210" s="51"/>
      <c r="AK1210" s="22">
        <v>2.7777777777777779E-3</v>
      </c>
    </row>
    <row r="1211" spans="1:37" x14ac:dyDescent="0.2">
      <c r="A1211" s="2">
        <v>6235496</v>
      </c>
      <c r="B1211" s="2">
        <v>2422516</v>
      </c>
      <c r="C1211" s="2">
        <v>3336286</v>
      </c>
      <c r="D1211" t="s">
        <v>900</v>
      </c>
      <c r="H1211" s="15">
        <v>0</v>
      </c>
      <c r="K1211" s="15"/>
      <c r="AF1211" s="14"/>
      <c r="AG1211" s="14">
        <v>0</v>
      </c>
      <c r="AH1211" s="14"/>
      <c r="AI1211" s="14"/>
      <c r="AJ1211" s="51"/>
      <c r="AK1211" s="22">
        <v>0.1013888888888889</v>
      </c>
    </row>
    <row r="1212" spans="1:37" x14ac:dyDescent="0.2">
      <c r="A1212" s="2" t="s">
        <v>773</v>
      </c>
      <c r="B1212" s="2">
        <v>2556474</v>
      </c>
      <c r="C1212" s="2">
        <v>18725087</v>
      </c>
      <c r="D1212" t="s">
        <v>1199</v>
      </c>
      <c r="H1212" s="15">
        <v>0</v>
      </c>
      <c r="K1212" s="15"/>
      <c r="AF1212" s="14"/>
      <c r="AG1212" s="14">
        <v>0</v>
      </c>
      <c r="AH1212" s="14"/>
      <c r="AI1212" s="14"/>
      <c r="AJ1212" s="51"/>
      <c r="AK1212" s="22">
        <v>0</v>
      </c>
    </row>
    <row r="1213" spans="1:37" x14ac:dyDescent="0.2">
      <c r="B1213" s="2">
        <v>2898515</v>
      </c>
      <c r="AF1213" s="14"/>
      <c r="AG1213" s="14"/>
      <c r="AH1213" s="14"/>
      <c r="AI1213" s="14"/>
      <c r="AJ1213" s="51"/>
    </row>
    <row r="1214" spans="1:37" x14ac:dyDescent="0.2">
      <c r="B1214" s="2">
        <v>3093218</v>
      </c>
      <c r="AD1214" s="8"/>
      <c r="AF1214" s="14"/>
      <c r="AG1214" s="14"/>
      <c r="AH1214" s="14"/>
      <c r="AI1214" s="14"/>
      <c r="AJ1214" s="51"/>
    </row>
    <row r="1215" spans="1:37" x14ac:dyDescent="0.2">
      <c r="B1215" s="2">
        <v>3293815</v>
      </c>
      <c r="AD1215" s="8"/>
      <c r="AF1215" s="14"/>
      <c r="AG1215" s="14"/>
      <c r="AH1215" s="14"/>
      <c r="AI1215" s="14"/>
      <c r="AJ1215" s="51"/>
    </row>
    <row r="1216" spans="1:37" x14ac:dyDescent="0.2">
      <c r="A1216"/>
      <c r="B1216" s="2">
        <v>3483419</v>
      </c>
      <c r="C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 s="8"/>
      <c r="AE1216"/>
      <c r="AF1216" s="14"/>
      <c r="AG1216" s="14"/>
      <c r="AH1216" s="14"/>
      <c r="AI1216" s="14"/>
      <c r="AJ1216" s="51"/>
    </row>
    <row r="1217" spans="1:36" x14ac:dyDescent="0.2">
      <c r="A1217"/>
      <c r="B1217" s="2">
        <v>3620708</v>
      </c>
      <c r="C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 s="8"/>
      <c r="AE1217"/>
      <c r="AF1217" s="14"/>
      <c r="AG1217" s="14"/>
      <c r="AH1217" s="14"/>
      <c r="AI1217" s="14"/>
      <c r="AJ1217" s="51"/>
    </row>
    <row r="1218" spans="1:36" x14ac:dyDescent="0.2">
      <c r="A1218"/>
      <c r="B1218" s="2">
        <v>3853078</v>
      </c>
      <c r="C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 s="8"/>
      <c r="AE1218"/>
      <c r="AF1218" s="14"/>
      <c r="AG1218" s="14"/>
      <c r="AH1218" s="14"/>
      <c r="AI1218" s="14"/>
      <c r="AJ1218" s="51"/>
    </row>
    <row r="1219" spans="1:36" x14ac:dyDescent="0.2">
      <c r="A1219"/>
      <c r="B1219" s="2">
        <v>4164800</v>
      </c>
      <c r="C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 s="8"/>
      <c r="AE1219"/>
      <c r="AF1219" s="14"/>
      <c r="AG1219" s="14"/>
      <c r="AH1219" s="14"/>
      <c r="AI1219" s="14"/>
      <c r="AJ1219" s="51"/>
    </row>
    <row r="1220" spans="1:36" x14ac:dyDescent="0.2">
      <c r="A1220"/>
      <c r="B1220" s="2">
        <v>4352528</v>
      </c>
      <c r="C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 s="8"/>
      <c r="AE1220"/>
      <c r="AF1220" s="14"/>
      <c r="AG1220" s="14"/>
      <c r="AH1220" s="14"/>
      <c r="AI1220" s="14"/>
      <c r="AJ1220" s="51"/>
    </row>
    <row r="1221" spans="1:36" x14ac:dyDescent="0.2">
      <c r="A1221"/>
      <c r="B1221" s="2">
        <v>4427327</v>
      </c>
      <c r="C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 s="8"/>
      <c r="AE1221"/>
      <c r="AF1221" s="14"/>
      <c r="AG1221" s="14"/>
      <c r="AH1221" s="14"/>
      <c r="AI1221" s="14"/>
      <c r="AJ1221" s="51"/>
    </row>
    <row r="1222" spans="1:36" x14ac:dyDescent="0.2">
      <c r="A1222"/>
      <c r="B1222" s="2">
        <v>6235496</v>
      </c>
      <c r="C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 s="8"/>
      <c r="AE1222"/>
      <c r="AF1222" s="14"/>
      <c r="AG1222" s="14"/>
      <c r="AH1222" s="14"/>
      <c r="AI1222" s="14"/>
      <c r="AJ1222" s="51"/>
    </row>
    <row r="1223" spans="1:36" x14ac:dyDescent="0.2">
      <c r="A1223"/>
      <c r="B1223" s="2" t="s">
        <v>773</v>
      </c>
      <c r="C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 s="8"/>
      <c r="AE1223"/>
      <c r="AF1223" s="14"/>
      <c r="AG1223" s="14"/>
      <c r="AH1223" s="14"/>
      <c r="AI1223" s="14"/>
      <c r="AJ1223" s="51"/>
    </row>
    <row r="1224" spans="1:36" x14ac:dyDescent="0.2">
      <c r="A1224"/>
      <c r="C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 s="8"/>
      <c r="AE1224"/>
      <c r="AF1224" s="14"/>
      <c r="AG1224" s="14"/>
      <c r="AH1224" s="14"/>
      <c r="AI1224" s="14"/>
      <c r="AJ1224" s="51"/>
    </row>
    <row r="1225" spans="1:36" x14ac:dyDescent="0.2">
      <c r="A1225"/>
      <c r="C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 s="8"/>
      <c r="AE1225"/>
      <c r="AF1225" s="14"/>
      <c r="AG1225" s="14"/>
      <c r="AH1225" s="14"/>
      <c r="AI1225" s="14"/>
      <c r="AJ1225" s="51"/>
    </row>
    <row r="1226" spans="1:36" x14ac:dyDescent="0.2">
      <c r="A1226"/>
      <c r="C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 s="8"/>
      <c r="AE1226"/>
      <c r="AF1226" s="14"/>
      <c r="AG1226" s="14"/>
      <c r="AH1226" s="14"/>
      <c r="AI1226" s="14"/>
      <c r="AJ1226" s="51"/>
    </row>
    <row r="1227" spans="1:36" x14ac:dyDescent="0.2">
      <c r="A1227"/>
      <c r="C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 s="8"/>
      <c r="AE1227"/>
      <c r="AF1227" s="14"/>
      <c r="AG1227" s="14"/>
      <c r="AH1227" s="14"/>
      <c r="AI1227" s="14"/>
      <c r="AJ1227" s="51"/>
    </row>
    <row r="1228" spans="1:36" x14ac:dyDescent="0.2">
      <c r="A1228"/>
      <c r="B1228"/>
      <c r="C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 s="8"/>
      <c r="AE1228"/>
      <c r="AF1228" s="14"/>
      <c r="AG1228" s="14"/>
      <c r="AH1228" s="14"/>
      <c r="AI1228" s="14"/>
      <c r="AJ1228" s="51"/>
    </row>
    <row r="1229" spans="1:36" x14ac:dyDescent="0.2">
      <c r="A1229"/>
      <c r="B1229"/>
      <c r="C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 s="8"/>
      <c r="AE1229"/>
      <c r="AF1229" s="14"/>
      <c r="AG1229" s="14"/>
      <c r="AH1229" s="14"/>
      <c r="AI1229" s="14"/>
      <c r="AJ1229" s="51"/>
    </row>
    <row r="1230" spans="1:36" x14ac:dyDescent="0.2">
      <c r="A1230"/>
      <c r="B1230"/>
      <c r="C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 s="8"/>
      <c r="AE1230"/>
      <c r="AF1230" s="14"/>
      <c r="AG1230" s="14"/>
      <c r="AH1230" s="14"/>
      <c r="AI1230" s="14"/>
      <c r="AJ1230" s="51"/>
    </row>
    <row r="1231" spans="1:36" x14ac:dyDescent="0.2">
      <c r="A1231"/>
      <c r="B1231"/>
      <c r="C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 s="8"/>
      <c r="AE1231"/>
      <c r="AF1231" s="14"/>
      <c r="AG1231" s="14"/>
      <c r="AH1231" s="14"/>
      <c r="AI1231" s="14"/>
      <c r="AJ1231" s="51"/>
    </row>
    <row r="1232" spans="1:36" x14ac:dyDescent="0.2">
      <c r="A1232"/>
      <c r="B1232"/>
      <c r="C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 s="8"/>
      <c r="AE1232"/>
      <c r="AF1232" s="14"/>
      <c r="AG1232" s="14"/>
      <c r="AH1232" s="14"/>
      <c r="AI1232" s="14"/>
      <c r="AJ1232" s="51"/>
    </row>
    <row r="1233" spans="1:36" x14ac:dyDescent="0.2">
      <c r="A1233"/>
      <c r="B1233"/>
      <c r="C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 s="8"/>
      <c r="AE1233"/>
      <c r="AF1233" s="14"/>
      <c r="AG1233" s="14"/>
      <c r="AH1233" s="14"/>
      <c r="AI1233" s="14"/>
      <c r="AJ1233" s="51"/>
    </row>
    <row r="1234" spans="1:36" x14ac:dyDescent="0.2">
      <c r="A1234"/>
      <c r="B1234"/>
      <c r="C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 s="8"/>
      <c r="AE1234"/>
      <c r="AF1234" s="14"/>
      <c r="AG1234" s="14"/>
      <c r="AH1234" s="14"/>
      <c r="AI1234" s="14"/>
      <c r="AJ1234" s="51"/>
    </row>
    <row r="1235" spans="1:36" x14ac:dyDescent="0.2">
      <c r="A1235"/>
      <c r="B1235"/>
      <c r="C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 s="8"/>
      <c r="AE1235"/>
      <c r="AF1235" s="14"/>
      <c r="AG1235" s="14"/>
      <c r="AH1235" s="14"/>
      <c r="AI1235" s="14"/>
      <c r="AJ1235" s="51"/>
    </row>
    <row r="1236" spans="1:36" x14ac:dyDescent="0.2">
      <c r="A1236"/>
      <c r="B1236"/>
      <c r="C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 s="8"/>
      <c r="AE1236"/>
      <c r="AF1236" s="14"/>
      <c r="AG1236" s="14"/>
      <c r="AH1236" s="14"/>
      <c r="AI1236" s="14"/>
      <c r="AJ1236" s="51"/>
    </row>
    <row r="1237" spans="1:36" x14ac:dyDescent="0.2">
      <c r="A1237"/>
      <c r="B1237"/>
      <c r="C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 s="8"/>
      <c r="AE1237"/>
      <c r="AF1237" s="14"/>
      <c r="AG1237" s="14"/>
      <c r="AH1237" s="14"/>
      <c r="AI1237" s="14"/>
      <c r="AJ1237" s="51"/>
    </row>
    <row r="1238" spans="1:36" x14ac:dyDescent="0.2">
      <c r="A1238"/>
      <c r="B1238"/>
      <c r="C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 s="8"/>
      <c r="AE1238"/>
      <c r="AF1238" s="14"/>
      <c r="AG1238" s="14"/>
      <c r="AH1238" s="14"/>
      <c r="AI1238" s="14"/>
      <c r="AJ1238" s="51"/>
    </row>
    <row r="1239" spans="1:36" x14ac:dyDescent="0.2">
      <c r="A1239"/>
      <c r="B1239"/>
      <c r="C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 s="8"/>
      <c r="AE1239"/>
      <c r="AF1239" s="14"/>
      <c r="AG1239" s="14"/>
      <c r="AH1239" s="14"/>
      <c r="AI1239" s="14"/>
      <c r="AJ1239" s="51"/>
    </row>
    <row r="1240" spans="1:36" x14ac:dyDescent="0.2">
      <c r="A1240"/>
      <c r="B1240"/>
      <c r="C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 s="8"/>
      <c r="AE1240"/>
      <c r="AF1240" s="14"/>
      <c r="AG1240" s="14"/>
      <c r="AH1240" s="14"/>
      <c r="AI1240" s="14"/>
      <c r="AJ1240" s="51"/>
    </row>
    <row r="1241" spans="1:36" x14ac:dyDescent="0.2">
      <c r="A1241"/>
      <c r="B1241"/>
      <c r="C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 s="8"/>
      <c r="AE1241"/>
      <c r="AF1241" s="14"/>
      <c r="AG1241" s="14"/>
      <c r="AH1241" s="14"/>
      <c r="AI1241" s="14"/>
      <c r="AJ1241" s="51"/>
    </row>
    <row r="1242" spans="1:36" x14ac:dyDescent="0.2">
      <c r="A1242"/>
      <c r="B1242"/>
      <c r="C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 s="8"/>
      <c r="AE1242"/>
      <c r="AF1242" s="14"/>
      <c r="AG1242" s="14"/>
      <c r="AH1242" s="14"/>
      <c r="AI1242" s="14"/>
      <c r="AJ1242" s="51"/>
    </row>
    <row r="1243" spans="1:36" x14ac:dyDescent="0.2">
      <c r="A1243"/>
      <c r="B1243"/>
      <c r="C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 s="8"/>
      <c r="AE1243"/>
      <c r="AF1243" s="14"/>
      <c r="AG1243" s="14"/>
      <c r="AH1243" s="14"/>
      <c r="AI1243" s="14"/>
      <c r="AJ1243" s="51"/>
    </row>
    <row r="1244" spans="1:36" x14ac:dyDescent="0.2">
      <c r="A1244"/>
      <c r="B1244"/>
      <c r="C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s="8"/>
      <c r="AE1244"/>
      <c r="AF1244" s="14"/>
      <c r="AG1244" s="14"/>
      <c r="AH1244" s="14"/>
      <c r="AI1244" s="14"/>
      <c r="AJ1244" s="51"/>
    </row>
    <row r="1245" spans="1:36" x14ac:dyDescent="0.2">
      <c r="A1245"/>
      <c r="B1245"/>
      <c r="C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 s="8"/>
      <c r="AE1245"/>
      <c r="AF1245" s="14"/>
      <c r="AG1245" s="14"/>
      <c r="AH1245" s="14"/>
      <c r="AI1245" s="14"/>
      <c r="AJ1245" s="51"/>
    </row>
    <row r="1246" spans="1:36" x14ac:dyDescent="0.2">
      <c r="A1246"/>
      <c r="B1246"/>
      <c r="C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s="8"/>
      <c r="AE1246"/>
      <c r="AF1246" s="14"/>
      <c r="AG1246" s="14"/>
      <c r="AH1246" s="14"/>
      <c r="AI1246" s="14"/>
      <c r="AJ1246" s="51"/>
    </row>
    <row r="1247" spans="1:36" x14ac:dyDescent="0.2">
      <c r="A1247"/>
      <c r="B1247"/>
      <c r="C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 s="8"/>
      <c r="AE1247"/>
      <c r="AF1247" s="14"/>
      <c r="AG1247" s="14"/>
      <c r="AH1247" s="14"/>
      <c r="AI1247" s="14"/>
      <c r="AJ1247" s="51"/>
    </row>
    <row r="1248" spans="1:36" x14ac:dyDescent="0.2">
      <c r="A1248"/>
      <c r="B1248"/>
      <c r="C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 s="8"/>
      <c r="AE1248"/>
      <c r="AF1248" s="14"/>
      <c r="AG1248" s="14"/>
      <c r="AH1248" s="14"/>
      <c r="AI1248" s="14"/>
      <c r="AJ1248" s="51"/>
    </row>
    <row r="1249" spans="1:36" x14ac:dyDescent="0.2">
      <c r="A1249"/>
      <c r="B1249"/>
      <c r="C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 s="8"/>
      <c r="AE1249"/>
      <c r="AF1249" s="14"/>
      <c r="AG1249" s="14"/>
      <c r="AH1249" s="14"/>
      <c r="AI1249" s="14"/>
      <c r="AJ1249" s="51"/>
    </row>
    <row r="1250" spans="1:36" x14ac:dyDescent="0.2">
      <c r="A1250"/>
      <c r="B1250"/>
      <c r="C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 s="8"/>
      <c r="AE1250"/>
      <c r="AF1250" s="14"/>
      <c r="AG1250" s="14"/>
      <c r="AH1250" s="14"/>
      <c r="AI1250" s="14"/>
      <c r="AJ1250" s="51"/>
    </row>
    <row r="1251" spans="1:36" x14ac:dyDescent="0.2">
      <c r="A1251"/>
      <c r="B1251"/>
      <c r="C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 s="8"/>
      <c r="AE1251"/>
      <c r="AF1251" s="14"/>
      <c r="AG1251" s="14"/>
      <c r="AH1251" s="14"/>
      <c r="AI1251" s="14"/>
      <c r="AJ1251" s="51"/>
    </row>
    <row r="1252" spans="1:36" x14ac:dyDescent="0.2">
      <c r="A1252"/>
      <c r="B1252"/>
      <c r="C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 s="8"/>
      <c r="AE1252"/>
      <c r="AF1252" s="14"/>
      <c r="AG1252" s="14"/>
      <c r="AH1252" s="14"/>
      <c r="AI1252" s="14"/>
      <c r="AJ1252" s="51"/>
    </row>
    <row r="1253" spans="1:36" x14ac:dyDescent="0.2">
      <c r="A1253"/>
      <c r="B1253"/>
      <c r="C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 s="8"/>
      <c r="AE1253"/>
      <c r="AF1253" s="14"/>
      <c r="AG1253" s="14"/>
      <c r="AH1253" s="14"/>
      <c r="AI1253" s="14"/>
      <c r="AJ1253" s="51"/>
    </row>
    <row r="1254" spans="1:36" x14ac:dyDescent="0.2">
      <c r="A1254"/>
      <c r="B1254"/>
      <c r="C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 s="8"/>
      <c r="AE1254"/>
      <c r="AF1254" s="14"/>
      <c r="AG1254" s="14"/>
      <c r="AH1254" s="14"/>
      <c r="AI1254" s="14"/>
      <c r="AJ1254" s="51"/>
    </row>
    <row r="1255" spans="1:36" x14ac:dyDescent="0.2">
      <c r="A1255"/>
      <c r="B1255"/>
      <c r="C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 s="8"/>
      <c r="AE1255"/>
      <c r="AF1255" s="14"/>
      <c r="AG1255" s="14"/>
      <c r="AH1255" s="14"/>
      <c r="AI1255" s="14"/>
      <c r="AJ1255" s="51"/>
    </row>
    <row r="1256" spans="1:36" x14ac:dyDescent="0.2">
      <c r="A1256"/>
      <c r="B1256"/>
      <c r="C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 s="8"/>
      <c r="AE1256"/>
      <c r="AF1256" s="14"/>
      <c r="AG1256" s="14"/>
      <c r="AH1256" s="14"/>
      <c r="AI1256" s="14"/>
      <c r="AJ1256" s="51"/>
    </row>
    <row r="1257" spans="1:36" x14ac:dyDescent="0.2">
      <c r="A1257"/>
      <c r="B1257"/>
      <c r="C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 s="8"/>
      <c r="AE1257"/>
      <c r="AF1257" s="14"/>
      <c r="AG1257" s="14"/>
      <c r="AH1257" s="14"/>
      <c r="AI1257" s="14"/>
      <c r="AJ1257" s="51"/>
    </row>
    <row r="1258" spans="1:36" x14ac:dyDescent="0.2">
      <c r="A1258"/>
      <c r="B1258"/>
      <c r="C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 s="8"/>
      <c r="AE1258"/>
      <c r="AF1258" s="14"/>
      <c r="AG1258" s="14"/>
      <c r="AH1258" s="14"/>
      <c r="AI1258" s="14"/>
      <c r="AJ1258" s="51"/>
    </row>
    <row r="1259" spans="1:36" x14ac:dyDescent="0.2">
      <c r="A1259"/>
      <c r="B1259"/>
      <c r="C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 s="8"/>
      <c r="AE1259"/>
      <c r="AF1259" s="14"/>
      <c r="AG1259" s="14"/>
      <c r="AH1259" s="14"/>
      <c r="AI1259" s="14"/>
      <c r="AJ1259" s="51"/>
    </row>
    <row r="1260" spans="1:36" x14ac:dyDescent="0.2">
      <c r="A1260"/>
      <c r="B1260"/>
      <c r="C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 s="8"/>
      <c r="AE1260"/>
      <c r="AF1260" s="14"/>
      <c r="AG1260" s="14"/>
      <c r="AH1260" s="14"/>
      <c r="AI1260" s="14"/>
      <c r="AJ1260" s="51"/>
    </row>
    <row r="1261" spans="1:36" x14ac:dyDescent="0.2">
      <c r="A1261"/>
      <c r="B1261"/>
      <c r="C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 s="8"/>
      <c r="AE1261"/>
      <c r="AF1261" s="14"/>
      <c r="AG1261" s="14"/>
      <c r="AH1261" s="14"/>
      <c r="AI1261" s="14"/>
      <c r="AJ1261" s="51"/>
    </row>
    <row r="1262" spans="1:36" x14ac:dyDescent="0.2">
      <c r="A1262"/>
      <c r="B1262"/>
      <c r="C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 s="8"/>
      <c r="AE1262"/>
      <c r="AF1262" s="14"/>
      <c r="AG1262" s="14"/>
      <c r="AH1262" s="14"/>
      <c r="AI1262" s="14"/>
      <c r="AJ1262" s="51"/>
    </row>
    <row r="1263" spans="1:36" x14ac:dyDescent="0.2">
      <c r="A1263"/>
      <c r="B1263"/>
      <c r="C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 s="8"/>
      <c r="AE1263"/>
      <c r="AF1263" s="14"/>
      <c r="AG1263" s="14"/>
      <c r="AH1263" s="14"/>
      <c r="AI1263" s="14"/>
      <c r="AJ1263" s="51"/>
    </row>
    <row r="1264" spans="1:36" x14ac:dyDescent="0.2">
      <c r="A1264"/>
      <c r="B1264"/>
      <c r="C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 s="8"/>
      <c r="AE1264"/>
      <c r="AF1264" s="14"/>
      <c r="AG1264" s="14"/>
      <c r="AH1264" s="14"/>
      <c r="AI1264" s="14"/>
      <c r="AJ1264" s="51"/>
    </row>
    <row r="1265" spans="1:36" x14ac:dyDescent="0.2">
      <c r="A1265"/>
      <c r="B1265"/>
      <c r="C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 s="8"/>
      <c r="AE1265"/>
      <c r="AF1265" s="14"/>
      <c r="AG1265" s="14"/>
      <c r="AH1265" s="14"/>
      <c r="AI1265" s="14"/>
      <c r="AJ1265" s="51"/>
    </row>
    <row r="1266" spans="1:36" x14ac:dyDescent="0.2">
      <c r="A1266"/>
      <c r="B1266"/>
      <c r="C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 s="8"/>
      <c r="AE1266"/>
      <c r="AF1266" s="14"/>
      <c r="AG1266" s="14"/>
      <c r="AH1266" s="14"/>
      <c r="AI1266" s="14"/>
      <c r="AJ1266" s="51"/>
    </row>
    <row r="1267" spans="1:36" x14ac:dyDescent="0.2">
      <c r="A1267"/>
      <c r="B1267"/>
      <c r="C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 s="8"/>
      <c r="AE1267"/>
      <c r="AF1267" s="14"/>
      <c r="AG1267" s="14"/>
      <c r="AH1267" s="14"/>
      <c r="AI1267" s="14"/>
      <c r="AJ1267" s="51"/>
    </row>
    <row r="1268" spans="1:36" x14ac:dyDescent="0.2">
      <c r="A1268"/>
      <c r="B1268"/>
      <c r="C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 s="8"/>
      <c r="AE1268"/>
      <c r="AF1268" s="14"/>
      <c r="AG1268" s="14"/>
      <c r="AH1268" s="14"/>
      <c r="AI1268" s="14"/>
      <c r="AJ1268" s="51"/>
    </row>
    <row r="1269" spans="1:36" x14ac:dyDescent="0.2">
      <c r="A1269"/>
      <c r="B1269"/>
      <c r="C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 s="8"/>
      <c r="AE1269"/>
      <c r="AF1269" s="14"/>
      <c r="AG1269" s="14"/>
      <c r="AH1269" s="14"/>
      <c r="AI1269" s="14"/>
      <c r="AJ1269" s="51"/>
    </row>
    <row r="1270" spans="1:36" x14ac:dyDescent="0.2">
      <c r="A1270"/>
      <c r="B1270"/>
      <c r="C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 s="8"/>
      <c r="AE1270"/>
      <c r="AF1270" s="14"/>
      <c r="AG1270" s="14"/>
      <c r="AH1270" s="14"/>
      <c r="AI1270" s="14"/>
      <c r="AJ1270" s="51"/>
    </row>
    <row r="1271" spans="1:36" x14ac:dyDescent="0.2">
      <c r="A1271"/>
      <c r="B1271"/>
      <c r="C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 s="8"/>
      <c r="AE1271"/>
      <c r="AF1271" s="14"/>
      <c r="AG1271" s="14"/>
      <c r="AH1271" s="14"/>
      <c r="AI1271" s="14"/>
      <c r="AJ1271" s="51"/>
    </row>
    <row r="1272" spans="1:36" x14ac:dyDescent="0.2">
      <c r="A1272"/>
      <c r="B1272"/>
      <c r="C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 s="8"/>
      <c r="AE1272"/>
      <c r="AF1272" s="14"/>
      <c r="AG1272" s="14"/>
      <c r="AH1272" s="14"/>
      <c r="AI1272" s="14"/>
      <c r="AJ1272" s="51"/>
    </row>
    <row r="1273" spans="1:36" x14ac:dyDescent="0.2">
      <c r="A1273"/>
      <c r="B1273"/>
      <c r="C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 s="8"/>
      <c r="AE1273"/>
      <c r="AF1273" s="14"/>
      <c r="AG1273" s="14"/>
      <c r="AH1273" s="14"/>
      <c r="AI1273" s="14"/>
      <c r="AJ1273" s="51"/>
    </row>
    <row r="1274" spans="1:36" x14ac:dyDescent="0.2">
      <c r="A1274"/>
      <c r="B1274"/>
      <c r="C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 s="8"/>
      <c r="AE1274"/>
      <c r="AF1274" s="14"/>
      <c r="AG1274" s="14"/>
      <c r="AH1274" s="14"/>
      <c r="AI1274" s="14"/>
      <c r="AJ1274" s="51"/>
    </row>
    <row r="1275" spans="1:36" x14ac:dyDescent="0.2">
      <c r="A1275"/>
      <c r="B1275"/>
      <c r="C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 s="8"/>
      <c r="AE1275"/>
      <c r="AF1275" s="14"/>
      <c r="AG1275" s="14"/>
      <c r="AH1275" s="14"/>
      <c r="AI1275" s="14"/>
      <c r="AJ1275" s="51"/>
    </row>
    <row r="1276" spans="1:36" x14ac:dyDescent="0.2">
      <c r="A1276"/>
      <c r="B1276"/>
      <c r="C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 s="8"/>
      <c r="AE1276"/>
      <c r="AF1276" s="14"/>
      <c r="AG1276" s="14"/>
      <c r="AH1276" s="14"/>
      <c r="AI1276" s="14"/>
      <c r="AJ1276" s="51"/>
    </row>
    <row r="1277" spans="1:36" x14ac:dyDescent="0.2">
      <c r="A1277"/>
      <c r="B1277"/>
      <c r="C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 s="8"/>
      <c r="AE1277"/>
      <c r="AF1277" s="14"/>
      <c r="AG1277" s="14"/>
      <c r="AH1277" s="14"/>
      <c r="AI1277" s="14"/>
      <c r="AJ1277" s="51"/>
    </row>
    <row r="1278" spans="1:36" x14ac:dyDescent="0.2">
      <c r="A1278"/>
      <c r="B1278"/>
      <c r="C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 s="8"/>
      <c r="AE1278"/>
      <c r="AF1278" s="14"/>
      <c r="AG1278" s="14"/>
      <c r="AH1278" s="14"/>
      <c r="AI1278" s="14"/>
      <c r="AJ1278" s="51"/>
    </row>
    <row r="1279" spans="1:36" x14ac:dyDescent="0.2">
      <c r="A1279"/>
      <c r="B1279"/>
      <c r="C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 s="8"/>
      <c r="AE1279"/>
      <c r="AF1279" s="14"/>
      <c r="AG1279" s="14"/>
      <c r="AH1279" s="14"/>
      <c r="AI1279" s="14"/>
      <c r="AJ1279" s="51"/>
    </row>
    <row r="1280" spans="1:36" x14ac:dyDescent="0.2">
      <c r="A1280"/>
      <c r="B1280"/>
      <c r="C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 s="8"/>
      <c r="AE1280"/>
      <c r="AF1280" s="14"/>
      <c r="AG1280" s="14"/>
      <c r="AH1280" s="14"/>
      <c r="AI1280" s="14"/>
      <c r="AJ1280" s="51"/>
    </row>
    <row r="1281" spans="1:36" x14ac:dyDescent="0.2">
      <c r="A1281"/>
      <c r="B1281"/>
      <c r="C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 s="8"/>
      <c r="AE1281"/>
      <c r="AF1281" s="14"/>
      <c r="AG1281" s="14"/>
      <c r="AH1281" s="14"/>
      <c r="AI1281" s="14"/>
      <c r="AJ1281" s="51"/>
    </row>
    <row r="1282" spans="1:36" x14ac:dyDescent="0.2">
      <c r="A1282"/>
      <c r="B1282"/>
      <c r="C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 s="8"/>
      <c r="AE1282"/>
      <c r="AF1282" s="14"/>
      <c r="AG1282" s="14"/>
      <c r="AH1282" s="14"/>
      <c r="AI1282" s="14"/>
      <c r="AJ1282" s="51"/>
    </row>
    <row r="1283" spans="1:36" x14ac:dyDescent="0.2">
      <c r="A1283"/>
      <c r="B1283"/>
      <c r="C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 s="8"/>
      <c r="AE1283"/>
      <c r="AF1283" s="14"/>
      <c r="AG1283" s="14"/>
      <c r="AH1283" s="14"/>
      <c r="AI1283" s="14"/>
      <c r="AJ1283" s="51"/>
    </row>
    <row r="1284" spans="1:36" x14ac:dyDescent="0.2">
      <c r="A1284"/>
      <c r="B1284"/>
      <c r="C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 s="8"/>
      <c r="AE1284"/>
      <c r="AF1284" s="14"/>
      <c r="AG1284" s="14"/>
      <c r="AH1284" s="14"/>
      <c r="AI1284" s="14"/>
      <c r="AJ1284" s="51"/>
    </row>
    <row r="1285" spans="1:36" x14ac:dyDescent="0.2">
      <c r="A1285"/>
      <c r="B1285"/>
      <c r="C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 s="8"/>
      <c r="AE1285"/>
      <c r="AF1285" s="14"/>
      <c r="AG1285" s="14"/>
      <c r="AH1285" s="14"/>
      <c r="AI1285" s="14"/>
      <c r="AJ1285" s="51"/>
    </row>
    <row r="1286" spans="1:36" x14ac:dyDescent="0.2">
      <c r="A1286"/>
      <c r="B1286"/>
      <c r="C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 s="8"/>
      <c r="AE1286"/>
      <c r="AF1286" s="14"/>
      <c r="AG1286" s="14"/>
      <c r="AH1286" s="14"/>
      <c r="AI1286" s="14"/>
      <c r="AJ1286" s="51"/>
    </row>
    <row r="1287" spans="1:36" x14ac:dyDescent="0.2">
      <c r="A1287"/>
      <c r="B1287"/>
      <c r="C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 s="8"/>
      <c r="AE1287"/>
      <c r="AF1287" s="14"/>
      <c r="AG1287" s="14"/>
      <c r="AH1287" s="14"/>
      <c r="AI1287" s="14"/>
      <c r="AJ1287" s="51"/>
    </row>
    <row r="1288" spans="1:36" x14ac:dyDescent="0.2">
      <c r="A1288"/>
      <c r="B1288"/>
      <c r="C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 s="8"/>
      <c r="AE1288"/>
      <c r="AF1288" s="14"/>
      <c r="AG1288" s="14"/>
      <c r="AH1288" s="14"/>
      <c r="AI1288" s="14"/>
      <c r="AJ1288" s="51"/>
    </row>
    <row r="1289" spans="1:36" x14ac:dyDescent="0.2">
      <c r="A1289"/>
      <c r="B1289"/>
      <c r="C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 s="8"/>
      <c r="AE1289"/>
      <c r="AF1289" s="14"/>
      <c r="AG1289" s="14"/>
      <c r="AH1289" s="14"/>
      <c r="AI1289" s="14"/>
      <c r="AJ1289" s="51"/>
    </row>
    <row r="1290" spans="1:36" x14ac:dyDescent="0.2">
      <c r="A1290"/>
      <c r="B1290"/>
      <c r="C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 s="8"/>
      <c r="AE1290"/>
      <c r="AF1290" s="14"/>
      <c r="AG1290" s="14"/>
      <c r="AH1290" s="14"/>
      <c r="AI1290" s="14"/>
      <c r="AJ1290" s="51"/>
    </row>
    <row r="1291" spans="1:36" x14ac:dyDescent="0.2">
      <c r="A1291"/>
      <c r="B1291"/>
      <c r="C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 s="8"/>
      <c r="AE1291"/>
      <c r="AF1291" s="14"/>
      <c r="AG1291" s="14"/>
      <c r="AH1291" s="14"/>
      <c r="AI1291" s="14"/>
      <c r="AJ1291" s="51"/>
    </row>
    <row r="1292" spans="1:36" x14ac:dyDescent="0.2">
      <c r="A1292"/>
      <c r="B1292"/>
      <c r="C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 s="8"/>
      <c r="AE1292"/>
      <c r="AF1292" s="14"/>
      <c r="AG1292" s="14"/>
      <c r="AH1292" s="14"/>
      <c r="AI1292" s="14"/>
      <c r="AJ1292" s="51"/>
    </row>
    <row r="1293" spans="1:36" x14ac:dyDescent="0.2">
      <c r="A1293"/>
      <c r="B1293"/>
      <c r="C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 s="8"/>
      <c r="AE1293"/>
      <c r="AF1293" s="14"/>
      <c r="AG1293" s="14"/>
      <c r="AH1293" s="14"/>
      <c r="AI1293" s="14"/>
      <c r="AJ1293" s="51"/>
    </row>
    <row r="1294" spans="1:36" x14ac:dyDescent="0.2">
      <c r="A1294"/>
      <c r="B1294"/>
      <c r="C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 s="8"/>
      <c r="AE1294"/>
      <c r="AF1294" s="14"/>
      <c r="AG1294" s="14"/>
      <c r="AH1294" s="14"/>
      <c r="AI1294" s="14"/>
      <c r="AJ1294" s="51"/>
    </row>
    <row r="1295" spans="1:36" x14ac:dyDescent="0.2">
      <c r="A1295"/>
      <c r="B1295"/>
      <c r="C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 s="8"/>
      <c r="AE1295"/>
      <c r="AF1295" s="14"/>
      <c r="AG1295" s="14"/>
      <c r="AH1295" s="14"/>
      <c r="AI1295" s="14"/>
      <c r="AJ1295" s="51"/>
    </row>
    <row r="1296" spans="1:36" x14ac:dyDescent="0.2">
      <c r="A1296"/>
      <c r="B1296"/>
      <c r="C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 s="8"/>
      <c r="AE1296"/>
      <c r="AF1296" s="14"/>
      <c r="AG1296" s="14"/>
      <c r="AH1296" s="14"/>
      <c r="AI1296" s="14"/>
      <c r="AJ1296" s="51"/>
    </row>
    <row r="1297" spans="1:36" x14ac:dyDescent="0.2">
      <c r="A1297"/>
      <c r="B1297"/>
      <c r="C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 s="8"/>
      <c r="AE1297"/>
      <c r="AF1297" s="14"/>
      <c r="AG1297" s="14"/>
      <c r="AH1297" s="14"/>
      <c r="AI1297" s="14"/>
      <c r="AJ1297" s="51"/>
    </row>
    <row r="1298" spans="1:36" x14ac:dyDescent="0.2">
      <c r="A1298"/>
      <c r="B1298"/>
      <c r="C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 s="8"/>
      <c r="AE1298"/>
      <c r="AF1298" s="14"/>
      <c r="AG1298" s="14"/>
      <c r="AH1298" s="14"/>
      <c r="AI1298" s="14"/>
      <c r="AJ1298" s="51"/>
    </row>
    <row r="1299" spans="1:36" x14ac:dyDescent="0.2">
      <c r="A1299"/>
      <c r="B1299"/>
      <c r="C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 s="8"/>
      <c r="AE1299"/>
      <c r="AF1299" s="14"/>
      <c r="AG1299" s="14"/>
      <c r="AH1299" s="14"/>
      <c r="AI1299" s="14"/>
      <c r="AJ1299" s="51"/>
    </row>
    <row r="1300" spans="1:36" x14ac:dyDescent="0.2">
      <c r="A1300"/>
      <c r="B1300"/>
      <c r="C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 s="8"/>
      <c r="AE1300"/>
      <c r="AF1300" s="14"/>
      <c r="AG1300" s="14"/>
      <c r="AH1300" s="14"/>
      <c r="AI1300" s="14"/>
      <c r="AJ1300" s="51"/>
    </row>
    <row r="1301" spans="1:36" x14ac:dyDescent="0.2">
      <c r="A1301"/>
      <c r="B1301"/>
      <c r="C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 s="8"/>
      <c r="AE1301"/>
      <c r="AF1301" s="14"/>
      <c r="AG1301" s="14"/>
      <c r="AH1301" s="14"/>
      <c r="AI1301" s="14"/>
      <c r="AJ1301" s="51"/>
    </row>
    <row r="1302" spans="1:36" x14ac:dyDescent="0.2">
      <c r="A1302"/>
      <c r="B1302"/>
      <c r="C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 s="8"/>
      <c r="AE1302"/>
      <c r="AF1302" s="14"/>
      <c r="AG1302" s="14"/>
      <c r="AH1302" s="14"/>
      <c r="AI1302" s="14"/>
      <c r="AJ1302" s="51"/>
    </row>
    <row r="1303" spans="1:36" x14ac:dyDescent="0.2">
      <c r="A1303"/>
      <c r="B1303"/>
      <c r="C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 s="8"/>
      <c r="AE1303"/>
      <c r="AF1303" s="14"/>
      <c r="AG1303" s="14"/>
      <c r="AH1303" s="14"/>
      <c r="AI1303" s="14"/>
      <c r="AJ1303" s="51"/>
    </row>
    <row r="1304" spans="1:36" x14ac:dyDescent="0.2">
      <c r="A1304"/>
      <c r="B1304"/>
      <c r="C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 s="8"/>
      <c r="AE1304"/>
      <c r="AF1304" s="14"/>
      <c r="AG1304" s="14"/>
      <c r="AH1304" s="14"/>
      <c r="AI1304" s="14"/>
      <c r="AJ1304" s="51"/>
    </row>
    <row r="1305" spans="1:36" x14ac:dyDescent="0.2">
      <c r="A1305"/>
      <c r="B1305"/>
      <c r="C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 s="8"/>
      <c r="AE1305"/>
      <c r="AF1305" s="14"/>
      <c r="AG1305" s="14"/>
      <c r="AH1305" s="14"/>
      <c r="AI1305" s="14"/>
      <c r="AJ1305" s="51"/>
    </row>
    <row r="1306" spans="1:36" x14ac:dyDescent="0.2">
      <c r="A1306"/>
      <c r="B1306"/>
      <c r="C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 s="8"/>
      <c r="AE1306"/>
      <c r="AF1306" s="14"/>
      <c r="AG1306" s="14"/>
      <c r="AH1306" s="14"/>
      <c r="AI1306" s="14"/>
      <c r="AJ1306" s="51"/>
    </row>
    <row r="1307" spans="1:36" x14ac:dyDescent="0.2">
      <c r="A1307"/>
      <c r="B1307"/>
      <c r="C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 s="8"/>
      <c r="AE1307"/>
      <c r="AF1307" s="14"/>
      <c r="AG1307" s="14"/>
      <c r="AH1307" s="14"/>
      <c r="AI1307" s="14"/>
      <c r="AJ1307" s="51"/>
    </row>
    <row r="1308" spans="1:36" x14ac:dyDescent="0.2">
      <c r="A1308"/>
      <c r="B1308"/>
      <c r="C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 s="8"/>
      <c r="AE1308"/>
      <c r="AF1308" s="14"/>
      <c r="AG1308" s="14"/>
      <c r="AH1308" s="14"/>
      <c r="AI1308" s="14"/>
      <c r="AJ1308" s="51"/>
    </row>
    <row r="1309" spans="1:36" x14ac:dyDescent="0.2">
      <c r="A1309"/>
      <c r="B1309"/>
      <c r="C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 s="8"/>
      <c r="AE1309"/>
      <c r="AF1309" s="14"/>
      <c r="AG1309" s="14"/>
      <c r="AH1309" s="14"/>
      <c r="AI1309" s="14"/>
      <c r="AJ1309" s="51"/>
    </row>
    <row r="1310" spans="1:36" x14ac:dyDescent="0.2">
      <c r="A1310"/>
      <c r="B1310"/>
      <c r="C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 s="8"/>
      <c r="AE1310"/>
      <c r="AF1310" s="14"/>
      <c r="AG1310" s="14"/>
      <c r="AH1310" s="14"/>
      <c r="AI1310" s="14"/>
      <c r="AJ1310" s="51"/>
    </row>
    <row r="1311" spans="1:36" x14ac:dyDescent="0.2">
      <c r="A1311"/>
      <c r="B1311"/>
      <c r="C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 s="8"/>
      <c r="AE1311"/>
      <c r="AF1311" s="14"/>
      <c r="AG1311" s="14"/>
      <c r="AH1311" s="14"/>
      <c r="AI1311" s="14"/>
      <c r="AJ1311" s="51"/>
    </row>
    <row r="1312" spans="1:36" x14ac:dyDescent="0.2">
      <c r="A1312"/>
      <c r="B1312"/>
      <c r="C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 s="8"/>
      <c r="AE1312"/>
      <c r="AF1312" s="14"/>
      <c r="AG1312" s="14"/>
      <c r="AH1312" s="14"/>
      <c r="AI1312" s="14"/>
      <c r="AJ1312" s="51"/>
    </row>
    <row r="1313" spans="1:36" x14ac:dyDescent="0.2">
      <c r="A1313"/>
      <c r="B1313"/>
      <c r="C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 s="8"/>
      <c r="AE1313"/>
      <c r="AF1313" s="14"/>
      <c r="AG1313" s="14"/>
      <c r="AH1313" s="14"/>
      <c r="AI1313" s="14"/>
      <c r="AJ1313" s="51"/>
    </row>
    <row r="1314" spans="1:36" x14ac:dyDescent="0.2">
      <c r="A1314"/>
      <c r="B1314"/>
      <c r="C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 s="8"/>
      <c r="AE1314"/>
      <c r="AF1314" s="14"/>
      <c r="AG1314" s="14"/>
      <c r="AH1314" s="14"/>
      <c r="AI1314" s="14"/>
      <c r="AJ1314" s="51"/>
    </row>
    <row r="1315" spans="1:36" x14ac:dyDescent="0.2">
      <c r="A1315"/>
      <c r="B1315"/>
      <c r="C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 s="8"/>
      <c r="AE1315"/>
      <c r="AF1315" s="14"/>
      <c r="AG1315" s="14"/>
      <c r="AH1315" s="14"/>
      <c r="AI1315" s="14"/>
      <c r="AJ1315" s="51"/>
    </row>
    <row r="1316" spans="1:36" x14ac:dyDescent="0.2">
      <c r="A1316"/>
      <c r="B1316"/>
      <c r="C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 s="8"/>
      <c r="AE1316"/>
      <c r="AF1316" s="14"/>
      <c r="AG1316" s="14"/>
      <c r="AH1316" s="14"/>
      <c r="AI1316" s="14"/>
      <c r="AJ1316" s="51"/>
    </row>
    <row r="1317" spans="1:36" x14ac:dyDescent="0.2">
      <c r="A1317"/>
      <c r="B1317"/>
      <c r="C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 s="8"/>
      <c r="AE1317"/>
      <c r="AF1317" s="14"/>
      <c r="AG1317" s="14"/>
      <c r="AH1317" s="14"/>
      <c r="AI1317" s="14"/>
      <c r="AJ1317" s="51"/>
    </row>
    <row r="1318" spans="1:36" x14ac:dyDescent="0.2">
      <c r="A1318"/>
      <c r="B1318"/>
      <c r="C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 s="8"/>
      <c r="AE1318"/>
      <c r="AF1318" s="14"/>
      <c r="AG1318" s="14"/>
      <c r="AH1318" s="14"/>
      <c r="AI1318" s="14"/>
      <c r="AJ1318" s="51"/>
    </row>
    <row r="1319" spans="1:36" x14ac:dyDescent="0.2">
      <c r="A1319"/>
      <c r="B1319"/>
      <c r="C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s="8"/>
      <c r="AE1319"/>
      <c r="AF1319" s="14"/>
      <c r="AG1319" s="14"/>
      <c r="AH1319" s="14"/>
      <c r="AI1319" s="14"/>
      <c r="AJ1319" s="51"/>
    </row>
    <row r="1320" spans="1:36" x14ac:dyDescent="0.2">
      <c r="A1320"/>
      <c r="B1320"/>
      <c r="C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 s="8"/>
      <c r="AE1320"/>
      <c r="AF1320" s="14"/>
      <c r="AG1320" s="14"/>
      <c r="AH1320" s="14"/>
      <c r="AI1320" s="14"/>
      <c r="AJ1320" s="51"/>
    </row>
    <row r="1321" spans="1:36" x14ac:dyDescent="0.2">
      <c r="A1321"/>
      <c r="B1321"/>
      <c r="C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 s="8"/>
      <c r="AE1321"/>
      <c r="AF1321" s="14"/>
      <c r="AG1321" s="14"/>
      <c r="AH1321" s="14"/>
      <c r="AI1321" s="14"/>
      <c r="AJ1321" s="51"/>
    </row>
    <row r="1322" spans="1:36" x14ac:dyDescent="0.2">
      <c r="A1322"/>
      <c r="B1322"/>
      <c r="C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 s="8"/>
      <c r="AE1322"/>
      <c r="AF1322" s="14"/>
      <c r="AG1322" s="14"/>
      <c r="AH1322" s="14"/>
      <c r="AI1322" s="14"/>
      <c r="AJ1322" s="51"/>
    </row>
    <row r="1323" spans="1:36" x14ac:dyDescent="0.2">
      <c r="A1323"/>
      <c r="B1323"/>
      <c r="C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 s="8"/>
      <c r="AE1323"/>
      <c r="AF1323" s="14"/>
      <c r="AG1323" s="14"/>
      <c r="AH1323" s="14"/>
      <c r="AI1323" s="14"/>
      <c r="AJ1323" s="51"/>
    </row>
    <row r="1324" spans="1:36" x14ac:dyDescent="0.2">
      <c r="A1324"/>
      <c r="B1324"/>
      <c r="C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 s="8"/>
      <c r="AE1324"/>
      <c r="AF1324" s="14"/>
      <c r="AG1324" s="14"/>
      <c r="AH1324" s="14"/>
      <c r="AI1324" s="14"/>
      <c r="AJ1324" s="51"/>
    </row>
    <row r="1325" spans="1:36" x14ac:dyDescent="0.2">
      <c r="A1325"/>
      <c r="B1325"/>
      <c r="C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 s="8"/>
      <c r="AE1325"/>
      <c r="AF1325" s="14"/>
      <c r="AG1325" s="14"/>
      <c r="AH1325" s="14"/>
      <c r="AI1325" s="14"/>
      <c r="AJ1325" s="51"/>
    </row>
    <row r="1326" spans="1:36" x14ac:dyDescent="0.2">
      <c r="A1326"/>
      <c r="B1326"/>
      <c r="C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 s="8"/>
      <c r="AE1326"/>
      <c r="AF1326" s="14"/>
      <c r="AG1326" s="14"/>
      <c r="AH1326" s="14"/>
      <c r="AI1326" s="14"/>
      <c r="AJ1326" s="51"/>
    </row>
    <row r="1327" spans="1:36" x14ac:dyDescent="0.2">
      <c r="A1327"/>
      <c r="B1327"/>
      <c r="C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 s="8"/>
      <c r="AE1327"/>
      <c r="AF1327" s="14"/>
      <c r="AG1327" s="14"/>
      <c r="AH1327" s="14"/>
      <c r="AI1327" s="14"/>
      <c r="AJ1327" s="51"/>
    </row>
    <row r="1328" spans="1:36" x14ac:dyDescent="0.2">
      <c r="A1328"/>
      <c r="B1328"/>
      <c r="C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 s="8"/>
      <c r="AE1328"/>
      <c r="AF1328" s="14"/>
      <c r="AG1328" s="14"/>
      <c r="AH1328" s="14"/>
      <c r="AI1328" s="14"/>
      <c r="AJ1328" s="51"/>
    </row>
    <row r="1329" spans="1:36" x14ac:dyDescent="0.2">
      <c r="A1329"/>
      <c r="B1329"/>
      <c r="C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 s="8"/>
      <c r="AE1329"/>
      <c r="AF1329" s="14"/>
      <c r="AG1329" s="14"/>
      <c r="AH1329" s="14"/>
      <c r="AI1329" s="14"/>
      <c r="AJ1329" s="51"/>
    </row>
    <row r="1330" spans="1:36" x14ac:dyDescent="0.2">
      <c r="A1330"/>
      <c r="B1330"/>
      <c r="C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 s="8"/>
      <c r="AE1330"/>
      <c r="AF1330" s="14"/>
      <c r="AG1330" s="14"/>
      <c r="AH1330" s="14"/>
      <c r="AI1330" s="14"/>
      <c r="AJ1330" s="51"/>
    </row>
    <row r="1331" spans="1:36" x14ac:dyDescent="0.2">
      <c r="A1331"/>
      <c r="B1331"/>
      <c r="C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 s="8"/>
      <c r="AE1331"/>
      <c r="AF1331" s="14"/>
      <c r="AG1331" s="14"/>
      <c r="AH1331" s="14"/>
      <c r="AI1331" s="14"/>
      <c r="AJ1331" s="51"/>
    </row>
    <row r="1332" spans="1:36" x14ac:dyDescent="0.2">
      <c r="A1332"/>
      <c r="B1332"/>
      <c r="C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 s="8"/>
      <c r="AE1332"/>
      <c r="AF1332" s="14"/>
      <c r="AG1332" s="14"/>
      <c r="AH1332" s="14"/>
      <c r="AI1332" s="14"/>
      <c r="AJ1332" s="51"/>
    </row>
    <row r="1333" spans="1:36" x14ac:dyDescent="0.2">
      <c r="A1333"/>
      <c r="B1333"/>
      <c r="C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 s="8"/>
      <c r="AE1333"/>
      <c r="AF1333" s="14"/>
      <c r="AG1333" s="14"/>
      <c r="AH1333" s="14"/>
      <c r="AI1333" s="14"/>
      <c r="AJ1333" s="51"/>
    </row>
    <row r="1334" spans="1:36" x14ac:dyDescent="0.2">
      <c r="A1334"/>
      <c r="B1334"/>
      <c r="C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 s="8"/>
      <c r="AE1334"/>
      <c r="AF1334" s="14"/>
      <c r="AG1334" s="14"/>
      <c r="AH1334" s="14"/>
      <c r="AI1334" s="14"/>
      <c r="AJ1334" s="51"/>
    </row>
    <row r="1335" spans="1:36" x14ac:dyDescent="0.2">
      <c r="A1335"/>
      <c r="B1335"/>
      <c r="C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 s="8"/>
      <c r="AE1335"/>
      <c r="AF1335" s="14"/>
      <c r="AG1335" s="14"/>
      <c r="AH1335" s="14"/>
      <c r="AI1335" s="14"/>
      <c r="AJ1335" s="51"/>
    </row>
    <row r="1336" spans="1:36" x14ac:dyDescent="0.2">
      <c r="A1336"/>
      <c r="B1336"/>
      <c r="C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 s="8"/>
      <c r="AE1336"/>
      <c r="AF1336" s="14"/>
      <c r="AG1336" s="14"/>
      <c r="AH1336" s="14"/>
      <c r="AI1336" s="14"/>
      <c r="AJ1336" s="51"/>
    </row>
    <row r="1337" spans="1:36" x14ac:dyDescent="0.2">
      <c r="A1337"/>
      <c r="B1337"/>
      <c r="C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 s="8"/>
      <c r="AE1337"/>
      <c r="AF1337" s="14"/>
      <c r="AG1337" s="14"/>
      <c r="AH1337" s="14"/>
      <c r="AI1337" s="14"/>
      <c r="AJ1337" s="51"/>
    </row>
    <row r="1338" spans="1:36" x14ac:dyDescent="0.2">
      <c r="A1338"/>
      <c r="B1338"/>
      <c r="C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 s="8"/>
      <c r="AE1338"/>
      <c r="AF1338" s="14"/>
      <c r="AG1338" s="14"/>
      <c r="AH1338" s="14"/>
      <c r="AI1338" s="14"/>
      <c r="AJ1338" s="51"/>
    </row>
    <row r="1339" spans="1:36" x14ac:dyDescent="0.2">
      <c r="A1339"/>
      <c r="B1339"/>
      <c r="C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 s="8"/>
      <c r="AE1339"/>
      <c r="AF1339" s="14"/>
      <c r="AG1339" s="14"/>
      <c r="AH1339" s="14"/>
      <c r="AI1339" s="14"/>
      <c r="AJ1339" s="51"/>
    </row>
    <row r="1340" spans="1:36" x14ac:dyDescent="0.2">
      <c r="A1340"/>
      <c r="B1340"/>
      <c r="C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 s="8"/>
      <c r="AE1340"/>
      <c r="AF1340" s="14"/>
      <c r="AG1340" s="14"/>
      <c r="AH1340" s="14"/>
      <c r="AI1340" s="14"/>
      <c r="AJ1340" s="51"/>
    </row>
    <row r="1341" spans="1:36" x14ac:dyDescent="0.2">
      <c r="A1341"/>
      <c r="B1341"/>
      <c r="C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 s="8"/>
      <c r="AE1341"/>
      <c r="AF1341" s="14"/>
      <c r="AG1341" s="14"/>
      <c r="AH1341" s="14"/>
      <c r="AI1341" s="14"/>
      <c r="AJ1341" s="51"/>
    </row>
    <row r="1342" spans="1:36" x14ac:dyDescent="0.2">
      <c r="A1342"/>
      <c r="B1342"/>
      <c r="C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 s="8"/>
      <c r="AE1342"/>
      <c r="AF1342" s="14"/>
      <c r="AG1342" s="14"/>
      <c r="AH1342" s="14"/>
      <c r="AI1342" s="14"/>
      <c r="AJ1342" s="51"/>
    </row>
    <row r="1343" spans="1:36" x14ac:dyDescent="0.2">
      <c r="A1343"/>
      <c r="B1343"/>
      <c r="C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 s="8"/>
      <c r="AE1343"/>
      <c r="AF1343" s="14"/>
      <c r="AG1343" s="14"/>
      <c r="AH1343" s="14"/>
      <c r="AI1343" s="14"/>
      <c r="AJ1343" s="51"/>
    </row>
    <row r="1344" spans="1:36" x14ac:dyDescent="0.2">
      <c r="A1344"/>
      <c r="B1344"/>
      <c r="C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 s="8"/>
      <c r="AE1344"/>
      <c r="AF1344" s="14"/>
      <c r="AG1344" s="14"/>
      <c r="AH1344" s="14"/>
      <c r="AI1344" s="14"/>
      <c r="AJ1344" s="51"/>
    </row>
    <row r="1345" spans="1:36" x14ac:dyDescent="0.2">
      <c r="A1345"/>
      <c r="B1345"/>
      <c r="C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 s="8"/>
      <c r="AE1345"/>
      <c r="AF1345" s="14"/>
      <c r="AG1345" s="14"/>
      <c r="AH1345" s="14"/>
      <c r="AI1345" s="14"/>
      <c r="AJ1345" s="51"/>
    </row>
    <row r="1346" spans="1:36" x14ac:dyDescent="0.2">
      <c r="A1346"/>
      <c r="B1346"/>
      <c r="C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 s="8"/>
      <c r="AE1346"/>
      <c r="AF1346" s="14"/>
      <c r="AG1346" s="14"/>
      <c r="AH1346" s="14"/>
      <c r="AI1346" s="14"/>
      <c r="AJ1346" s="51"/>
    </row>
    <row r="1347" spans="1:36" x14ac:dyDescent="0.2">
      <c r="A1347"/>
      <c r="B1347"/>
      <c r="C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 s="8"/>
      <c r="AE1347"/>
      <c r="AF1347" s="14"/>
      <c r="AG1347" s="14"/>
      <c r="AH1347" s="14"/>
      <c r="AI1347" s="14"/>
      <c r="AJ1347" s="51"/>
    </row>
    <row r="1348" spans="1:36" x14ac:dyDescent="0.2">
      <c r="A1348"/>
      <c r="B1348"/>
      <c r="C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 s="8"/>
      <c r="AE1348"/>
      <c r="AF1348" s="14"/>
      <c r="AG1348" s="14"/>
      <c r="AH1348" s="14"/>
      <c r="AI1348" s="14"/>
      <c r="AJ1348" s="51"/>
    </row>
    <row r="1349" spans="1:36" x14ac:dyDescent="0.2">
      <c r="A1349"/>
      <c r="B1349"/>
      <c r="C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 s="8"/>
      <c r="AE1349"/>
      <c r="AF1349" s="14"/>
      <c r="AG1349" s="14"/>
      <c r="AH1349" s="14"/>
      <c r="AI1349" s="14"/>
      <c r="AJ1349" s="51"/>
    </row>
    <row r="1350" spans="1:36" x14ac:dyDescent="0.2">
      <c r="A1350"/>
      <c r="B1350"/>
      <c r="C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 s="8"/>
      <c r="AE1350"/>
      <c r="AF1350" s="14"/>
      <c r="AG1350" s="14"/>
      <c r="AH1350" s="14"/>
      <c r="AI1350" s="14"/>
      <c r="AJ1350" s="51"/>
    </row>
    <row r="1351" spans="1:36" x14ac:dyDescent="0.2">
      <c r="A1351"/>
      <c r="B1351"/>
      <c r="C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 s="8"/>
      <c r="AE1351"/>
      <c r="AF1351" s="14"/>
      <c r="AG1351" s="14"/>
      <c r="AH1351" s="14"/>
      <c r="AI1351" s="14"/>
      <c r="AJ1351" s="51"/>
    </row>
    <row r="1352" spans="1:36" x14ac:dyDescent="0.2">
      <c r="A1352"/>
      <c r="B1352"/>
      <c r="C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 s="8"/>
      <c r="AE1352"/>
      <c r="AF1352" s="14"/>
      <c r="AG1352" s="14"/>
      <c r="AH1352" s="14"/>
      <c r="AI1352" s="14"/>
      <c r="AJ1352" s="51"/>
    </row>
    <row r="1353" spans="1:36" x14ac:dyDescent="0.2">
      <c r="A1353"/>
      <c r="B1353"/>
      <c r="C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 s="8"/>
      <c r="AE1353"/>
      <c r="AF1353" s="14"/>
      <c r="AG1353" s="14"/>
      <c r="AH1353" s="14"/>
      <c r="AI1353" s="14"/>
      <c r="AJ1353" s="51"/>
    </row>
    <row r="1354" spans="1:36" x14ac:dyDescent="0.2">
      <c r="A1354"/>
      <c r="B1354"/>
      <c r="C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 s="8"/>
      <c r="AE1354"/>
      <c r="AF1354" s="14"/>
      <c r="AG1354" s="14"/>
      <c r="AH1354" s="14"/>
      <c r="AI1354" s="14"/>
      <c r="AJ1354" s="51"/>
    </row>
    <row r="1355" spans="1:36" x14ac:dyDescent="0.2">
      <c r="A1355"/>
      <c r="B1355"/>
      <c r="C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 s="8"/>
      <c r="AE1355"/>
      <c r="AF1355" s="14"/>
      <c r="AG1355" s="14"/>
      <c r="AH1355" s="14"/>
      <c r="AI1355" s="14"/>
      <c r="AJ1355" s="51"/>
    </row>
    <row r="1356" spans="1:36" x14ac:dyDescent="0.2">
      <c r="A1356"/>
      <c r="B1356"/>
      <c r="C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 s="8"/>
      <c r="AE1356"/>
      <c r="AF1356" s="14"/>
      <c r="AG1356" s="14"/>
      <c r="AH1356" s="14"/>
      <c r="AI1356" s="14"/>
      <c r="AJ1356" s="51"/>
    </row>
    <row r="1357" spans="1:36" x14ac:dyDescent="0.2">
      <c r="A1357"/>
      <c r="B1357"/>
      <c r="C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 s="8"/>
      <c r="AE1357"/>
      <c r="AF1357" s="14"/>
      <c r="AG1357" s="14"/>
      <c r="AH1357" s="14"/>
      <c r="AI1357" s="14"/>
      <c r="AJ1357" s="51"/>
    </row>
    <row r="1358" spans="1:36" x14ac:dyDescent="0.2">
      <c r="A1358"/>
      <c r="B1358"/>
      <c r="C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 s="8"/>
      <c r="AE1358"/>
      <c r="AF1358" s="14"/>
      <c r="AG1358" s="14"/>
      <c r="AH1358" s="14"/>
      <c r="AI1358" s="14"/>
      <c r="AJ1358" s="51"/>
    </row>
    <row r="1359" spans="1:36" x14ac:dyDescent="0.2">
      <c r="A1359"/>
      <c r="B1359"/>
      <c r="C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 s="8"/>
      <c r="AE1359"/>
      <c r="AF1359" s="14"/>
      <c r="AG1359" s="14"/>
      <c r="AH1359" s="14"/>
      <c r="AI1359" s="14"/>
      <c r="AJ1359" s="51"/>
    </row>
    <row r="1360" spans="1:36" x14ac:dyDescent="0.2">
      <c r="A1360"/>
      <c r="B1360"/>
      <c r="C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 s="8"/>
      <c r="AE1360"/>
      <c r="AF1360" s="14"/>
      <c r="AG1360" s="14"/>
      <c r="AH1360" s="14"/>
      <c r="AI1360" s="14"/>
      <c r="AJ1360" s="51"/>
    </row>
    <row r="1361" spans="1:36" x14ac:dyDescent="0.2">
      <c r="A1361"/>
      <c r="B1361"/>
      <c r="C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 s="8"/>
      <c r="AE1361"/>
      <c r="AF1361" s="14"/>
      <c r="AG1361" s="14"/>
      <c r="AH1361" s="14"/>
      <c r="AI1361" s="14"/>
      <c r="AJ1361" s="51"/>
    </row>
    <row r="1362" spans="1:36" x14ac:dyDescent="0.2">
      <c r="A1362"/>
      <c r="B1362"/>
      <c r="C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 s="8"/>
      <c r="AE1362"/>
      <c r="AF1362" s="14"/>
      <c r="AG1362" s="14"/>
      <c r="AH1362" s="14"/>
      <c r="AI1362" s="14"/>
      <c r="AJ1362" s="51"/>
    </row>
    <row r="1363" spans="1:36" x14ac:dyDescent="0.2">
      <c r="A1363"/>
      <c r="B1363"/>
      <c r="C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 s="8"/>
      <c r="AE1363"/>
      <c r="AF1363" s="14"/>
      <c r="AG1363" s="14"/>
      <c r="AH1363" s="14"/>
      <c r="AI1363" s="14"/>
      <c r="AJ1363" s="51"/>
    </row>
    <row r="1364" spans="1:36" x14ac:dyDescent="0.2">
      <c r="A1364"/>
      <c r="B1364"/>
      <c r="C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 s="8"/>
      <c r="AE1364"/>
      <c r="AF1364" s="14"/>
      <c r="AG1364" s="14"/>
      <c r="AH1364" s="14"/>
      <c r="AI1364" s="14"/>
      <c r="AJ1364" s="51"/>
    </row>
    <row r="1365" spans="1:36" x14ac:dyDescent="0.2">
      <c r="A1365"/>
      <c r="B1365"/>
      <c r="C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 s="8"/>
      <c r="AE1365"/>
      <c r="AF1365" s="14"/>
      <c r="AG1365" s="14"/>
      <c r="AH1365" s="14"/>
      <c r="AI1365" s="14"/>
      <c r="AJ1365" s="51"/>
    </row>
    <row r="1366" spans="1:36" x14ac:dyDescent="0.2">
      <c r="A1366"/>
      <c r="B1366"/>
      <c r="C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 s="8"/>
      <c r="AE1366"/>
      <c r="AF1366" s="14"/>
      <c r="AG1366" s="14"/>
      <c r="AH1366" s="14"/>
      <c r="AI1366" s="14"/>
      <c r="AJ1366" s="51"/>
    </row>
    <row r="1367" spans="1:36" x14ac:dyDescent="0.2">
      <c r="A1367"/>
      <c r="B1367"/>
      <c r="C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 s="8"/>
      <c r="AE1367"/>
      <c r="AF1367" s="14"/>
      <c r="AG1367" s="14"/>
      <c r="AH1367" s="14"/>
      <c r="AI1367" s="14"/>
      <c r="AJ1367" s="51"/>
    </row>
    <row r="1368" spans="1:36" x14ac:dyDescent="0.2">
      <c r="A1368"/>
      <c r="B1368"/>
      <c r="C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 s="8"/>
      <c r="AE1368"/>
      <c r="AF1368" s="14"/>
      <c r="AG1368" s="14"/>
      <c r="AH1368" s="14"/>
      <c r="AI1368" s="14"/>
      <c r="AJ1368" s="51"/>
    </row>
    <row r="1369" spans="1:36" x14ac:dyDescent="0.2">
      <c r="A1369"/>
      <c r="B1369"/>
      <c r="C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 s="8"/>
      <c r="AE1369"/>
      <c r="AF1369" s="14"/>
      <c r="AG1369" s="14"/>
      <c r="AH1369" s="14"/>
      <c r="AI1369" s="14"/>
      <c r="AJ1369" s="51"/>
    </row>
    <row r="1370" spans="1:36" x14ac:dyDescent="0.2">
      <c r="A1370"/>
      <c r="B1370"/>
      <c r="C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 s="8"/>
      <c r="AE1370"/>
      <c r="AF1370" s="14"/>
      <c r="AG1370" s="14"/>
      <c r="AH1370" s="14"/>
      <c r="AI1370" s="14"/>
      <c r="AJ1370" s="51"/>
    </row>
    <row r="1371" spans="1:36" x14ac:dyDescent="0.2">
      <c r="A1371"/>
      <c r="B1371"/>
      <c r="C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 s="8"/>
      <c r="AE1371"/>
      <c r="AF1371" s="14"/>
      <c r="AG1371" s="14"/>
      <c r="AH1371" s="14"/>
      <c r="AI1371" s="14"/>
      <c r="AJ1371" s="51"/>
    </row>
    <row r="1372" spans="1:36" x14ac:dyDescent="0.2">
      <c r="A1372"/>
      <c r="B1372"/>
      <c r="C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 s="8"/>
      <c r="AE1372"/>
      <c r="AF1372" s="14"/>
      <c r="AG1372" s="14"/>
      <c r="AH1372" s="14"/>
      <c r="AI1372" s="14"/>
      <c r="AJ1372" s="51"/>
    </row>
    <row r="1373" spans="1:36" x14ac:dyDescent="0.2">
      <c r="A1373"/>
      <c r="B1373"/>
      <c r="C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 s="8"/>
      <c r="AE1373"/>
      <c r="AF1373" s="14"/>
      <c r="AG1373" s="14"/>
      <c r="AH1373" s="14"/>
      <c r="AI1373" s="14"/>
      <c r="AJ1373" s="51"/>
    </row>
    <row r="1374" spans="1:36" x14ac:dyDescent="0.2">
      <c r="A1374"/>
      <c r="B1374"/>
      <c r="C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 s="8"/>
      <c r="AE1374"/>
      <c r="AF1374" s="14"/>
      <c r="AG1374" s="14"/>
      <c r="AH1374" s="14"/>
      <c r="AI1374" s="14"/>
      <c r="AJ1374" s="51"/>
    </row>
    <row r="1375" spans="1:36" x14ac:dyDescent="0.2">
      <c r="A1375"/>
      <c r="B1375"/>
      <c r="C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 s="8"/>
      <c r="AE1375"/>
      <c r="AF1375" s="14"/>
      <c r="AG1375" s="14"/>
      <c r="AH1375" s="14"/>
      <c r="AI1375" s="14"/>
      <c r="AJ1375" s="51"/>
    </row>
    <row r="1376" spans="1:36" x14ac:dyDescent="0.2">
      <c r="A1376"/>
      <c r="B1376"/>
      <c r="C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 s="8"/>
      <c r="AE1376"/>
      <c r="AF1376" s="14"/>
      <c r="AG1376" s="14"/>
      <c r="AH1376" s="14"/>
      <c r="AI1376" s="14"/>
      <c r="AJ1376" s="51"/>
    </row>
    <row r="1377" spans="1:36" x14ac:dyDescent="0.2">
      <c r="A1377"/>
      <c r="B1377"/>
      <c r="C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 s="8"/>
      <c r="AE1377"/>
      <c r="AF1377" s="14"/>
      <c r="AG1377" s="14"/>
      <c r="AH1377" s="14"/>
      <c r="AI1377" s="14"/>
      <c r="AJ1377" s="51"/>
    </row>
    <row r="1378" spans="1:36" x14ac:dyDescent="0.2">
      <c r="A1378"/>
      <c r="B1378"/>
      <c r="C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 s="8"/>
      <c r="AE1378"/>
      <c r="AF1378" s="14"/>
      <c r="AG1378" s="14"/>
      <c r="AH1378" s="14"/>
      <c r="AI1378" s="14"/>
      <c r="AJ1378" s="51"/>
    </row>
    <row r="1379" spans="1:36" x14ac:dyDescent="0.2">
      <c r="A1379"/>
      <c r="B1379"/>
      <c r="C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 s="8"/>
      <c r="AE1379"/>
      <c r="AF1379" s="14"/>
      <c r="AG1379" s="14"/>
      <c r="AH1379" s="14"/>
      <c r="AI1379" s="14"/>
      <c r="AJ1379" s="51"/>
    </row>
    <row r="1380" spans="1:36" x14ac:dyDescent="0.2">
      <c r="A1380"/>
      <c r="B1380"/>
      <c r="C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 s="8"/>
      <c r="AE1380"/>
      <c r="AF1380" s="14"/>
      <c r="AG1380" s="14"/>
      <c r="AH1380" s="14"/>
      <c r="AI1380" s="14"/>
      <c r="AJ1380" s="51"/>
    </row>
    <row r="1381" spans="1:36" x14ac:dyDescent="0.2">
      <c r="A1381"/>
      <c r="B1381"/>
      <c r="C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 s="8"/>
      <c r="AE1381"/>
      <c r="AF1381" s="14"/>
      <c r="AG1381" s="14"/>
      <c r="AH1381" s="14"/>
      <c r="AI1381" s="14"/>
      <c r="AJ1381" s="51"/>
    </row>
    <row r="1382" spans="1:36" x14ac:dyDescent="0.2">
      <c r="A1382"/>
      <c r="B1382"/>
      <c r="C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 s="8"/>
      <c r="AE1382"/>
      <c r="AF1382" s="14"/>
      <c r="AG1382" s="14"/>
      <c r="AH1382" s="14"/>
      <c r="AI1382" s="14"/>
      <c r="AJ1382" s="51"/>
    </row>
    <row r="1383" spans="1:36" x14ac:dyDescent="0.2">
      <c r="A1383"/>
      <c r="B1383"/>
      <c r="C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 s="8"/>
      <c r="AE1383"/>
      <c r="AF1383" s="14"/>
      <c r="AG1383" s="14"/>
      <c r="AH1383" s="14"/>
      <c r="AI1383" s="14"/>
      <c r="AJ1383" s="51"/>
    </row>
    <row r="1384" spans="1:36" x14ac:dyDescent="0.2">
      <c r="A1384"/>
      <c r="B1384"/>
      <c r="C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 s="8"/>
      <c r="AE1384"/>
      <c r="AF1384" s="14"/>
      <c r="AG1384" s="14"/>
      <c r="AH1384" s="14"/>
      <c r="AI1384" s="14"/>
      <c r="AJ1384" s="51"/>
    </row>
    <row r="1385" spans="1:36" x14ac:dyDescent="0.2">
      <c r="A1385"/>
      <c r="B1385"/>
      <c r="C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 s="8"/>
      <c r="AE1385"/>
      <c r="AF1385" s="14"/>
      <c r="AG1385" s="14"/>
      <c r="AH1385" s="14"/>
      <c r="AI1385" s="14"/>
      <c r="AJ1385" s="51"/>
    </row>
    <row r="1386" spans="1:36" x14ac:dyDescent="0.2">
      <c r="A1386"/>
      <c r="B1386"/>
      <c r="C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 s="8"/>
      <c r="AE1386"/>
      <c r="AF1386" s="14"/>
      <c r="AG1386" s="14"/>
      <c r="AH1386" s="14"/>
      <c r="AI1386" s="14"/>
      <c r="AJ1386" s="51"/>
    </row>
    <row r="1387" spans="1:36" x14ac:dyDescent="0.2">
      <c r="A1387"/>
      <c r="B1387"/>
      <c r="C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 s="8"/>
      <c r="AE1387"/>
      <c r="AF1387" s="14"/>
      <c r="AG1387" s="14"/>
      <c r="AH1387" s="14"/>
      <c r="AI1387" s="14"/>
      <c r="AJ1387" s="51"/>
    </row>
    <row r="1388" spans="1:36" x14ac:dyDescent="0.2">
      <c r="A1388"/>
      <c r="B1388"/>
      <c r="C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 s="8"/>
      <c r="AE1388"/>
      <c r="AF1388" s="14"/>
      <c r="AG1388" s="14"/>
      <c r="AH1388" s="14"/>
      <c r="AI1388" s="14"/>
      <c r="AJ1388" s="51"/>
    </row>
    <row r="1389" spans="1:36" x14ac:dyDescent="0.2">
      <c r="A1389"/>
      <c r="B1389"/>
      <c r="C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 s="8"/>
      <c r="AE1389"/>
      <c r="AF1389" s="14"/>
      <c r="AG1389" s="14"/>
      <c r="AH1389" s="14"/>
      <c r="AI1389" s="14"/>
      <c r="AJ1389" s="51"/>
    </row>
    <row r="1390" spans="1:36" x14ac:dyDescent="0.2">
      <c r="A1390"/>
      <c r="B1390"/>
      <c r="C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 s="8"/>
      <c r="AE1390"/>
      <c r="AF1390" s="14"/>
      <c r="AG1390" s="14"/>
      <c r="AH1390" s="14"/>
      <c r="AI1390" s="14"/>
      <c r="AJ1390" s="51"/>
    </row>
    <row r="1391" spans="1:36" x14ac:dyDescent="0.2">
      <c r="A1391"/>
      <c r="B1391"/>
      <c r="C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 s="8"/>
      <c r="AE1391"/>
      <c r="AF1391" s="14"/>
      <c r="AG1391" s="14"/>
      <c r="AH1391" s="14"/>
      <c r="AI1391" s="14"/>
      <c r="AJ1391" s="51"/>
    </row>
    <row r="1392" spans="1:36" x14ac:dyDescent="0.2">
      <c r="A1392"/>
      <c r="B1392"/>
      <c r="C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 s="8"/>
      <c r="AE1392"/>
      <c r="AF1392" s="14"/>
      <c r="AG1392" s="14"/>
      <c r="AH1392" s="14"/>
      <c r="AI1392" s="14"/>
      <c r="AJ1392" s="51"/>
    </row>
    <row r="1393" spans="1:36" x14ac:dyDescent="0.2">
      <c r="A1393"/>
      <c r="B1393"/>
      <c r="C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 s="8"/>
      <c r="AE1393"/>
      <c r="AF1393" s="14"/>
      <c r="AG1393" s="14"/>
      <c r="AH1393" s="14"/>
      <c r="AI1393" s="14"/>
      <c r="AJ1393" s="51"/>
    </row>
    <row r="1394" spans="1:36" x14ac:dyDescent="0.2">
      <c r="A1394"/>
      <c r="B1394"/>
      <c r="C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 s="8"/>
      <c r="AE1394"/>
      <c r="AF1394" s="14"/>
      <c r="AG1394" s="14"/>
      <c r="AH1394" s="14"/>
      <c r="AI1394" s="14"/>
      <c r="AJ1394" s="51"/>
    </row>
    <row r="1395" spans="1:36" x14ac:dyDescent="0.2">
      <c r="A1395"/>
      <c r="B1395"/>
      <c r="C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 s="8"/>
      <c r="AE1395"/>
      <c r="AF1395" s="14"/>
      <c r="AG1395" s="14"/>
      <c r="AH1395" s="14"/>
      <c r="AI1395" s="14"/>
      <c r="AJ1395" s="51"/>
    </row>
    <row r="1396" spans="1:36" x14ac:dyDescent="0.2">
      <c r="A1396"/>
      <c r="B1396"/>
      <c r="C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 s="8"/>
      <c r="AE1396"/>
      <c r="AF1396" s="14"/>
      <c r="AG1396" s="14"/>
      <c r="AH1396" s="14"/>
      <c r="AI1396" s="14"/>
      <c r="AJ1396" s="51"/>
    </row>
    <row r="1397" spans="1:36" x14ac:dyDescent="0.2">
      <c r="A1397"/>
      <c r="B1397"/>
      <c r="C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 s="8"/>
      <c r="AE1397"/>
      <c r="AF1397" s="14"/>
      <c r="AG1397" s="14"/>
      <c r="AH1397" s="14"/>
      <c r="AI1397" s="14"/>
      <c r="AJ1397" s="51"/>
    </row>
    <row r="1398" spans="1:36" x14ac:dyDescent="0.2">
      <c r="A1398"/>
      <c r="B1398"/>
      <c r="C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 s="8"/>
      <c r="AE1398"/>
      <c r="AF1398" s="14"/>
      <c r="AG1398" s="14"/>
      <c r="AH1398" s="14"/>
      <c r="AI1398" s="14"/>
      <c r="AJ1398" s="51"/>
    </row>
    <row r="1399" spans="1:36" x14ac:dyDescent="0.2">
      <c r="A1399"/>
      <c r="B1399"/>
      <c r="C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 s="8"/>
      <c r="AE1399"/>
      <c r="AF1399" s="14"/>
      <c r="AG1399" s="14"/>
      <c r="AH1399" s="14"/>
      <c r="AI1399" s="14"/>
      <c r="AJ1399" s="51"/>
    </row>
    <row r="1400" spans="1:36" x14ac:dyDescent="0.2">
      <c r="A1400"/>
      <c r="B1400"/>
      <c r="C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 s="8"/>
      <c r="AE1400"/>
      <c r="AF1400" s="14"/>
      <c r="AG1400" s="14"/>
      <c r="AH1400" s="14"/>
      <c r="AI1400" s="14"/>
      <c r="AJ1400" s="51"/>
    </row>
    <row r="1401" spans="1:36" x14ac:dyDescent="0.2">
      <c r="A1401"/>
      <c r="B1401"/>
      <c r="C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 s="8"/>
      <c r="AE1401"/>
      <c r="AF1401" s="14"/>
      <c r="AG1401" s="14"/>
      <c r="AH1401" s="14"/>
      <c r="AI1401" s="14"/>
      <c r="AJ1401" s="51"/>
    </row>
    <row r="1402" spans="1:36" x14ac:dyDescent="0.2">
      <c r="A1402"/>
      <c r="B1402"/>
      <c r="C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 s="8"/>
      <c r="AE1402"/>
      <c r="AF1402" s="14"/>
      <c r="AG1402" s="14"/>
      <c r="AH1402" s="14"/>
      <c r="AI1402" s="14"/>
      <c r="AJ1402" s="51"/>
    </row>
    <row r="1403" spans="1:36" x14ac:dyDescent="0.2">
      <c r="A1403"/>
      <c r="B1403"/>
      <c r="C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 s="8"/>
      <c r="AE1403"/>
      <c r="AF1403" s="14"/>
      <c r="AG1403" s="14"/>
      <c r="AH1403" s="14"/>
      <c r="AI1403" s="14"/>
      <c r="AJ1403" s="51"/>
    </row>
    <row r="1404" spans="1:36" x14ac:dyDescent="0.2">
      <c r="A1404"/>
      <c r="B1404"/>
      <c r="C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 s="8"/>
      <c r="AE1404"/>
      <c r="AF1404" s="14"/>
      <c r="AG1404" s="14"/>
      <c r="AH1404" s="14"/>
      <c r="AI1404" s="14"/>
      <c r="AJ1404" s="51"/>
    </row>
    <row r="1405" spans="1:36" x14ac:dyDescent="0.2">
      <c r="A1405"/>
      <c r="B1405"/>
      <c r="C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 s="8"/>
      <c r="AE1405"/>
      <c r="AF1405" s="14"/>
      <c r="AG1405" s="14"/>
      <c r="AH1405" s="14"/>
      <c r="AI1405" s="14"/>
      <c r="AJ1405" s="51"/>
    </row>
    <row r="1406" spans="1:36" x14ac:dyDescent="0.2">
      <c r="A1406"/>
      <c r="B1406"/>
      <c r="C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 s="8"/>
      <c r="AE1406"/>
      <c r="AF1406" s="14"/>
      <c r="AG1406" s="14"/>
      <c r="AH1406" s="14"/>
      <c r="AI1406" s="14"/>
      <c r="AJ1406" s="51"/>
    </row>
    <row r="1407" spans="1:36" x14ac:dyDescent="0.2">
      <c r="A1407"/>
      <c r="B1407"/>
      <c r="C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 s="8"/>
      <c r="AE1407"/>
      <c r="AF1407" s="14"/>
      <c r="AG1407" s="14"/>
      <c r="AH1407" s="14"/>
      <c r="AI1407" s="14"/>
      <c r="AJ1407" s="51"/>
    </row>
    <row r="1408" spans="1:36" x14ac:dyDescent="0.2">
      <c r="A1408"/>
      <c r="B1408"/>
      <c r="C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 s="8"/>
      <c r="AE1408"/>
      <c r="AF1408" s="14"/>
      <c r="AG1408" s="14"/>
      <c r="AH1408" s="14"/>
      <c r="AI1408" s="14"/>
      <c r="AJ1408" s="51"/>
    </row>
    <row r="1409" spans="1:36" x14ac:dyDescent="0.2">
      <c r="A1409"/>
      <c r="B1409"/>
      <c r="C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 s="8"/>
      <c r="AE1409"/>
      <c r="AF1409" s="14"/>
      <c r="AG1409" s="14"/>
      <c r="AH1409" s="14"/>
      <c r="AI1409" s="14"/>
      <c r="AJ1409" s="51"/>
    </row>
    <row r="1410" spans="1:36" x14ac:dyDescent="0.2">
      <c r="A1410"/>
      <c r="B1410"/>
      <c r="C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 s="8"/>
      <c r="AE1410"/>
      <c r="AF1410" s="14"/>
      <c r="AG1410" s="14"/>
      <c r="AH1410" s="14"/>
      <c r="AI1410" s="14"/>
      <c r="AJ1410" s="51"/>
    </row>
    <row r="1411" spans="1:36" x14ac:dyDescent="0.2">
      <c r="A1411"/>
      <c r="B1411"/>
      <c r="C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 s="8"/>
      <c r="AE1411"/>
      <c r="AF1411" s="14"/>
      <c r="AG1411" s="14"/>
      <c r="AH1411" s="14"/>
      <c r="AI1411" s="14"/>
      <c r="AJ1411" s="51"/>
    </row>
    <row r="1412" spans="1:36" x14ac:dyDescent="0.2">
      <c r="A1412"/>
      <c r="B1412"/>
      <c r="C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 s="8"/>
      <c r="AE1412"/>
      <c r="AF1412" s="14"/>
      <c r="AG1412" s="14"/>
      <c r="AH1412" s="14"/>
      <c r="AI1412" s="14"/>
      <c r="AJ1412" s="51"/>
    </row>
    <row r="1413" spans="1:36" x14ac:dyDescent="0.2">
      <c r="A1413"/>
      <c r="B1413"/>
      <c r="C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 s="8"/>
      <c r="AE1413"/>
      <c r="AF1413" s="14"/>
      <c r="AG1413" s="14"/>
      <c r="AH1413" s="14"/>
      <c r="AI1413" s="14"/>
      <c r="AJ1413" s="51"/>
    </row>
    <row r="1414" spans="1:36" x14ac:dyDescent="0.2">
      <c r="A1414"/>
      <c r="B1414"/>
      <c r="C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 s="8"/>
      <c r="AE1414"/>
      <c r="AF1414" s="14"/>
      <c r="AG1414" s="14"/>
      <c r="AH1414" s="14"/>
      <c r="AI1414" s="14"/>
      <c r="AJ1414" s="51"/>
    </row>
    <row r="1415" spans="1:36" x14ac:dyDescent="0.2">
      <c r="A1415"/>
      <c r="B1415"/>
      <c r="C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 s="8"/>
      <c r="AE1415"/>
      <c r="AF1415" s="14"/>
      <c r="AG1415" s="14"/>
      <c r="AH1415" s="14"/>
      <c r="AI1415" s="14"/>
      <c r="AJ1415" s="51"/>
    </row>
    <row r="1416" spans="1:36" x14ac:dyDescent="0.2">
      <c r="A1416"/>
      <c r="B1416"/>
      <c r="C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 s="8"/>
      <c r="AE1416"/>
      <c r="AF1416" s="14"/>
      <c r="AG1416" s="14"/>
      <c r="AH1416" s="14"/>
      <c r="AI1416" s="14"/>
      <c r="AJ1416" s="51"/>
    </row>
    <row r="1417" spans="1:36" x14ac:dyDescent="0.2">
      <c r="A1417"/>
      <c r="B1417"/>
      <c r="C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 s="8"/>
      <c r="AE1417"/>
      <c r="AF1417" s="14"/>
      <c r="AG1417" s="14"/>
      <c r="AH1417" s="14"/>
      <c r="AI1417" s="14"/>
      <c r="AJ1417" s="51"/>
    </row>
    <row r="1418" spans="1:36" x14ac:dyDescent="0.2">
      <c r="A1418"/>
      <c r="B1418"/>
      <c r="C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 s="8"/>
      <c r="AE1418"/>
      <c r="AF1418" s="14"/>
      <c r="AG1418" s="14"/>
      <c r="AH1418" s="14"/>
      <c r="AI1418" s="14"/>
      <c r="AJ1418" s="51"/>
    </row>
    <row r="1419" spans="1:36" x14ac:dyDescent="0.2">
      <c r="A1419"/>
      <c r="B1419"/>
      <c r="C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 s="8"/>
      <c r="AE1419"/>
      <c r="AF1419" s="14"/>
      <c r="AG1419" s="14"/>
      <c r="AH1419" s="14"/>
      <c r="AI1419" s="14"/>
      <c r="AJ1419" s="51"/>
    </row>
    <row r="1420" spans="1:36" x14ac:dyDescent="0.2">
      <c r="A1420"/>
      <c r="B1420"/>
      <c r="C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 s="8"/>
      <c r="AE1420"/>
      <c r="AF1420" s="14"/>
      <c r="AG1420" s="14"/>
      <c r="AH1420" s="14"/>
      <c r="AI1420" s="14"/>
      <c r="AJ1420" s="51"/>
    </row>
    <row r="1421" spans="1:36" x14ac:dyDescent="0.2">
      <c r="A1421"/>
      <c r="B1421"/>
      <c r="C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 s="8"/>
      <c r="AE1421"/>
      <c r="AF1421" s="14"/>
      <c r="AG1421" s="14"/>
      <c r="AH1421" s="14"/>
      <c r="AI1421" s="14"/>
      <c r="AJ1421" s="51"/>
    </row>
    <row r="1422" spans="1:36" x14ac:dyDescent="0.2">
      <c r="A1422"/>
      <c r="B1422"/>
      <c r="C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 s="8"/>
      <c r="AE1422"/>
      <c r="AF1422" s="14"/>
      <c r="AG1422" s="14"/>
      <c r="AH1422" s="14"/>
      <c r="AI1422" s="14"/>
      <c r="AJ1422" s="51"/>
    </row>
    <row r="1423" spans="1:36" x14ac:dyDescent="0.2">
      <c r="A1423"/>
      <c r="B1423"/>
      <c r="C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 s="8"/>
      <c r="AE1423"/>
      <c r="AF1423" s="14"/>
      <c r="AG1423" s="14"/>
      <c r="AH1423" s="14"/>
      <c r="AI1423" s="14"/>
      <c r="AJ1423" s="51"/>
    </row>
    <row r="1424" spans="1:36" x14ac:dyDescent="0.2">
      <c r="A1424"/>
      <c r="B1424"/>
      <c r="C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 s="8"/>
      <c r="AE1424"/>
      <c r="AF1424" s="14"/>
      <c r="AG1424" s="14"/>
      <c r="AH1424" s="14"/>
      <c r="AI1424" s="14"/>
      <c r="AJ1424" s="51"/>
    </row>
    <row r="1425" spans="1:36" x14ac:dyDescent="0.2">
      <c r="A1425"/>
      <c r="B1425"/>
      <c r="C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 s="8"/>
      <c r="AE1425"/>
      <c r="AF1425" s="14"/>
      <c r="AG1425" s="14"/>
      <c r="AH1425" s="14"/>
      <c r="AI1425" s="14"/>
      <c r="AJ1425" s="51"/>
    </row>
    <row r="1426" spans="1:36" x14ac:dyDescent="0.2">
      <c r="A1426"/>
      <c r="B1426"/>
      <c r="C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 s="8"/>
      <c r="AE1426"/>
      <c r="AF1426" s="14"/>
      <c r="AG1426" s="14"/>
      <c r="AH1426" s="14"/>
      <c r="AI1426" s="14"/>
      <c r="AJ1426" s="51"/>
    </row>
    <row r="1427" spans="1:36" x14ac:dyDescent="0.2">
      <c r="A1427"/>
      <c r="B1427"/>
      <c r="C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 s="8"/>
      <c r="AE1427"/>
      <c r="AF1427" s="14"/>
      <c r="AG1427" s="14"/>
      <c r="AH1427" s="14"/>
      <c r="AI1427" s="14"/>
      <c r="AJ1427" s="51"/>
    </row>
    <row r="1428" spans="1:36" x14ac:dyDescent="0.2">
      <c r="A1428"/>
      <c r="B1428"/>
      <c r="C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 s="8"/>
      <c r="AE1428"/>
      <c r="AF1428" s="14"/>
      <c r="AG1428" s="14"/>
      <c r="AH1428" s="14"/>
      <c r="AI1428" s="14"/>
      <c r="AJ1428" s="51"/>
    </row>
    <row r="1429" spans="1:36" x14ac:dyDescent="0.2">
      <c r="A1429"/>
      <c r="B1429"/>
      <c r="C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 s="8"/>
      <c r="AE1429"/>
      <c r="AF1429" s="14"/>
      <c r="AG1429" s="14"/>
      <c r="AH1429" s="14"/>
      <c r="AI1429" s="14"/>
      <c r="AJ1429" s="51"/>
    </row>
    <row r="1430" spans="1:36" x14ac:dyDescent="0.2">
      <c r="A1430"/>
      <c r="B1430"/>
      <c r="C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 s="8"/>
      <c r="AE1430"/>
      <c r="AF1430" s="14"/>
      <c r="AG1430" s="14"/>
      <c r="AH1430" s="14"/>
      <c r="AI1430" s="14"/>
      <c r="AJ1430" s="51"/>
    </row>
    <row r="1431" spans="1:36" x14ac:dyDescent="0.2">
      <c r="A1431"/>
      <c r="B1431"/>
      <c r="C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 s="8"/>
      <c r="AE1431"/>
      <c r="AF1431" s="14"/>
      <c r="AG1431" s="14"/>
      <c r="AH1431" s="14"/>
      <c r="AI1431" s="14"/>
      <c r="AJ1431" s="51"/>
    </row>
    <row r="1432" spans="1:36" x14ac:dyDescent="0.2">
      <c r="A1432"/>
      <c r="B1432"/>
      <c r="C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 s="8"/>
      <c r="AE1432"/>
      <c r="AF1432" s="14"/>
      <c r="AG1432" s="14"/>
      <c r="AH1432" s="14"/>
      <c r="AI1432" s="14"/>
      <c r="AJ1432" s="51"/>
    </row>
    <row r="1433" spans="1:36" x14ac:dyDescent="0.2">
      <c r="A1433"/>
      <c r="B1433"/>
      <c r="C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 s="8"/>
      <c r="AE1433"/>
      <c r="AF1433" s="14"/>
      <c r="AG1433" s="14"/>
      <c r="AH1433" s="14"/>
      <c r="AI1433" s="14"/>
      <c r="AJ1433" s="51"/>
    </row>
    <row r="1434" spans="1:36" x14ac:dyDescent="0.2">
      <c r="A1434"/>
      <c r="B1434"/>
      <c r="C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 s="8"/>
      <c r="AE1434"/>
      <c r="AF1434" s="14"/>
      <c r="AG1434" s="14"/>
      <c r="AH1434" s="14"/>
      <c r="AI1434" s="14"/>
      <c r="AJ1434" s="51"/>
    </row>
    <row r="1435" spans="1:36" x14ac:dyDescent="0.2">
      <c r="A1435"/>
      <c r="B1435"/>
      <c r="C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 s="8"/>
      <c r="AE1435"/>
      <c r="AF1435" s="14"/>
      <c r="AG1435" s="14"/>
      <c r="AH1435" s="14"/>
      <c r="AI1435" s="14"/>
      <c r="AJ1435" s="51"/>
    </row>
    <row r="1436" spans="1:36" x14ac:dyDescent="0.2">
      <c r="A1436"/>
      <c r="B1436"/>
      <c r="C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 s="8"/>
      <c r="AE1436"/>
      <c r="AF1436" s="14"/>
      <c r="AG1436" s="14"/>
      <c r="AH1436" s="14"/>
      <c r="AI1436" s="14"/>
      <c r="AJ1436" s="51"/>
    </row>
    <row r="1437" spans="1:36" x14ac:dyDescent="0.2">
      <c r="A1437"/>
      <c r="B1437"/>
      <c r="C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 s="8"/>
      <c r="AE1437"/>
      <c r="AF1437" s="14"/>
      <c r="AG1437" s="14"/>
      <c r="AH1437" s="14"/>
      <c r="AI1437" s="14"/>
      <c r="AJ1437" s="51"/>
    </row>
    <row r="1438" spans="1:36" x14ac:dyDescent="0.2">
      <c r="A1438"/>
      <c r="B1438"/>
      <c r="C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 s="8"/>
      <c r="AE1438"/>
      <c r="AF1438" s="14"/>
      <c r="AG1438" s="14"/>
      <c r="AH1438" s="14"/>
      <c r="AI1438" s="14"/>
      <c r="AJ1438" s="51"/>
    </row>
    <row r="1439" spans="1:36" x14ac:dyDescent="0.2">
      <c r="A1439"/>
      <c r="B1439"/>
      <c r="C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 s="8"/>
      <c r="AE1439"/>
      <c r="AF1439" s="14"/>
      <c r="AG1439" s="14"/>
      <c r="AH1439" s="14"/>
      <c r="AI1439" s="14"/>
      <c r="AJ1439" s="51"/>
    </row>
    <row r="1440" spans="1:36" x14ac:dyDescent="0.2">
      <c r="A1440"/>
      <c r="B1440"/>
      <c r="C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 s="8"/>
      <c r="AE1440"/>
      <c r="AF1440" s="14"/>
      <c r="AG1440" s="14"/>
      <c r="AH1440" s="14"/>
      <c r="AI1440" s="14"/>
      <c r="AJ1440" s="51"/>
    </row>
    <row r="1441" spans="1:36" x14ac:dyDescent="0.2">
      <c r="A1441"/>
      <c r="B1441"/>
      <c r="C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 s="8"/>
      <c r="AE1441"/>
      <c r="AF1441" s="14"/>
      <c r="AG1441" s="14"/>
      <c r="AH1441" s="14"/>
      <c r="AI1441" s="14"/>
      <c r="AJ1441" s="51"/>
    </row>
    <row r="1442" spans="1:36" x14ac:dyDescent="0.2">
      <c r="A1442"/>
      <c r="B1442"/>
      <c r="C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 s="8"/>
      <c r="AE1442"/>
      <c r="AF1442" s="14"/>
      <c r="AG1442" s="14"/>
      <c r="AH1442" s="14"/>
      <c r="AI1442" s="14"/>
      <c r="AJ1442" s="51"/>
    </row>
    <row r="1443" spans="1:36" x14ac:dyDescent="0.2">
      <c r="A1443"/>
      <c r="B1443"/>
      <c r="C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 s="8"/>
      <c r="AE1443"/>
      <c r="AF1443" s="14"/>
      <c r="AG1443" s="14"/>
      <c r="AH1443" s="14"/>
      <c r="AI1443" s="14"/>
      <c r="AJ1443" s="51"/>
    </row>
    <row r="1444" spans="1:36" x14ac:dyDescent="0.2">
      <c r="A1444"/>
      <c r="B1444"/>
      <c r="C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 s="8"/>
      <c r="AE1444"/>
      <c r="AF1444" s="14"/>
      <c r="AG1444" s="14"/>
      <c r="AH1444" s="14"/>
      <c r="AI1444" s="14"/>
      <c r="AJ1444" s="51"/>
    </row>
    <row r="1445" spans="1:36" x14ac:dyDescent="0.2">
      <c r="A1445"/>
      <c r="B1445"/>
      <c r="C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 s="8"/>
      <c r="AE1445"/>
      <c r="AF1445" s="14"/>
      <c r="AG1445" s="14"/>
      <c r="AH1445" s="14"/>
      <c r="AI1445" s="14"/>
      <c r="AJ1445" s="51"/>
    </row>
    <row r="1446" spans="1:36" x14ac:dyDescent="0.2">
      <c r="A1446"/>
      <c r="B1446"/>
      <c r="C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 s="8"/>
      <c r="AE1446"/>
      <c r="AF1446" s="14"/>
      <c r="AG1446" s="14"/>
      <c r="AH1446" s="14"/>
      <c r="AI1446" s="14"/>
      <c r="AJ1446" s="51"/>
    </row>
    <row r="1447" spans="1:36" x14ac:dyDescent="0.2">
      <c r="A1447"/>
      <c r="B1447"/>
      <c r="C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 s="8"/>
      <c r="AE1447"/>
      <c r="AF1447" s="14"/>
      <c r="AG1447" s="14"/>
      <c r="AH1447" s="14"/>
      <c r="AI1447" s="14"/>
      <c r="AJ1447" s="51"/>
    </row>
    <row r="1448" spans="1:36" x14ac:dyDescent="0.2">
      <c r="A1448"/>
      <c r="B1448"/>
      <c r="C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 s="8"/>
      <c r="AE1448"/>
      <c r="AF1448" s="14"/>
      <c r="AG1448" s="14"/>
      <c r="AH1448" s="14"/>
      <c r="AI1448" s="14"/>
      <c r="AJ1448" s="51"/>
    </row>
    <row r="1449" spans="1:36" x14ac:dyDescent="0.2">
      <c r="A1449"/>
      <c r="B1449"/>
      <c r="C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 s="8"/>
      <c r="AE1449"/>
      <c r="AF1449" s="14"/>
      <c r="AG1449" s="14"/>
      <c r="AH1449" s="14"/>
      <c r="AI1449" s="14"/>
      <c r="AJ1449" s="51"/>
    </row>
    <row r="1450" spans="1:36" x14ac:dyDescent="0.2">
      <c r="A1450"/>
      <c r="B1450"/>
      <c r="C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 s="8"/>
      <c r="AE1450"/>
      <c r="AF1450" s="14"/>
      <c r="AG1450" s="14"/>
      <c r="AH1450" s="14"/>
      <c r="AI1450" s="14"/>
      <c r="AJ1450" s="51"/>
    </row>
    <row r="1451" spans="1:36" x14ac:dyDescent="0.2">
      <c r="A1451"/>
      <c r="B1451"/>
      <c r="C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 s="8"/>
      <c r="AE1451"/>
      <c r="AF1451" s="14"/>
      <c r="AG1451" s="14"/>
      <c r="AH1451" s="14"/>
      <c r="AI1451" s="14"/>
      <c r="AJ1451" s="51"/>
    </row>
    <row r="1452" spans="1:36" x14ac:dyDescent="0.2">
      <c r="A1452"/>
      <c r="B1452"/>
      <c r="C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 s="8"/>
      <c r="AE1452"/>
      <c r="AF1452" s="14"/>
      <c r="AG1452" s="14"/>
      <c r="AH1452" s="14"/>
      <c r="AI1452" s="14"/>
      <c r="AJ1452" s="51"/>
    </row>
    <row r="1453" spans="1:36" x14ac:dyDescent="0.2">
      <c r="A1453"/>
      <c r="B1453"/>
      <c r="C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 s="8"/>
      <c r="AE1453"/>
      <c r="AF1453" s="14"/>
      <c r="AG1453" s="14"/>
      <c r="AH1453" s="14"/>
      <c r="AI1453" s="14"/>
      <c r="AJ1453" s="51"/>
    </row>
    <row r="1454" spans="1:36" x14ac:dyDescent="0.2">
      <c r="A1454"/>
      <c r="B1454"/>
      <c r="C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 s="8"/>
      <c r="AE1454"/>
      <c r="AF1454" s="14"/>
      <c r="AG1454" s="14"/>
      <c r="AH1454" s="14"/>
      <c r="AI1454" s="14"/>
      <c r="AJ1454" s="51"/>
    </row>
    <row r="1455" spans="1:36" x14ac:dyDescent="0.2">
      <c r="A1455"/>
      <c r="B1455"/>
      <c r="C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 s="8"/>
      <c r="AE1455"/>
      <c r="AF1455" s="14"/>
      <c r="AG1455" s="14"/>
      <c r="AH1455" s="14"/>
      <c r="AI1455" s="14"/>
      <c r="AJ1455" s="51"/>
    </row>
    <row r="1456" spans="1:36" x14ac:dyDescent="0.2">
      <c r="A1456"/>
      <c r="B1456"/>
      <c r="C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 s="8"/>
      <c r="AE1456"/>
      <c r="AF1456" s="14"/>
      <c r="AG1456" s="14"/>
      <c r="AH1456" s="14"/>
      <c r="AI1456" s="14"/>
      <c r="AJ1456" s="51"/>
    </row>
    <row r="1457" spans="1:36" x14ac:dyDescent="0.2">
      <c r="A1457"/>
      <c r="B1457"/>
      <c r="C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 s="8"/>
      <c r="AE1457"/>
      <c r="AF1457" s="14"/>
      <c r="AG1457" s="14"/>
      <c r="AH1457" s="14"/>
      <c r="AI1457" s="14"/>
      <c r="AJ1457" s="51"/>
    </row>
    <row r="1458" spans="1:36" x14ac:dyDescent="0.2">
      <c r="A1458"/>
      <c r="B1458"/>
      <c r="C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 s="8"/>
      <c r="AE1458"/>
      <c r="AF1458" s="14"/>
      <c r="AG1458" s="14"/>
      <c r="AH1458" s="14"/>
      <c r="AI1458" s="14"/>
      <c r="AJ1458" s="51"/>
    </row>
    <row r="1459" spans="1:36" x14ac:dyDescent="0.2">
      <c r="A1459"/>
      <c r="B1459"/>
      <c r="C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 s="8"/>
      <c r="AE1459"/>
      <c r="AF1459" s="14"/>
      <c r="AG1459" s="14"/>
      <c r="AH1459" s="14"/>
      <c r="AI1459" s="14"/>
      <c r="AJ1459" s="51"/>
    </row>
    <row r="1460" spans="1:36" x14ac:dyDescent="0.2">
      <c r="A1460"/>
      <c r="B1460"/>
      <c r="C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 s="8"/>
      <c r="AE1460"/>
      <c r="AF1460" s="14"/>
      <c r="AG1460" s="14"/>
      <c r="AH1460" s="14"/>
      <c r="AI1460" s="14"/>
      <c r="AJ1460" s="51"/>
    </row>
    <row r="1461" spans="1:36" x14ac:dyDescent="0.2">
      <c r="A1461"/>
      <c r="B1461"/>
      <c r="C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 s="8"/>
      <c r="AE1461"/>
      <c r="AF1461" s="14"/>
      <c r="AG1461" s="14"/>
      <c r="AH1461" s="14"/>
      <c r="AI1461" s="14"/>
      <c r="AJ1461" s="51"/>
    </row>
    <row r="1462" spans="1:36" x14ac:dyDescent="0.2">
      <c r="A1462"/>
      <c r="B1462"/>
      <c r="C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 s="8"/>
      <c r="AE1462"/>
      <c r="AF1462" s="14"/>
      <c r="AG1462" s="14"/>
      <c r="AH1462" s="14"/>
      <c r="AI1462" s="14"/>
      <c r="AJ1462" s="51"/>
    </row>
    <row r="1463" spans="1:36" x14ac:dyDescent="0.2">
      <c r="A1463"/>
      <c r="B1463"/>
      <c r="C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 s="8"/>
      <c r="AE1463"/>
      <c r="AF1463" s="14"/>
      <c r="AG1463" s="14"/>
      <c r="AH1463" s="14"/>
      <c r="AI1463" s="14"/>
      <c r="AJ1463" s="51"/>
    </row>
    <row r="1464" spans="1:36" x14ac:dyDescent="0.2">
      <c r="A1464"/>
      <c r="B1464"/>
      <c r="C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 s="8"/>
      <c r="AE1464"/>
      <c r="AF1464" s="14"/>
      <c r="AG1464" s="14"/>
      <c r="AH1464" s="14"/>
      <c r="AI1464" s="14"/>
      <c r="AJ1464" s="51"/>
    </row>
    <row r="1465" spans="1:36" x14ac:dyDescent="0.2">
      <c r="A1465"/>
      <c r="B1465"/>
      <c r="C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 s="8"/>
      <c r="AE1465"/>
      <c r="AF1465" s="14"/>
      <c r="AG1465" s="14"/>
      <c r="AH1465" s="14"/>
      <c r="AI1465" s="14"/>
      <c r="AJ1465" s="51"/>
    </row>
    <row r="1466" spans="1:36" x14ac:dyDescent="0.2">
      <c r="A1466"/>
      <c r="B1466"/>
      <c r="C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 s="8"/>
      <c r="AE1466"/>
      <c r="AF1466" s="14"/>
      <c r="AG1466" s="14"/>
      <c r="AH1466" s="14"/>
      <c r="AI1466" s="14"/>
      <c r="AJ1466" s="51"/>
    </row>
    <row r="1467" spans="1:36" x14ac:dyDescent="0.2">
      <c r="A1467"/>
      <c r="B1467"/>
      <c r="C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 s="8"/>
      <c r="AE1467"/>
      <c r="AF1467" s="14"/>
      <c r="AG1467" s="14"/>
      <c r="AH1467" s="14"/>
      <c r="AI1467" s="14"/>
      <c r="AJ1467" s="51"/>
    </row>
    <row r="1468" spans="1:36" x14ac:dyDescent="0.2">
      <c r="A1468"/>
      <c r="B1468"/>
      <c r="C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 s="8"/>
      <c r="AE1468"/>
      <c r="AF1468" s="14"/>
      <c r="AG1468" s="14"/>
      <c r="AH1468" s="14"/>
      <c r="AI1468" s="14"/>
      <c r="AJ1468" s="51"/>
    </row>
    <row r="1469" spans="1:36" x14ac:dyDescent="0.2">
      <c r="A1469"/>
      <c r="B1469"/>
      <c r="C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 s="8"/>
      <c r="AE1469"/>
      <c r="AF1469" s="14"/>
      <c r="AG1469" s="14"/>
      <c r="AH1469" s="14"/>
      <c r="AI1469" s="14"/>
      <c r="AJ1469" s="51"/>
    </row>
    <row r="1470" spans="1:36" x14ac:dyDescent="0.2">
      <c r="A1470"/>
      <c r="B1470"/>
      <c r="C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 s="8"/>
      <c r="AE1470"/>
      <c r="AF1470" s="14"/>
      <c r="AG1470" s="14"/>
      <c r="AH1470" s="14"/>
      <c r="AI1470" s="14"/>
      <c r="AJ1470" s="51"/>
    </row>
    <row r="1471" spans="1:36" x14ac:dyDescent="0.2">
      <c r="A1471"/>
      <c r="B1471"/>
      <c r="C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 s="8"/>
      <c r="AE1471"/>
      <c r="AF1471" s="14"/>
      <c r="AG1471" s="14"/>
      <c r="AH1471" s="14"/>
      <c r="AI1471" s="14"/>
      <c r="AJ1471" s="51"/>
    </row>
    <row r="1472" spans="1:36" x14ac:dyDescent="0.2">
      <c r="A1472"/>
      <c r="B1472"/>
      <c r="C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 s="8"/>
      <c r="AE1472"/>
      <c r="AF1472" s="14"/>
      <c r="AG1472" s="14"/>
      <c r="AH1472" s="14"/>
      <c r="AI1472" s="14"/>
      <c r="AJ1472" s="51"/>
    </row>
    <row r="1473" spans="1:36" x14ac:dyDescent="0.2">
      <c r="A1473"/>
      <c r="B1473"/>
      <c r="C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 s="8"/>
      <c r="AE1473"/>
      <c r="AF1473" s="14"/>
      <c r="AG1473" s="14"/>
      <c r="AH1473" s="14"/>
      <c r="AI1473" s="14"/>
      <c r="AJ1473" s="51"/>
    </row>
    <row r="1474" spans="1:36" x14ac:dyDescent="0.2">
      <c r="A1474"/>
      <c r="B1474"/>
      <c r="C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 s="8"/>
      <c r="AE1474"/>
      <c r="AF1474" s="14"/>
      <c r="AG1474" s="14"/>
      <c r="AH1474" s="14"/>
      <c r="AI1474" s="14"/>
      <c r="AJ1474" s="51"/>
    </row>
    <row r="1475" spans="1:36" x14ac:dyDescent="0.2">
      <c r="A1475"/>
      <c r="B1475"/>
      <c r="C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 s="8"/>
      <c r="AE1475"/>
      <c r="AF1475" s="14"/>
      <c r="AG1475" s="14"/>
      <c r="AH1475" s="14"/>
      <c r="AI1475" s="14"/>
      <c r="AJ1475" s="51"/>
    </row>
    <row r="1476" spans="1:36" x14ac:dyDescent="0.2">
      <c r="A1476"/>
      <c r="B1476"/>
      <c r="C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 s="8"/>
      <c r="AE1476"/>
      <c r="AF1476" s="14"/>
      <c r="AG1476" s="14"/>
      <c r="AH1476" s="14"/>
      <c r="AI1476" s="14"/>
      <c r="AJ1476" s="51"/>
    </row>
    <row r="1477" spans="1:36" x14ac:dyDescent="0.2">
      <c r="A1477"/>
      <c r="B1477"/>
      <c r="C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 s="8"/>
      <c r="AE1477"/>
      <c r="AF1477" s="14"/>
      <c r="AG1477" s="14"/>
      <c r="AH1477" s="14"/>
      <c r="AI1477" s="14"/>
      <c r="AJ1477" s="51"/>
    </row>
    <row r="1478" spans="1:36" x14ac:dyDescent="0.2">
      <c r="A1478"/>
      <c r="B1478"/>
      <c r="C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 s="8"/>
      <c r="AE1478"/>
      <c r="AF1478" s="14"/>
      <c r="AG1478" s="14"/>
      <c r="AH1478" s="14"/>
      <c r="AI1478" s="14"/>
      <c r="AJ1478" s="51"/>
    </row>
    <row r="1479" spans="1:36" x14ac:dyDescent="0.2">
      <c r="A1479"/>
      <c r="B1479"/>
      <c r="C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 s="8"/>
      <c r="AE1479"/>
      <c r="AF1479" s="14"/>
      <c r="AG1479" s="14"/>
      <c r="AH1479" s="14"/>
      <c r="AI1479" s="14"/>
      <c r="AJ1479" s="51"/>
    </row>
    <row r="1480" spans="1:36" x14ac:dyDescent="0.2">
      <c r="A1480"/>
      <c r="B1480"/>
      <c r="C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 s="8"/>
      <c r="AE1480"/>
      <c r="AF1480" s="14"/>
      <c r="AG1480" s="14"/>
      <c r="AH1480" s="14"/>
      <c r="AI1480" s="14"/>
      <c r="AJ1480" s="51"/>
    </row>
    <row r="1481" spans="1:36" x14ac:dyDescent="0.2">
      <c r="A1481"/>
      <c r="B1481"/>
      <c r="C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 s="8"/>
      <c r="AE1481"/>
      <c r="AF1481" s="14"/>
      <c r="AG1481" s="14"/>
      <c r="AH1481" s="14"/>
      <c r="AI1481" s="14"/>
      <c r="AJ1481" s="51"/>
    </row>
    <row r="1482" spans="1:36" x14ac:dyDescent="0.2">
      <c r="A1482"/>
      <c r="B1482"/>
      <c r="C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 s="8"/>
      <c r="AE1482"/>
      <c r="AF1482" s="14"/>
      <c r="AG1482" s="14"/>
      <c r="AH1482" s="14"/>
      <c r="AI1482" s="14"/>
      <c r="AJ1482" s="51"/>
    </row>
    <row r="1483" spans="1:36" x14ac:dyDescent="0.2">
      <c r="A1483"/>
      <c r="B1483"/>
      <c r="C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 s="8"/>
      <c r="AE1483"/>
      <c r="AF1483" s="14"/>
      <c r="AG1483" s="14"/>
      <c r="AH1483" s="14"/>
      <c r="AI1483" s="14"/>
      <c r="AJ1483" s="51"/>
    </row>
    <row r="1484" spans="1:36" x14ac:dyDescent="0.2">
      <c r="A1484"/>
      <c r="B1484"/>
      <c r="C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 s="8"/>
      <c r="AE1484"/>
      <c r="AF1484" s="14"/>
      <c r="AG1484" s="14"/>
      <c r="AH1484" s="14"/>
      <c r="AI1484" s="14"/>
      <c r="AJ1484" s="51"/>
    </row>
    <row r="1485" spans="1:36" x14ac:dyDescent="0.2">
      <c r="A1485"/>
      <c r="B1485"/>
      <c r="C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 s="8"/>
      <c r="AE1485"/>
      <c r="AF1485" s="14"/>
      <c r="AG1485" s="14"/>
      <c r="AH1485" s="14"/>
      <c r="AI1485" s="14"/>
      <c r="AJ1485" s="51"/>
    </row>
    <row r="1486" spans="1:36" x14ac:dyDescent="0.2">
      <c r="A1486"/>
      <c r="B1486"/>
      <c r="C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 s="8"/>
      <c r="AE1486"/>
      <c r="AF1486" s="14"/>
      <c r="AG1486" s="14"/>
      <c r="AH1486" s="14"/>
      <c r="AI1486" s="14"/>
      <c r="AJ1486" s="51"/>
    </row>
    <row r="1487" spans="1:36" x14ac:dyDescent="0.2">
      <c r="A1487"/>
      <c r="B1487"/>
      <c r="C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 s="8"/>
      <c r="AE1487"/>
      <c r="AF1487" s="14"/>
      <c r="AG1487" s="14"/>
      <c r="AH1487" s="14"/>
      <c r="AI1487" s="14"/>
      <c r="AJ1487" s="51"/>
    </row>
    <row r="1488" spans="1:36" x14ac:dyDescent="0.2">
      <c r="A1488"/>
      <c r="B1488"/>
      <c r="C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 s="8"/>
      <c r="AE1488"/>
      <c r="AF1488" s="14"/>
      <c r="AG1488" s="14"/>
      <c r="AH1488" s="14"/>
      <c r="AI1488" s="14"/>
      <c r="AJ1488" s="51"/>
    </row>
    <row r="1489" spans="1:36" x14ac:dyDescent="0.2">
      <c r="A1489"/>
      <c r="B1489"/>
      <c r="C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 s="8"/>
      <c r="AE1489"/>
      <c r="AF1489" s="14"/>
      <c r="AG1489" s="14"/>
      <c r="AH1489" s="14"/>
      <c r="AI1489" s="14"/>
      <c r="AJ1489" s="51"/>
    </row>
    <row r="1490" spans="1:36" x14ac:dyDescent="0.2">
      <c r="A1490"/>
      <c r="B1490"/>
      <c r="C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 s="8"/>
      <c r="AE1490"/>
      <c r="AF1490" s="14"/>
      <c r="AG1490" s="14"/>
      <c r="AH1490" s="14"/>
      <c r="AI1490" s="14"/>
      <c r="AJ1490" s="51"/>
    </row>
    <row r="1491" spans="1:36" x14ac:dyDescent="0.2">
      <c r="A1491"/>
      <c r="B1491"/>
      <c r="C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 s="8"/>
      <c r="AE1491"/>
      <c r="AF1491" s="14"/>
      <c r="AG1491" s="14"/>
      <c r="AH1491" s="14"/>
      <c r="AI1491" s="14"/>
      <c r="AJ1491" s="51"/>
    </row>
    <row r="1492" spans="1:36" x14ac:dyDescent="0.2">
      <c r="A1492"/>
      <c r="B1492"/>
      <c r="C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 s="8"/>
      <c r="AE1492"/>
      <c r="AF1492" s="14"/>
      <c r="AG1492" s="14"/>
      <c r="AH1492" s="14"/>
      <c r="AI1492" s="14"/>
      <c r="AJ1492" s="51"/>
    </row>
    <row r="1493" spans="1:36" x14ac:dyDescent="0.2">
      <c r="A1493"/>
      <c r="B1493"/>
      <c r="C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 s="8"/>
      <c r="AE1493"/>
      <c r="AF1493" s="14"/>
      <c r="AG1493" s="14"/>
      <c r="AH1493" s="14"/>
      <c r="AI1493" s="14"/>
      <c r="AJ1493" s="51"/>
    </row>
    <row r="1494" spans="1:36" x14ac:dyDescent="0.2">
      <c r="A1494"/>
      <c r="B1494"/>
      <c r="C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 s="8"/>
      <c r="AE1494"/>
      <c r="AF1494" s="14"/>
      <c r="AG1494" s="14"/>
      <c r="AH1494" s="14"/>
      <c r="AI1494" s="14"/>
      <c r="AJ1494" s="51"/>
    </row>
    <row r="1495" spans="1:36" x14ac:dyDescent="0.2">
      <c r="A1495"/>
      <c r="B1495"/>
      <c r="C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 s="8"/>
      <c r="AE1495"/>
      <c r="AF1495" s="14"/>
      <c r="AG1495" s="14"/>
      <c r="AH1495" s="14"/>
      <c r="AI1495" s="14"/>
      <c r="AJ1495" s="51"/>
    </row>
    <row r="1496" spans="1:36" x14ac:dyDescent="0.2">
      <c r="A1496"/>
      <c r="B1496"/>
      <c r="C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 s="8"/>
      <c r="AE1496"/>
      <c r="AF1496" s="14"/>
      <c r="AG1496" s="14"/>
      <c r="AH1496" s="14"/>
      <c r="AI1496" s="14"/>
      <c r="AJ1496" s="51"/>
    </row>
    <row r="1497" spans="1:36" x14ac:dyDescent="0.2">
      <c r="A1497"/>
      <c r="B1497"/>
      <c r="C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 s="8"/>
      <c r="AE1497"/>
      <c r="AF1497" s="14"/>
      <c r="AG1497" s="14"/>
      <c r="AH1497" s="14"/>
      <c r="AI1497" s="14"/>
      <c r="AJ1497" s="51"/>
    </row>
    <row r="1498" spans="1:36" x14ac:dyDescent="0.2">
      <c r="A1498"/>
      <c r="B1498"/>
      <c r="C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 s="8"/>
      <c r="AE1498"/>
      <c r="AF1498" s="14"/>
      <c r="AG1498" s="14"/>
      <c r="AH1498" s="14"/>
      <c r="AI1498" s="14"/>
      <c r="AJ1498" s="51"/>
    </row>
    <row r="1499" spans="1:36" x14ac:dyDescent="0.2">
      <c r="A1499"/>
      <c r="B1499"/>
      <c r="C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 s="8"/>
      <c r="AE1499"/>
      <c r="AF1499" s="14"/>
      <c r="AG1499" s="14"/>
      <c r="AH1499" s="14"/>
      <c r="AI1499" s="14"/>
      <c r="AJ1499" s="51"/>
    </row>
    <row r="1500" spans="1:36" x14ac:dyDescent="0.2">
      <c r="A1500"/>
      <c r="B1500"/>
      <c r="C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 s="8"/>
      <c r="AE1500"/>
      <c r="AF1500" s="14"/>
      <c r="AG1500" s="14"/>
      <c r="AH1500" s="14"/>
      <c r="AI1500" s="14"/>
      <c r="AJ1500" s="51"/>
    </row>
    <row r="1501" spans="1:36" x14ac:dyDescent="0.2">
      <c r="A1501"/>
      <c r="B1501"/>
      <c r="C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 s="8"/>
      <c r="AE1501"/>
      <c r="AF1501" s="14"/>
      <c r="AG1501" s="14"/>
      <c r="AH1501" s="14"/>
      <c r="AI1501" s="14"/>
      <c r="AJ1501" s="51"/>
    </row>
    <row r="1502" spans="1:36" x14ac:dyDescent="0.2">
      <c r="A1502"/>
      <c r="B1502"/>
      <c r="C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 s="8"/>
      <c r="AE1502"/>
      <c r="AF1502" s="14"/>
      <c r="AG1502" s="14"/>
      <c r="AH1502" s="14"/>
      <c r="AI1502" s="14"/>
      <c r="AJ1502" s="51"/>
    </row>
    <row r="1503" spans="1:36" x14ac:dyDescent="0.2">
      <c r="A1503"/>
      <c r="B1503"/>
      <c r="C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 s="8"/>
      <c r="AE1503"/>
      <c r="AF1503" s="14"/>
      <c r="AG1503" s="14"/>
      <c r="AH1503" s="14"/>
      <c r="AI1503" s="14"/>
      <c r="AJ1503" s="51"/>
    </row>
    <row r="1504" spans="1:36" x14ac:dyDescent="0.2">
      <c r="A1504"/>
      <c r="B1504"/>
      <c r="C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 s="8"/>
      <c r="AE1504"/>
      <c r="AF1504" s="14"/>
      <c r="AG1504" s="14"/>
      <c r="AH1504" s="14"/>
      <c r="AI1504" s="14"/>
      <c r="AJ1504" s="51"/>
    </row>
    <row r="1505" spans="1:36" x14ac:dyDescent="0.2">
      <c r="A1505"/>
      <c r="B1505"/>
      <c r="C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 s="8"/>
      <c r="AE1505"/>
      <c r="AF1505" s="14"/>
      <c r="AG1505" s="14"/>
      <c r="AH1505" s="14"/>
      <c r="AI1505" s="14"/>
      <c r="AJ1505" s="51"/>
    </row>
    <row r="1506" spans="1:36" x14ac:dyDescent="0.2">
      <c r="A1506"/>
      <c r="B1506"/>
      <c r="C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 s="8"/>
      <c r="AE1506"/>
      <c r="AF1506" s="14"/>
      <c r="AG1506" s="14"/>
      <c r="AH1506" s="14"/>
      <c r="AI1506" s="14"/>
      <c r="AJ1506" s="51"/>
    </row>
    <row r="1507" spans="1:36" x14ac:dyDescent="0.2">
      <c r="A1507"/>
      <c r="B1507"/>
      <c r="C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 s="8"/>
      <c r="AE1507"/>
      <c r="AF1507" s="14"/>
      <c r="AG1507" s="14"/>
      <c r="AH1507" s="14"/>
      <c r="AI1507" s="14"/>
      <c r="AJ1507" s="51"/>
    </row>
    <row r="1508" spans="1:36" x14ac:dyDescent="0.2">
      <c r="A1508"/>
      <c r="B1508"/>
      <c r="C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 s="8"/>
      <c r="AE1508"/>
      <c r="AF1508" s="14"/>
      <c r="AG1508" s="14"/>
      <c r="AH1508" s="14"/>
      <c r="AI1508" s="14"/>
      <c r="AJ1508" s="51"/>
    </row>
    <row r="1509" spans="1:36" x14ac:dyDescent="0.2">
      <c r="A1509"/>
      <c r="B1509"/>
      <c r="C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 s="8"/>
      <c r="AE1509"/>
      <c r="AF1509" s="14"/>
      <c r="AG1509" s="14"/>
      <c r="AH1509" s="14"/>
      <c r="AI1509" s="14"/>
      <c r="AJ1509" s="51"/>
    </row>
    <row r="1510" spans="1:36" x14ac:dyDescent="0.2">
      <c r="A1510"/>
      <c r="B1510"/>
      <c r="C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 s="8"/>
      <c r="AE1510"/>
      <c r="AF1510" s="14"/>
      <c r="AG1510" s="14"/>
      <c r="AH1510" s="14"/>
      <c r="AI1510" s="14"/>
      <c r="AJ1510" s="51"/>
    </row>
    <row r="1511" spans="1:36" x14ac:dyDescent="0.2">
      <c r="A1511"/>
      <c r="B1511"/>
      <c r="C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E1511"/>
      <c r="AF1511" s="14"/>
      <c r="AG1511" s="14"/>
      <c r="AH1511" s="14"/>
      <c r="AI1511" s="14"/>
      <c r="AJ1511" s="51"/>
    </row>
    <row r="1512" spans="1:36" x14ac:dyDescent="0.2">
      <c r="A1512"/>
      <c r="B1512"/>
      <c r="C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E1512"/>
      <c r="AF1512" s="14"/>
      <c r="AG1512" s="14"/>
      <c r="AH1512" s="14"/>
      <c r="AI1512" s="14"/>
      <c r="AJ1512" s="51"/>
    </row>
    <row r="1513" spans="1:36" x14ac:dyDescent="0.2">
      <c r="B1513"/>
    </row>
    <row r="1514" spans="1:36" x14ac:dyDescent="0.2">
      <c r="B1514"/>
    </row>
    <row r="1515" spans="1:36" x14ac:dyDescent="0.2">
      <c r="B1515"/>
    </row>
    <row r="1516" spans="1:36" x14ac:dyDescent="0.2">
      <c r="B1516"/>
    </row>
    <row r="1517" spans="1:36" x14ac:dyDescent="0.2">
      <c r="B1517"/>
    </row>
    <row r="1518" spans="1:36" x14ac:dyDescent="0.2">
      <c r="B1518"/>
    </row>
    <row r="1519" spans="1:36" x14ac:dyDescent="0.2">
      <c r="B1519"/>
    </row>
    <row r="1520" spans="1:36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</sheetData>
  <dataConsolidate/>
  <mergeCells count="1">
    <mergeCell ref="AI1:AJ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765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763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764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2024-08-03T20:31:15Z</dcterms:modified>
</cp:coreProperties>
</file>