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terlouw\Documents\Projects\Robinson\mes_optimization\new_data\"/>
    </mc:Choice>
  </mc:AlternateContent>
  <xr:revisionPtr revIDLastSave="0" documentId="13_ncr:1_{1469DC0B-DE08-425E-A2AC-9C136B3E5773}" xr6:coauthVersionLast="47" xr6:coauthVersionMax="47" xr10:uidLastSave="{00000000-0000-0000-0000-000000000000}"/>
  <bookViews>
    <workbookView xWindow="3240" yWindow="-21600" windowWidth="26010" windowHeight="20985" xr2:uid="{00000000-000D-0000-FFFF-FFFF00000000}"/>
  </bookViews>
  <sheets>
    <sheet name="co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2" l="1"/>
  <c r="N10" i="2"/>
  <c r="O10" i="2"/>
  <c r="M11" i="2"/>
  <c r="N11" i="2"/>
  <c r="O11" i="2"/>
  <c r="M12" i="2"/>
  <c r="N12" i="2"/>
  <c r="O12" i="2"/>
  <c r="M13" i="2"/>
  <c r="N13" i="2"/>
  <c r="O13" i="2"/>
  <c r="P13" i="2"/>
  <c r="M15" i="2"/>
  <c r="N15" i="2"/>
  <c r="O15" i="2"/>
  <c r="P15" i="2"/>
  <c r="R15" i="2"/>
  <c r="S15" i="2"/>
  <c r="U15" i="2"/>
  <c r="M16" i="2"/>
  <c r="N16" i="2"/>
  <c r="O16" i="2"/>
  <c r="M17" i="2"/>
  <c r="N17" i="2"/>
  <c r="O17" i="2"/>
  <c r="T17" i="2"/>
  <c r="M19" i="2"/>
  <c r="N19" i="2"/>
  <c r="O19" i="2"/>
  <c r="P19" i="2"/>
  <c r="M20" i="2"/>
  <c r="N20" i="2"/>
  <c r="O20" i="2"/>
  <c r="P20" i="2"/>
  <c r="Q20" i="2"/>
  <c r="M21" i="2"/>
  <c r="N21" i="2"/>
  <c r="O21" i="2"/>
  <c r="P21" i="2"/>
  <c r="M22" i="2"/>
  <c r="N22" i="2"/>
  <c r="O22" i="2"/>
  <c r="P22" i="2"/>
  <c r="M23" i="2"/>
  <c r="N23" i="2"/>
  <c r="O23" i="2"/>
  <c r="R23" i="2"/>
  <c r="M24" i="2"/>
  <c r="N24" i="2"/>
  <c r="O24" i="2"/>
  <c r="P24" i="2"/>
  <c r="R24" i="2"/>
  <c r="M25" i="2"/>
  <c r="N25" i="2"/>
  <c r="O25" i="2"/>
  <c r="P25" i="2"/>
  <c r="M26" i="2"/>
  <c r="N26" i="2"/>
  <c r="O26" i="2"/>
  <c r="P26" i="2"/>
  <c r="Q26" i="2"/>
  <c r="R26" i="2"/>
  <c r="W26" i="2"/>
  <c r="X26" i="2"/>
  <c r="M28" i="2"/>
  <c r="N28" i="2"/>
  <c r="O28" i="2"/>
  <c r="M29" i="2"/>
  <c r="N29" i="2"/>
  <c r="O29" i="2"/>
  <c r="J32" i="2"/>
  <c r="L32" i="2"/>
  <c r="L33" i="2"/>
  <c r="O37" i="2"/>
  <c r="P37" i="2"/>
  <c r="L37" i="2" s="1"/>
  <c r="Q37" i="2"/>
  <c r="M37" i="2" s="1"/>
  <c r="L38" i="2"/>
  <c r="O38" i="2"/>
  <c r="P38" i="2"/>
  <c r="Q38" i="2"/>
  <c r="M38" i="2" s="1"/>
  <c r="O40" i="2"/>
  <c r="P40" i="2"/>
  <c r="L40" i="2" s="1"/>
  <c r="Q40" i="2"/>
  <c r="L42" i="2"/>
  <c r="M42" i="2"/>
  <c r="O42" i="2"/>
  <c r="P42" i="2"/>
  <c r="Q42" i="2"/>
  <c r="O43" i="2"/>
  <c r="P43" i="2"/>
  <c r="L43" i="2" s="1"/>
  <c r="Q43" i="2"/>
  <c r="M43" i="2" s="1"/>
  <c r="L49" i="2"/>
  <c r="M49" i="2"/>
  <c r="O49" i="2"/>
  <c r="P49" i="2"/>
  <c r="Q49" i="2"/>
  <c r="O50" i="2"/>
  <c r="P50" i="2"/>
  <c r="L50" i="2" s="1"/>
  <c r="Q50" i="2"/>
  <c r="M50" i="2" s="1"/>
  <c r="L52" i="2"/>
  <c r="L53" i="2"/>
  <c r="L54" i="2"/>
  <c r="L55" i="2"/>
  <c r="L57" i="2"/>
  <c r="L59" i="2"/>
  <c r="O61" i="2"/>
  <c r="P61" i="2"/>
  <c r="L61" i="2" s="1"/>
  <c r="Q61" i="2"/>
  <c r="M61" i="2" s="1"/>
  <c r="L62" i="2"/>
  <c r="O62" i="2"/>
  <c r="P62" i="2"/>
  <c r="Q62" i="2"/>
  <c r="M62" i="2" s="1"/>
  <c r="O63" i="2"/>
  <c r="P63" i="2"/>
  <c r="L63" i="2" s="1"/>
  <c r="Q63" i="2"/>
  <c r="M63" i="2" s="1"/>
  <c r="V64" i="2"/>
  <c r="S68" i="2"/>
  <c r="N69" i="2"/>
  <c r="O69" i="2"/>
  <c r="P69" i="2"/>
  <c r="M69" i="2" s="1"/>
  <c r="S69" i="2"/>
  <c r="N70" i="2"/>
  <c r="O70" i="2"/>
  <c r="P70" i="2"/>
  <c r="M70" i="2" s="1"/>
  <c r="N71" i="2"/>
  <c r="O71" i="2"/>
  <c r="O72" i="2"/>
  <c r="O74" i="2"/>
  <c r="P74" i="2"/>
  <c r="M74" i="2" s="1"/>
  <c r="O75" i="2"/>
  <c r="P75" i="2"/>
  <c r="M75" i="2" s="1"/>
  <c r="M76" i="2"/>
  <c r="O76" i="2"/>
  <c r="P76" i="2"/>
  <c r="M77" i="2"/>
  <c r="O77" i="2"/>
  <c r="O79" i="2"/>
  <c r="P79" i="2"/>
  <c r="M79" i="2" s="1"/>
  <c r="O80" i="2"/>
  <c r="P80" i="2"/>
  <c r="M80" i="2" s="1"/>
  <c r="O81" i="2"/>
  <c r="P81" i="2"/>
  <c r="M81" i="2" s="1"/>
  <c r="M82" i="2"/>
  <c r="O82" i="2"/>
  <c r="M83" i="2"/>
  <c r="O83" i="2"/>
  <c r="O84" i="2"/>
  <c r="P84" i="2"/>
  <c r="M84" i="2" s="1"/>
  <c r="O85" i="2"/>
  <c r="P85" i="2"/>
  <c r="M85" i="2" s="1"/>
  <c r="M87" i="2"/>
  <c r="N87" i="2"/>
  <c r="M89" i="2"/>
  <c r="Q90" i="2"/>
  <c r="N89" i="2" s="1"/>
  <c r="L95" i="2"/>
  <c r="L96" i="2"/>
  <c r="L2" i="2"/>
  <c r="L3" i="2"/>
  <c r="N3" i="2"/>
  <c r="L5" i="2"/>
  <c r="N205" i="2"/>
  <c r="N200" i="2"/>
  <c r="N201" i="2"/>
  <c r="N202" i="2"/>
  <c r="N203" i="2"/>
  <c r="N204" i="2"/>
  <c r="M201" i="2"/>
  <c r="M202" i="2"/>
  <c r="M203" i="2"/>
  <c r="M204" i="2"/>
  <c r="H142" i="2"/>
  <c r="B30" i="2"/>
  <c r="A134" i="2" l="1"/>
  <c r="A135" i="2"/>
  <c r="A136" i="2"/>
  <c r="A133" i="2"/>
  <c r="B133" i="2"/>
  <c r="B134" i="2" l="1"/>
  <c r="C134" i="2"/>
  <c r="B135" i="2"/>
  <c r="C135" i="2"/>
  <c r="B136" i="2"/>
  <c r="C136" i="2"/>
  <c r="C133" i="2"/>
  <c r="B62" i="2" l="1"/>
  <c r="B63" i="2"/>
  <c r="H56" i="2"/>
  <c r="B56" i="2" s="1"/>
  <c r="H92" i="2" l="1"/>
  <c r="B92" i="2" l="1"/>
  <c r="M205" i="2"/>
  <c r="G209" i="2"/>
  <c r="H209" i="2"/>
  <c r="I209" i="2"/>
  <c r="G210" i="2"/>
  <c r="H210" i="2"/>
  <c r="I210" i="2"/>
  <c r="G211" i="2"/>
  <c r="H211" i="2"/>
  <c r="I211" i="2"/>
  <c r="L142" i="2"/>
  <c r="M142" i="2"/>
  <c r="N142" i="2"/>
  <c r="L143" i="2"/>
  <c r="M143" i="2"/>
  <c r="N143" i="2"/>
  <c r="L144" i="2"/>
  <c r="M144" i="2"/>
  <c r="N144" i="2"/>
  <c r="L145" i="2"/>
  <c r="M145" i="2"/>
  <c r="N145" i="2"/>
  <c r="L146" i="2"/>
  <c r="M146" i="2"/>
  <c r="N146" i="2"/>
  <c r="L147" i="2"/>
  <c r="M147" i="2"/>
  <c r="N147" i="2"/>
  <c r="L148" i="2"/>
  <c r="M148" i="2"/>
  <c r="N148" i="2"/>
  <c r="L149" i="2"/>
  <c r="M149" i="2"/>
  <c r="N149" i="2"/>
  <c r="L150" i="2"/>
  <c r="M150" i="2"/>
  <c r="N150" i="2"/>
  <c r="L151" i="2"/>
  <c r="M151" i="2"/>
  <c r="N151" i="2"/>
  <c r="L152" i="2"/>
  <c r="M152" i="2"/>
  <c r="N152" i="2"/>
  <c r="L153" i="2"/>
  <c r="M153" i="2"/>
  <c r="N153" i="2"/>
  <c r="L154" i="2"/>
  <c r="M154" i="2"/>
  <c r="N154" i="2"/>
  <c r="L155" i="2"/>
  <c r="M155" i="2"/>
  <c r="N155" i="2"/>
  <c r="L156" i="2"/>
  <c r="M156" i="2"/>
  <c r="N156" i="2"/>
  <c r="L157" i="2"/>
  <c r="M157" i="2"/>
  <c r="N157" i="2"/>
  <c r="L158" i="2"/>
  <c r="M158" i="2"/>
  <c r="N158" i="2"/>
  <c r="L159" i="2"/>
  <c r="M159" i="2"/>
  <c r="N159" i="2"/>
  <c r="L160" i="2"/>
  <c r="M160" i="2"/>
  <c r="N160" i="2"/>
  <c r="L161" i="2"/>
  <c r="N161" i="2"/>
  <c r="L162" i="2"/>
  <c r="M162" i="2"/>
  <c r="N162" i="2"/>
  <c r="L163" i="2"/>
  <c r="N163" i="2"/>
  <c r="L164" i="2"/>
  <c r="M164" i="2"/>
  <c r="N164" i="2"/>
  <c r="L165" i="2"/>
  <c r="N165" i="2"/>
  <c r="L166" i="2"/>
  <c r="N166" i="2"/>
  <c r="L167" i="2"/>
  <c r="N167" i="2"/>
  <c r="L168" i="2"/>
  <c r="M168" i="2"/>
  <c r="N168" i="2"/>
  <c r="L169" i="2"/>
  <c r="M169" i="2"/>
  <c r="N169" i="2"/>
  <c r="L170" i="2"/>
  <c r="M170" i="2"/>
  <c r="N170" i="2"/>
  <c r="L171" i="2"/>
  <c r="M171" i="2"/>
  <c r="N171" i="2"/>
  <c r="L172" i="2"/>
  <c r="M172" i="2"/>
  <c r="N172" i="2"/>
  <c r="L173" i="2"/>
  <c r="M173" i="2"/>
  <c r="N173" i="2"/>
  <c r="L174" i="2"/>
  <c r="M174" i="2"/>
  <c r="N174" i="2"/>
  <c r="L175" i="2"/>
  <c r="M175" i="2"/>
  <c r="N175" i="2"/>
  <c r="L176" i="2"/>
  <c r="N176" i="2"/>
  <c r="L177" i="2"/>
  <c r="N177" i="2"/>
  <c r="L178" i="2"/>
  <c r="M178" i="2"/>
  <c r="N178" i="2"/>
  <c r="L179" i="2"/>
  <c r="M179" i="2"/>
  <c r="N179" i="2"/>
  <c r="L180" i="2"/>
  <c r="M180" i="2"/>
  <c r="N180" i="2"/>
  <c r="L181" i="2"/>
  <c r="M181" i="2"/>
  <c r="N181" i="2"/>
  <c r="L182" i="2"/>
  <c r="M182" i="2"/>
  <c r="N182" i="2"/>
  <c r="L183" i="2"/>
  <c r="M183" i="2"/>
  <c r="N183" i="2"/>
  <c r="L184" i="2"/>
  <c r="M184" i="2"/>
  <c r="N184" i="2"/>
  <c r="L185" i="2"/>
  <c r="M185" i="2"/>
  <c r="N185" i="2"/>
  <c r="L186" i="2"/>
  <c r="M186" i="2"/>
  <c r="N186" i="2"/>
  <c r="L187" i="2"/>
  <c r="M187" i="2"/>
  <c r="N187" i="2"/>
  <c r="L188" i="2"/>
  <c r="M188" i="2"/>
  <c r="N188" i="2"/>
  <c r="L189" i="2"/>
  <c r="M189" i="2"/>
  <c r="N189" i="2"/>
  <c r="L190" i="2"/>
  <c r="M190" i="2"/>
  <c r="N190" i="2"/>
  <c r="L191" i="2"/>
  <c r="M191" i="2"/>
  <c r="N191" i="2"/>
  <c r="L192" i="2"/>
  <c r="M192" i="2"/>
  <c r="N192" i="2"/>
  <c r="L193" i="2"/>
  <c r="M193" i="2"/>
  <c r="N193" i="2"/>
  <c r="L194" i="2"/>
  <c r="M194" i="2"/>
  <c r="N194" i="2"/>
  <c r="L195" i="2"/>
  <c r="M195" i="2"/>
  <c r="N195" i="2"/>
  <c r="L196" i="2"/>
  <c r="M196" i="2"/>
  <c r="N196" i="2"/>
  <c r="L197" i="2"/>
  <c r="M197" i="2"/>
  <c r="N197" i="2"/>
  <c r="L198" i="2"/>
  <c r="M198" i="2"/>
  <c r="N198" i="2"/>
  <c r="L199" i="2"/>
  <c r="M199" i="2"/>
  <c r="N199" i="2"/>
  <c r="L200" i="2"/>
  <c r="M200" i="2"/>
  <c r="G208" i="2"/>
  <c r="H208" i="2"/>
  <c r="I208" i="2"/>
  <c r="G141" i="2"/>
  <c r="H141" i="2"/>
  <c r="I141" i="2"/>
  <c r="G142" i="2"/>
  <c r="I142" i="2"/>
  <c r="G143" i="2"/>
  <c r="H143" i="2"/>
  <c r="I143" i="2"/>
  <c r="G144" i="2"/>
  <c r="H144" i="2"/>
  <c r="I144" i="2"/>
  <c r="G145" i="2"/>
  <c r="H145" i="2"/>
  <c r="I145" i="2"/>
  <c r="G146" i="2"/>
  <c r="H146" i="2"/>
  <c r="I146" i="2"/>
  <c r="G147" i="2"/>
  <c r="H147" i="2"/>
  <c r="I147" i="2"/>
  <c r="G148" i="2"/>
  <c r="H148" i="2"/>
  <c r="I148" i="2"/>
  <c r="G149" i="2"/>
  <c r="H149" i="2"/>
  <c r="I149" i="2"/>
  <c r="G150" i="2"/>
  <c r="H150" i="2"/>
  <c r="I150" i="2"/>
  <c r="G151" i="2"/>
  <c r="H151" i="2"/>
  <c r="I151" i="2"/>
  <c r="G152" i="2"/>
  <c r="H152" i="2"/>
  <c r="I152" i="2"/>
  <c r="G153" i="2"/>
  <c r="H153" i="2"/>
  <c r="I153" i="2"/>
  <c r="G154" i="2"/>
  <c r="H154" i="2"/>
  <c r="I154" i="2"/>
  <c r="G155" i="2"/>
  <c r="H155" i="2"/>
  <c r="I155" i="2"/>
  <c r="G156" i="2"/>
  <c r="H156" i="2"/>
  <c r="I156" i="2"/>
  <c r="G157" i="2"/>
  <c r="H157" i="2"/>
  <c r="I157" i="2"/>
  <c r="G158" i="2"/>
  <c r="H158" i="2"/>
  <c r="I158" i="2"/>
  <c r="G159" i="2"/>
  <c r="H159" i="2"/>
  <c r="I159" i="2"/>
  <c r="G160" i="2"/>
  <c r="I160" i="2"/>
  <c r="G161" i="2"/>
  <c r="I161" i="2"/>
  <c r="G162" i="2"/>
  <c r="H162" i="2"/>
  <c r="I162" i="2"/>
  <c r="G163" i="2"/>
  <c r="I163" i="2"/>
  <c r="G164" i="2"/>
  <c r="I164" i="2"/>
  <c r="G165" i="2"/>
  <c r="H165" i="2"/>
  <c r="I165" i="2"/>
  <c r="G166" i="2"/>
  <c r="H166" i="2"/>
  <c r="I166" i="2"/>
  <c r="G167" i="2"/>
  <c r="H167" i="2"/>
  <c r="I167" i="2"/>
  <c r="G168" i="2"/>
  <c r="H168" i="2"/>
  <c r="I168" i="2"/>
  <c r="G169" i="2"/>
  <c r="I169" i="2"/>
  <c r="G170" i="2"/>
  <c r="H170" i="2"/>
  <c r="I170" i="2"/>
  <c r="G171" i="2"/>
  <c r="H171" i="2"/>
  <c r="I171" i="2"/>
  <c r="G172" i="2"/>
  <c r="H172" i="2"/>
  <c r="I172" i="2"/>
  <c r="G173" i="2"/>
  <c r="H173" i="2"/>
  <c r="I173" i="2"/>
  <c r="G174" i="2"/>
  <c r="H174" i="2"/>
  <c r="I174" i="2"/>
  <c r="G175" i="2"/>
  <c r="H175" i="2"/>
  <c r="I175" i="2"/>
  <c r="G176" i="2"/>
  <c r="H176" i="2"/>
  <c r="I176" i="2"/>
  <c r="G177" i="2"/>
  <c r="H177" i="2"/>
  <c r="I177" i="2"/>
  <c r="G178" i="2"/>
  <c r="H178" i="2"/>
  <c r="I178" i="2"/>
  <c r="G179" i="2"/>
  <c r="H179" i="2"/>
  <c r="I179" i="2"/>
  <c r="G180" i="2"/>
  <c r="H180" i="2"/>
  <c r="I180" i="2"/>
  <c r="G181" i="2"/>
  <c r="H181" i="2"/>
  <c r="I181" i="2"/>
  <c r="G182" i="2"/>
  <c r="H182" i="2"/>
  <c r="I182" i="2"/>
  <c r="G183" i="2"/>
  <c r="H183" i="2"/>
  <c r="I183" i="2"/>
  <c r="G184" i="2"/>
  <c r="H184" i="2"/>
  <c r="I184" i="2"/>
  <c r="G185" i="2"/>
  <c r="H185" i="2"/>
  <c r="I185" i="2"/>
  <c r="G186" i="2"/>
  <c r="H186" i="2"/>
  <c r="I186" i="2"/>
  <c r="G187" i="2"/>
  <c r="I187" i="2"/>
  <c r="G188" i="2"/>
  <c r="I188" i="2"/>
  <c r="G189" i="2"/>
  <c r="H189" i="2"/>
  <c r="I189" i="2"/>
  <c r="G190" i="2"/>
  <c r="H190" i="2"/>
  <c r="I190" i="2"/>
  <c r="G191" i="2"/>
  <c r="H191" i="2"/>
  <c r="I191" i="2"/>
  <c r="G192" i="2"/>
  <c r="H192" i="2"/>
  <c r="I192" i="2"/>
  <c r="G193" i="2"/>
  <c r="H193" i="2"/>
  <c r="I193" i="2"/>
  <c r="G194" i="2"/>
  <c r="H194" i="2"/>
  <c r="I194" i="2"/>
  <c r="G195" i="2"/>
  <c r="H195" i="2"/>
  <c r="I195" i="2"/>
  <c r="G196" i="2"/>
  <c r="H196" i="2"/>
  <c r="I196" i="2"/>
  <c r="G197" i="2"/>
  <c r="H197" i="2"/>
  <c r="I197" i="2"/>
  <c r="G198" i="2"/>
  <c r="H198" i="2"/>
  <c r="I198" i="2"/>
  <c r="G199" i="2"/>
  <c r="H199" i="2"/>
  <c r="I199" i="2"/>
  <c r="G200" i="2"/>
  <c r="I200" i="2"/>
  <c r="G201" i="2"/>
  <c r="H201" i="2"/>
  <c r="I201" i="2"/>
  <c r="G202" i="2"/>
  <c r="H202" i="2"/>
  <c r="I202" i="2"/>
  <c r="G203" i="2"/>
  <c r="H203" i="2"/>
  <c r="I203" i="2"/>
  <c r="G204" i="2"/>
  <c r="H204" i="2"/>
  <c r="I204" i="2"/>
  <c r="G205" i="2"/>
  <c r="H205" i="2"/>
  <c r="I205" i="2"/>
  <c r="G206" i="2"/>
  <c r="H206" i="2"/>
  <c r="I206" i="2"/>
  <c r="G207" i="2"/>
  <c r="H207" i="2"/>
  <c r="I207" i="2"/>
  <c r="B115" i="2" l="1"/>
  <c r="B110" i="2"/>
  <c r="B111" i="2"/>
  <c r="B112" i="2"/>
  <c r="B113" i="2"/>
  <c r="B31" i="2"/>
  <c r="B2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2" i="2"/>
  <c r="B25" i="2"/>
  <c r="B26" i="2"/>
  <c r="B27" i="2"/>
  <c r="B28" i="2"/>
  <c r="B32" i="2"/>
  <c r="B33" i="2"/>
  <c r="B107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50" i="2"/>
  <c r="B51" i="2"/>
  <c r="B52" i="2"/>
  <c r="B53" i="2"/>
  <c r="B54" i="2"/>
  <c r="B55" i="2"/>
  <c r="B57" i="2"/>
  <c r="B58" i="2"/>
  <c r="B59" i="2"/>
  <c r="B60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4" i="2"/>
  <c r="B96" i="2"/>
  <c r="B100" i="2"/>
  <c r="B101" i="2"/>
  <c r="B102" i="2"/>
  <c r="B103" i="2"/>
  <c r="B104" i="2"/>
  <c r="B105" i="2"/>
  <c r="B106" i="2"/>
  <c r="B114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H98" i="2" l="1"/>
  <c r="H97" i="2"/>
  <c r="M165" i="2" s="1"/>
  <c r="H61" i="2"/>
  <c r="H49" i="2"/>
  <c r="H48" i="2"/>
  <c r="H109" i="2"/>
  <c r="H108" i="2"/>
  <c r="M176" i="2" s="1"/>
  <c r="H29" i="2"/>
  <c r="H24" i="2"/>
  <c r="H23" i="2"/>
  <c r="H21" i="2"/>
  <c r="H20" i="2"/>
  <c r="B20" i="2" l="1"/>
  <c r="H160" i="2"/>
  <c r="B23" i="2"/>
  <c r="H163" i="2"/>
  <c r="B29" i="2"/>
  <c r="H169" i="2"/>
  <c r="B109" i="2"/>
  <c r="M177" i="2"/>
  <c r="B61" i="2"/>
  <c r="H200" i="2"/>
  <c r="B98" i="2"/>
  <c r="M166" i="2"/>
  <c r="B21" i="2"/>
  <c r="H161" i="2"/>
  <c r="B24" i="2"/>
  <c r="H164" i="2"/>
  <c r="B48" i="2"/>
  <c r="H187" i="2"/>
  <c r="B49" i="2"/>
  <c r="H188" i="2"/>
  <c r="B108" i="2"/>
  <c r="H99" i="2"/>
  <c r="B97" i="2"/>
  <c r="B99" i="2" l="1"/>
  <c r="M167" i="2"/>
  <c r="H93" i="2"/>
  <c r="B93" i="2" l="1"/>
  <c r="M161" i="2"/>
  <c r="H95" i="2" l="1"/>
  <c r="B95" i="2" l="1"/>
  <c r="M163" i="2"/>
</calcChain>
</file>

<file path=xl/sharedStrings.xml><?xml version="1.0" encoding="utf-8"?>
<sst xmlns="http://schemas.openxmlformats.org/spreadsheetml/2006/main" count="829" uniqueCount="389">
  <si>
    <t>Parameter</t>
  </si>
  <si>
    <t>Unit</t>
  </si>
  <si>
    <t>[years]</t>
  </si>
  <si>
    <t>[-]</t>
  </si>
  <si>
    <t>[euro/kWh]</t>
  </si>
  <si>
    <t>bat_dod</t>
  </si>
  <si>
    <t>bat_re</t>
  </si>
  <si>
    <t>dr</t>
  </si>
  <si>
    <t>project_lt</t>
  </si>
  <si>
    <t>electr_eff</t>
  </si>
  <si>
    <t>bev_min_p_ch</t>
  </si>
  <si>
    <t>bev_max_p_ch</t>
  </si>
  <si>
    <t>pv_lt</t>
  </si>
  <si>
    <t>wind_on_lt</t>
  </si>
  <si>
    <t>wind_off_lt</t>
  </si>
  <si>
    <t>bat_en_lt</t>
  </si>
  <si>
    <t>bat_p_lt</t>
  </si>
  <si>
    <t>electr_lt</t>
  </si>
  <si>
    <t>grid_lt</t>
  </si>
  <si>
    <t>fc_lt</t>
  </si>
  <si>
    <t>heat_stor_lt</t>
  </si>
  <si>
    <t>bat_dis_loss</t>
  </si>
  <si>
    <t>heat_stor_dis_loss</t>
  </si>
  <si>
    <t>heat_stor_eff</t>
  </si>
  <si>
    <t>heat_stor_soc_min</t>
  </si>
  <si>
    <t>heat_stor_soc_max</t>
  </si>
  <si>
    <t>heat_stor_t_min</t>
  </si>
  <si>
    <t>heat_stor_t_max</t>
  </si>
  <si>
    <t>heat_stor_loss_coeff</t>
  </si>
  <si>
    <t>heat_stor_ramp</t>
  </si>
  <si>
    <t>gasif_lt</t>
  </si>
  <si>
    <t>gasif_eff</t>
  </si>
  <si>
    <t>hp_lt</t>
  </si>
  <si>
    <t>pv_om</t>
  </si>
  <si>
    <t>wind_on_om</t>
  </si>
  <si>
    <t>wind_off_om</t>
  </si>
  <si>
    <t>bat_en_om</t>
  </si>
  <si>
    <t>bat_p_om</t>
  </si>
  <si>
    <t>electr_om</t>
  </si>
  <si>
    <t>grid_om</t>
  </si>
  <si>
    <t>fc_om</t>
  </si>
  <si>
    <t>heat_stor_om</t>
  </si>
  <si>
    <t>gasif_om</t>
  </si>
  <si>
    <t>hp_om</t>
  </si>
  <si>
    <t>solar_th_om</t>
  </si>
  <si>
    <t>solar_th_lt</t>
  </si>
  <si>
    <t>solar_th_eff</t>
  </si>
  <si>
    <t>chp_mix_om</t>
  </si>
  <si>
    <t>chp_mix_lt</t>
  </si>
  <si>
    <t>chp_mix_eff_e</t>
  </si>
  <si>
    <t>chp_mix_eff_th</t>
  </si>
  <si>
    <t>gb_om</t>
  </si>
  <si>
    <t>gb_lt</t>
  </si>
  <si>
    <t>gb_eff</t>
  </si>
  <si>
    <t>ng_price</t>
  </si>
  <si>
    <t>[kWh/km]</t>
  </si>
  <si>
    <t>fc_eff_e</t>
  </si>
  <si>
    <t>fc_eff_th</t>
  </si>
  <si>
    <t>wood_price</t>
  </si>
  <si>
    <t>wood_price_ton</t>
  </si>
  <si>
    <t>energy_kg_wood</t>
  </si>
  <si>
    <t>kWh/kg</t>
  </si>
  <si>
    <t>wood price</t>
  </si>
  <si>
    <t>euro/kWh</t>
  </si>
  <si>
    <t>h2_sell_price</t>
  </si>
  <si>
    <t>h2_price_kg</t>
  </si>
  <si>
    <t xml:space="preserve">h2_price </t>
  </si>
  <si>
    <t>pv_capex</t>
  </si>
  <si>
    <t>wind_on_capex</t>
  </si>
  <si>
    <t>wind_off_capex</t>
  </si>
  <si>
    <t>bat_en_capex</t>
  </si>
  <si>
    <t>bat_p_capex</t>
  </si>
  <si>
    <t>grid_capex</t>
  </si>
  <si>
    <t>heat_stor_capex</t>
  </si>
  <si>
    <t>gasif_capex</t>
  </si>
  <si>
    <t>solar_th_capex</t>
  </si>
  <si>
    <t>chp_mix_capex</t>
  </si>
  <si>
    <t>gb_capex</t>
  </si>
  <si>
    <t>electr_capex</t>
  </si>
  <si>
    <t>fc_capex</t>
  </si>
  <si>
    <t>hp_capex</t>
  </si>
  <si>
    <t>Discount rate</t>
  </si>
  <si>
    <t>Project lifetime</t>
  </si>
  <si>
    <t>Natural gas price</t>
  </si>
  <si>
    <t>Wood price</t>
  </si>
  <si>
    <t>bat_soc_min</t>
  </si>
  <si>
    <t>bat_soc_max</t>
  </si>
  <si>
    <t>bat_eff_dis</t>
  </si>
  <si>
    <t>bat_eff_ch</t>
  </si>
  <si>
    <t>[h]</t>
  </si>
  <si>
    <t>heat_stor_eff_ch</t>
  </si>
  <si>
    <t>heat_stor_eff_dis</t>
  </si>
  <si>
    <t>chp_mix_pl_min</t>
  </si>
  <si>
    <t>hp_pl_min</t>
  </si>
  <si>
    <t>gasif_pl_min</t>
  </si>
  <si>
    <t>gb_capex_res</t>
  </si>
  <si>
    <t>gb_om_res</t>
  </si>
  <si>
    <t>gb_lt_res</t>
  </si>
  <si>
    <t>gb_eff_res</t>
  </si>
  <si>
    <t>chp_mix_ramp</t>
  </si>
  <si>
    <t>Solar PV</t>
  </si>
  <si>
    <t>Onshore wind</t>
  </si>
  <si>
    <t>Offshore wind</t>
  </si>
  <si>
    <t>Electrolyzer</t>
  </si>
  <si>
    <t>$\eta$</t>
  </si>
  <si>
    <t>Fuel cell</t>
  </si>
  <si>
    <t>$\eta_q$</t>
  </si>
  <si>
    <t>Gas boiler</t>
  </si>
  <si>
    <t>chp_mix_TD</t>
  </si>
  <si>
    <t>chp_mix_TU</t>
  </si>
  <si>
    <t>$\text{C}^{\text{om}}$</t>
  </si>
  <si>
    <t>$\overline{\text{S}}$</t>
  </si>
  <si>
    <t>$\delta^\text{min}$</t>
  </si>
  <si>
    <t>$\delta^\text{max}$</t>
  </si>
  <si>
    <t>$\underline{\text{S}}$</t>
  </si>
  <si>
    <t>energy</t>
  </si>
  <si>
    <t>power</t>
  </si>
  <si>
    <t>Hydrogen</t>
  </si>
  <si>
    <t>Heat</t>
  </si>
  <si>
    <t>Energy storage</t>
  </si>
  <si>
    <t>Energy generation</t>
  </si>
  <si>
    <t>Solar Thermal</t>
  </si>
  <si>
    <t>Energy conversion</t>
  </si>
  <si>
    <t>Heat pump</t>
  </si>
  <si>
    <t>industrial</t>
  </si>
  <si>
    <t>residential</t>
  </si>
  <si>
    <t>Wood gasification</t>
  </si>
  <si>
    <t>Mixed CHP</t>
  </si>
  <si>
    <t>Technology</t>
  </si>
  <si>
    <t>Sub</t>
  </si>
  <si>
    <t>$\tau$ [h]</t>
  </si>
  <si>
    <t>$\Pi$ [$\text{h}^\text{-1}$]</t>
  </si>
  <si>
    <t>$\Lambda$  [$\text{h}^\text{-1}$]</t>
  </si>
  <si>
    <t>Battery electricity</t>
  </si>
  <si>
    <t>Refs.</t>
  </si>
  <si>
    <t>[MW]</t>
  </si>
  <si>
    <t>General</t>
  </si>
  <si>
    <t>Battery electric vehicle</t>
  </si>
  <si>
    <t>Consumption</t>
  </si>
  <si>
    <t>Discount rate ($\gamma$)</t>
  </si>
  <si>
    <t>Project lifetime ($\text{L}$)</t>
  </si>
  <si>
    <t>Heat storage</t>
  </si>
  <si>
    <t>$\Theta^{\text{max}}$</t>
  </si>
  <si>
    <t>$\Theta^{\text{min}}$</t>
  </si>
  <si>
    <t>$a_0$</t>
  </si>
  <si>
    <t>$a_1$</t>
  </si>
  <si>
    <t>$a_2$</t>
  </si>
  <si>
    <t>Fuel prices</t>
  </si>
  <si>
    <t>Hydrogen export price</t>
  </si>
  <si>
    <t>Value</t>
  </si>
  <si>
    <t>$\underline{\text{S}$</t>
  </si>
  <si>
    <t>$\overline{\text{S}$</t>
  </si>
  <si>
    <t>Fuels</t>
  </si>
  <si>
    <t>min_Cap</t>
  </si>
  <si>
    <t>Grid</t>
  </si>
  <si>
    <t>Electricity connection</t>
  </si>
  <si>
    <t>Waste (W)</t>
  </si>
  <si>
    <t>[kt/year]</t>
  </si>
  <si>
    <t>[MWh/year]</t>
  </si>
  <si>
    <t>Biomass (B)</t>
  </si>
  <si>
    <t>Export</t>
  </si>
  <si>
    <t>Import</t>
  </si>
  <si>
    <t>gasoline_price</t>
  </si>
  <si>
    <t>liter_km</t>
  </si>
  <si>
    <t>price_km_gasoline</t>
  </si>
  <si>
    <t>[liter/km]</t>
  </si>
  <si>
    <t>Gasoline vehicle</t>
  </si>
  <si>
    <t>Gasoline price</t>
  </si>
  <si>
    <t>Liter per kilometer</t>
  </si>
  <si>
    <t>[$^\circ$C]</t>
  </si>
  <si>
    <t>Natural gas</t>
  </si>
  <si>
    <t>gas_car_capex</t>
  </si>
  <si>
    <t>bev_car_capex</t>
  </si>
  <si>
    <t>gas_car_om</t>
  </si>
  <si>
    <t>gas_car_lt</t>
  </si>
  <si>
    <t>bev_car_om</t>
  </si>
  <si>
    <t>bev_car_lt</t>
  </si>
  <si>
    <t>h2_ramp_ves</t>
  </si>
  <si>
    <t>h2_ves_capex</t>
  </si>
  <si>
    <t>h2_ves_om</t>
  </si>
  <si>
    <t>h2_ves_lt</t>
  </si>
  <si>
    <t>[kilometer]</t>
  </si>
  <si>
    <t>hp_supp_t</t>
  </si>
  <si>
    <t>heat_loss_buildings</t>
  </si>
  <si>
    <t>inside_temp</t>
  </si>
  <si>
    <t>[deg C]</t>
  </si>
  <si>
    <t>transmission_loss</t>
  </si>
  <si>
    <t>heat</t>
  </si>
  <si>
    <t>res_home</t>
  </si>
  <si>
    <t>https://www.statista.com/statistics/686212/average-number-of-individuals-per-household-in-norway/#:~:text=Average%20number%20of%20individuals%20per%20household%20in%20Norway%202010%2D2020&amp;text=The%20average%20number%20of%20people,were%202.15%20individuals%20per%20household.</t>
  </si>
  <si>
    <t>[person]</t>
  </si>
  <si>
    <t>km_per_day</t>
  </si>
  <si>
    <t>Solar thermal</t>
  </si>
  <si>
    <t>$\Psi$ [h]</t>
  </si>
  <si>
    <t>$\Omega$ [h]</t>
  </si>
  <si>
    <t>Generation</t>
  </si>
  <si>
    <t>Storage</t>
  </si>
  <si>
    <t>Conversion</t>
  </si>
  <si>
    <t>[MWh/km]</t>
  </si>
  <si>
    <t>[MW/vehicle]</t>
  </si>
  <si>
    <t>[MW/K]</t>
  </si>
  <si>
    <t>bev_MWh_km</t>
  </si>
  <si>
    <t>Road transport</t>
  </si>
  <si>
    <t>BEVs</t>
  </si>
  <si>
    <t>Gasoline</t>
  </si>
  <si>
    <t>€/ton</t>
  </si>
  <si>
    <t>[k€/MWp]</t>
  </si>
  <si>
    <t>€/kg H2</t>
  </si>
  <si>
    <t>[k€/MWh]</t>
  </si>
  <si>
    <t>[k€/MW]</t>
  </si>
  <si>
    <t>[k€/MWe]</t>
  </si>
  <si>
    <t>$\text{C}^{\text{inv}}$ [k€/unit]</t>
  </si>
  <si>
    <t>[k€/t H2]</t>
  </si>
  <si>
    <t>[k€/MWth]</t>
  </si>
  <si>
    <t>[k€/liter]</t>
  </si>
  <si>
    <t>[k€/km]</t>
  </si>
  <si>
    <t>[k€/unit</t>
  </si>
  <si>
    <t>https://www.iea.org/data-and-statistics/charts/price-distribution-of-electric-cars-compared-to-overall-car-market-in-the-€pean-union-2021-2022</t>
  </si>
  <si>
    <t>[k€/unit]</t>
  </si>
  <si>
    <t>chp_mix_max_h2_share</t>
  </si>
  <si>
    <t>grid</t>
  </si>
  <si>
    <t>https://www.ssb.no/en/transport-og-reiseliv/artikler-og-publikasjoner/car-numbers-and-mileage-up</t>
  </si>
  <si>
    <t>ha</t>
  </si>
  <si>
    <t>keuro/ha</t>
  </si>
  <si>
    <t>[k€/ha]</t>
  </si>
  <si>
    <t>L [year]</t>
  </si>
  <si>
    <t>euro/kW</t>
  </si>
  <si>
    <t>e_heating_capex</t>
  </si>
  <si>
    <t>e_heating_om</t>
  </si>
  <si>
    <t>e_heating_eff</t>
  </si>
  <si>
    <t>e_heating_lt</t>
  </si>
  <si>
    <t>https://www.tep-energy.ch/docs/de_en/p0701_Mapping-European-Heating-and-Cooling-Demand_Results-WP2.pdf</t>
  </si>
  <si>
    <t>biogas_price</t>
  </si>
  <si>
    <t>[€/kW]</t>
  </si>
  <si>
    <t>[\%]</t>
  </si>
  <si>
    <t>CAPEX</t>
  </si>
  <si>
    <t>O\&amp;M</t>
  </si>
  <si>
    <t>Efficiency</t>
  </si>
  <si>
    <t>Lifetime</t>
  </si>
  <si>
    <t>Electric heating (in BAU)</t>
  </si>
  <si>
    <t>k€/MWh</t>
  </si>
  <si>
    <t>$\text{C}^{\text{inv}}$ [€/kW(h)]</t>
  </si>
  <si>
    <t>wg_ramp</t>
  </si>
  <si>
    <t>wg_TU</t>
  </si>
  <si>
    <t>wg_TD</t>
  </si>
  <si>
    <t>e_boiler_capex</t>
  </si>
  <si>
    <t>e_boiler_om</t>
  </si>
  <si>
    <t>e_boiler_lt</t>
  </si>
  <si>
    <t>e_boiler_eff</t>
  </si>
  <si>
    <t>https://www.sciencedirect.com/science/article/pii/S030626192101148X</t>
  </si>
  <si>
    <t>wood_price_res</t>
  </si>
  <si>
    <t>ws_capex</t>
  </si>
  <si>
    <t>ws_om</t>
  </si>
  <si>
    <t>ws_eff</t>
  </si>
  <si>
    <t>ws_lt</t>
  </si>
  <si>
    <t>o_boiler_capex</t>
  </si>
  <si>
    <t>o_boiler_om</t>
  </si>
  <si>
    <t>o_boiler_eff</t>
  </si>
  <si>
    <t>o_boiler_lt</t>
  </si>
  <si>
    <t>oil_price</t>
  </si>
  <si>
    <t>p.13</t>
  </si>
  <si>
    <t>technology</t>
  </si>
  <si>
    <t>generic</t>
  </si>
  <si>
    <t>pv_gm</t>
  </si>
  <si>
    <t>wind_on</t>
  </si>
  <si>
    <t>wind_off</t>
  </si>
  <si>
    <t>battery</t>
  </si>
  <si>
    <t>electrolyzer</t>
  </si>
  <si>
    <t>ecoinvent_391_reference</t>
  </si>
  <si>
    <t>bev</t>
  </si>
  <si>
    <t>fuel_cell</t>
  </si>
  <si>
    <t>h2_storage</t>
  </si>
  <si>
    <t>heat_storage</t>
  </si>
  <si>
    <t>gasification</t>
  </si>
  <si>
    <t>hp</t>
  </si>
  <si>
    <t>solar_thermal</t>
  </si>
  <si>
    <t>chp_mix</t>
  </si>
  <si>
    <t>gas_boiler_res</t>
  </si>
  <si>
    <t>energy_prices</t>
  </si>
  <si>
    <t>vehicle_gasoline</t>
  </si>
  <si>
    <t>buildings</t>
  </si>
  <si>
    <t>electric_heating</t>
  </si>
  <si>
    <t>wood_stover</t>
  </si>
  <si>
    <t>electric_boiler</t>
  </si>
  <si>
    <t>oil_boiler</t>
  </si>
  <si>
    <t>heat_threshold</t>
  </si>
  <si>
    <t>cool_threshold</t>
  </si>
  <si>
    <t>Generic</t>
  </si>
  <si>
    <t>Ground-mounted solar PV</t>
  </si>
  <si>
    <t>Roundtrip efficiency</t>
  </si>
  <si>
    <t>Discharge efficiency</t>
  </si>
  <si>
    <t>Charging efficiency</t>
  </si>
  <si>
    <t>Standby losses</t>
  </si>
  <si>
    <t>Energy capacity - CAPEX</t>
  </si>
  <si>
    <t>Energy capacity - Lifetime</t>
  </si>
  <si>
    <t>Power capacity - CAPEX</t>
  </si>
  <si>
    <t>Power capacity - Lifetime</t>
  </si>
  <si>
    <t>Depth of discharge</t>
  </si>
  <si>
    <t>Electrical efficiency</t>
  </si>
  <si>
    <t>Thermal efficiency</t>
  </si>
  <si>
    <t>Ramp rate</t>
  </si>
  <si>
    <t>Minimum temperature</t>
  </si>
  <si>
    <t>Maximum temperature</t>
  </si>
  <si>
    <t>Loss coefficient</t>
  </si>
  <si>
    <t>State of charge (Min.)</t>
  </si>
  <si>
    <t>State of charge (Max.)</t>
  </si>
  <si>
    <t>Li-ion Battery</t>
  </si>
  <si>
    <t>PEM electrolyzer</t>
  </si>
  <si>
    <t>Grid network</t>
  </si>
  <si>
    <t>Hydrogen storage</t>
  </si>
  <si>
    <t>Heat storage (residential)</t>
  </si>
  <si>
    <t>Heat pump (residential)</t>
  </si>
  <si>
    <t>Advanced CHP</t>
  </si>
  <si>
    <t>Gas boiler (HT)</t>
  </si>
  <si>
    <t>Gas boiler (residential)</t>
  </si>
  <si>
    <t>Energy prices</t>
  </si>
  <si>
    <t>BEV</t>
  </si>
  <si>
    <t>Buildings</t>
  </si>
  <si>
    <t>Electric heating (residential)</t>
  </si>
  <si>
    <t>Wood stover</t>
  </si>
  <si>
    <t>Electric boiler (HT)</t>
  </si>
  <si>
    <t>Oil boiler (residential)</t>
  </si>
  <si>
    <t>Minimum part load ratio</t>
  </si>
  <si>
    <t>Minimum uptime</t>
  </si>
  <si>
    <t>Minimum downtime</t>
  </si>
  <si>
    <t>Supply temperature</t>
  </si>
  <si>
    <t>Max hydrogen share</t>
  </si>
  <si>
    <t>Wood</t>
  </si>
  <si>
    <t>Wood (residential)</t>
  </si>
  <si>
    <t>Biogas</t>
  </si>
  <si>
    <t>Energy use</t>
  </si>
  <si>
    <t>Price</t>
  </si>
  <si>
    <t>Driving</t>
  </si>
  <si>
    <t>Min charging power</t>
  </si>
  <si>
    <t>Max charging power</t>
  </si>
  <si>
    <t>Energy consumption</t>
  </si>
  <si>
    <t>Heat loss</t>
  </si>
  <si>
    <t>Heat threshold</t>
  </si>
  <si>
    <t>Cooling threshold</t>
  </si>
  <si>
    <t>Inside temperature</t>
  </si>
  <si>
    <t>Transmission loss</t>
  </si>
  <si>
    <t>Residents</t>
  </si>
  <si>
    <t>Reference</t>
  </si>
  <si>
    <t>Energy capacity  - O\&amp;M</t>
  </si>
  <si>
    <t>Power capacity  - O\&amp;M</t>
  </si>
  <si>
    <t>PEM fuel cell</t>
  </si>
  <si>
    <t>Ref.</t>
  </si>
  <si>
    <t>diesel_boiler</t>
  </si>
  <si>
    <t>diesel_price</t>
  </si>
  <si>
    <t>MJ/liter</t>
  </si>
  <si>
    <t>Diesel</t>
  </si>
  <si>
    <t>ds_boiler</t>
  </si>
  <si>
    <t>Diesel boiler (HT)</t>
  </si>
  <si>
    <t>Panos, commercial</t>
  </si>
  <si>
    <t>d_boiler_capex</t>
  </si>
  <si>
    <t>d_boiler_om</t>
  </si>
  <si>
    <t>d_boiler_eff</t>
  </si>
  <si>
    <t>d_boiler_lt</t>
  </si>
  <si>
    <t>cubic meter</t>
  </si>
  <si>
    <t>cubic meter/kg</t>
  </si>
  <si>
    <t>bcm/a</t>
  </si>
  <si>
    <t>mt/a</t>
  </si>
  <si>
    <t>Higher value based on Nikos's doc.</t>
  </si>
  <si>
    <t>Electric boiler</t>
  </si>
  <si>
    <t>Diesel boiler</t>
  </si>
  <si>
    <t xml:space="preserve">\autocite{Bauer2022} </t>
  </si>
  <si>
    <t xml:space="preserve">\autocite{wiser2021expert,Bauer2022,Terlouw_h2_2022} </t>
  </si>
  <si>
    <t>\autocite{GABRIELLI2018408}</t>
  </si>
  <si>
    <t xml:space="preserve">\autocite{Bauer2022,Terlouw_h2_2022} </t>
  </si>
  <si>
    <t>\autocite{petkov2020power,GABRIELLI2018408}</t>
  </si>
  <si>
    <t xml:space="preserve">\autocite{Bauer2022,Terlouw_h2_2022,christensen2020assessment} </t>
  </si>
  <si>
    <t>\autocite{panos2016role,herenvcic2021}</t>
  </si>
  <si>
    <t>\autocite{ROBINSON_cordis_2020}</t>
  </si>
  <si>
    <t>\autocite{IEA_BEV_2022,sacchi2022_bev}</t>
  </si>
  <si>
    <t>\autocite{IEA_BEV_2022}</t>
  </si>
  <si>
    <t>\autocite{weiss2020energy}</t>
  </si>
  <si>
    <t>\autocite{TERLOUW2019_opt_resi}</t>
  </si>
  <si>
    <t>\autocite{Fischer2017}</t>
  </si>
  <si>
    <t>\autocite{petrol_price_2022}</t>
  </si>
  <si>
    <t>\autocite{IEA_gas_vehicle}</t>
  </si>
  <si>
    <t>\autocite{Fleiter2016}</t>
  </si>
  <si>
    <t>\autocite{NGUYEN2019112108}</t>
  </si>
  <si>
    <t>\autocite{Terlouw_h2_2022}</t>
  </si>
  <si>
    <t xml:space="preserve">\autocite{ROBINSON_cordis_2020}  </t>
  </si>
  <si>
    <t>\autocite{terlouw2023designing,panos2016role,PETROVIC2016787,TERLOUW2019_opt_resi}</t>
  </si>
  <si>
    <t>electr_bos_lt</t>
  </si>
  <si>
    <t>Diesel Price</t>
  </si>
  <si>
    <t>Diesel boiler (industrial)</t>
  </si>
  <si>
    <t>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</si>
</sst>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2" borderId="1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165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left"/>
    </xf>
    <xf numFmtId="0" fontId="1" fillId="0" borderId="9" xfId="0" applyFont="1" applyBorder="1"/>
    <xf numFmtId="167" fontId="0" fillId="0" borderId="7" xfId="0" applyNumberFormat="1" applyBorder="1"/>
    <xf numFmtId="0" fontId="1" fillId="0" borderId="4" xfId="0" applyFont="1" applyBorder="1"/>
    <xf numFmtId="2" fontId="0" fillId="0" borderId="7" xfId="0" applyNumberFormat="1" applyBorder="1"/>
    <xf numFmtId="11" fontId="0" fillId="0" borderId="0" xfId="0" applyNumberFormat="1"/>
    <xf numFmtId="1" fontId="0" fillId="0" borderId="0" xfId="0" applyNumberFormat="1"/>
    <xf numFmtId="1" fontId="0" fillId="0" borderId="7" xfId="0" applyNumberFormat="1" applyBorder="1"/>
    <xf numFmtId="0" fontId="2" fillId="0" borderId="0" xfId="1"/>
    <xf numFmtId="0" fontId="0" fillId="0" borderId="2" xfId="0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2" borderId="9" xfId="0" applyFill="1" applyBorder="1"/>
    <xf numFmtId="0" fontId="0" fillId="2" borderId="11" xfId="0" applyFill="1" applyBorder="1"/>
    <xf numFmtId="0" fontId="1" fillId="0" borderId="10" xfId="0" applyFont="1" applyBorder="1"/>
    <xf numFmtId="0" fontId="1" fillId="0" borderId="0" xfId="0" applyFont="1" applyAlignment="1">
      <alignment horizontal="center" vertical="center"/>
    </xf>
    <xf numFmtId="0" fontId="0" fillId="0" borderId="10" xfId="0" applyBorder="1"/>
    <xf numFmtId="0" fontId="1" fillId="0" borderId="13" xfId="0" applyFont="1" applyBorder="1"/>
    <xf numFmtId="0" fontId="1" fillId="0" borderId="15" xfId="0" applyFont="1" applyBorder="1"/>
    <xf numFmtId="0" fontId="1" fillId="0" borderId="10" xfId="0" applyFont="1" applyBorder="1" applyAlignment="1">
      <alignment horizontal="center" vertical="center"/>
    </xf>
    <xf numFmtId="0" fontId="0" fillId="3" borderId="10" xfId="0" applyFill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4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ea.org/data-and-statistics/charts/price-distribution-of-electric-cars-compared-to-overall-car-market-in-the-european-union-2021-2022" TargetMode="External"/><Relationship Id="rId1" Type="http://schemas.openxmlformats.org/officeDocument/2006/relationships/hyperlink" Target="https://www.tep-energy.ch/docs/de_en/p0701_Mapping-European-Heating-and-Cooling-Demand_Results-WP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1"/>
  <sheetViews>
    <sheetView tabSelected="1" zoomScale="55" zoomScaleNormal="55" workbookViewId="0">
      <selection activeCell="D60" sqref="D60"/>
    </sheetView>
  </sheetViews>
  <sheetFormatPr defaultRowHeight="14.4" x14ac:dyDescent="0.55000000000000004"/>
  <cols>
    <col min="1" max="1" width="22.3125" bestFit="1" customWidth="1"/>
    <col min="2" max="2" width="17.68359375" customWidth="1"/>
    <col min="3" max="3" width="14.89453125" bestFit="1" customWidth="1"/>
    <col min="4" max="4" width="14.89453125" customWidth="1"/>
    <col min="5" max="5" width="14.89453125" style="36" customWidth="1"/>
    <col min="6" max="6" width="25.68359375" style="36" bestFit="1" customWidth="1"/>
    <col min="7" max="7" width="29" customWidth="1"/>
    <col min="8" max="8" width="23.1015625" bestFit="1" customWidth="1"/>
    <col min="9" max="9" width="14.89453125" bestFit="1" customWidth="1"/>
    <col min="10" max="10" width="27.20703125" customWidth="1"/>
    <col min="11" max="11" width="28.20703125" bestFit="1" customWidth="1"/>
    <col min="12" max="12" width="28.3671875" customWidth="1"/>
    <col min="13" max="13" width="32.68359375" bestFit="1" customWidth="1"/>
    <col min="14" max="14" width="31.7890625" bestFit="1" customWidth="1"/>
    <col min="15" max="15" width="21.1015625" bestFit="1" customWidth="1"/>
    <col min="16" max="16" width="11.41796875" bestFit="1" customWidth="1"/>
    <col min="17" max="17" width="19.1015625" bestFit="1" customWidth="1"/>
    <col min="18" max="18" width="18.3125" bestFit="1" customWidth="1"/>
    <col min="19" max="19" width="18.89453125" bestFit="1" customWidth="1"/>
    <col min="20" max="20" width="10.20703125" customWidth="1"/>
    <col min="21" max="21" width="31.41796875" bestFit="1" customWidth="1"/>
    <col min="22" max="24" width="24.7890625" customWidth="1"/>
    <col min="25" max="25" width="18.3125" customWidth="1"/>
    <col min="26" max="26" width="27.20703125" bestFit="1" customWidth="1"/>
    <col min="27" max="27" width="15.89453125" bestFit="1" customWidth="1"/>
    <col min="28" max="28" width="13.89453125" bestFit="1" customWidth="1"/>
  </cols>
  <sheetData>
    <row r="1" spans="1:26" ht="14.7" thickBot="1" x14ac:dyDescent="0.6">
      <c r="A1" s="1" t="s">
        <v>0</v>
      </c>
      <c r="B1" s="16" t="s">
        <v>268</v>
      </c>
      <c r="C1" s="20" t="s">
        <v>1</v>
      </c>
      <c r="E1" s="38" t="s">
        <v>261</v>
      </c>
      <c r="F1" s="35" t="s">
        <v>128</v>
      </c>
      <c r="G1" s="35" t="s">
        <v>0</v>
      </c>
      <c r="H1" s="35" t="s">
        <v>149</v>
      </c>
      <c r="I1" s="35" t="s">
        <v>1</v>
      </c>
      <c r="J1" s="39" t="s">
        <v>342</v>
      </c>
      <c r="K1" s="2" t="s">
        <v>59</v>
      </c>
      <c r="L1" s="3">
        <v>170</v>
      </c>
      <c r="M1" s="9" t="s">
        <v>205</v>
      </c>
    </row>
    <row r="2" spans="1:26" x14ac:dyDescent="0.55000000000000004">
      <c r="A2" s="10" t="s">
        <v>7</v>
      </c>
      <c r="B2">
        <f>H2</f>
        <v>7.0000000000000007E-2</v>
      </c>
      <c r="C2" s="29" t="s">
        <v>3</v>
      </c>
      <c r="E2" s="46" t="s">
        <v>262</v>
      </c>
      <c r="F2" s="47" t="s">
        <v>287</v>
      </c>
      <c r="G2" s="37" t="s">
        <v>81</v>
      </c>
      <c r="H2" s="41">
        <v>7.0000000000000007E-2</v>
      </c>
      <c r="I2" s="37" t="s">
        <v>3</v>
      </c>
      <c r="K2" s="4" t="s">
        <v>60</v>
      </c>
      <c r="L2">
        <f>16.7/3.6</f>
        <v>4.6388888888888884</v>
      </c>
      <c r="M2" s="5" t="s">
        <v>61</v>
      </c>
    </row>
    <row r="3" spans="1:26" ht="14.7" thickBot="1" x14ac:dyDescent="0.6">
      <c r="A3" s="11" t="s">
        <v>8</v>
      </c>
      <c r="B3">
        <f t="shared" ref="B3:B33" si="0">H3</f>
        <v>30</v>
      </c>
      <c r="C3" s="30" t="s">
        <v>2</v>
      </c>
      <c r="E3" s="46"/>
      <c r="F3" s="47"/>
      <c r="G3" s="37" t="s">
        <v>82</v>
      </c>
      <c r="H3" s="41">
        <v>30</v>
      </c>
      <c r="I3" s="37" t="s">
        <v>2</v>
      </c>
      <c r="K3" s="6" t="s">
        <v>62</v>
      </c>
      <c r="L3" s="21">
        <f>(L1/1000)*(1/L2)</f>
        <v>3.6646706586826353E-2</v>
      </c>
      <c r="M3" s="8" t="s">
        <v>240</v>
      </c>
      <c r="N3">
        <f>L1/1000/L2</f>
        <v>3.6646706586826353E-2</v>
      </c>
      <c r="O3" t="s">
        <v>63</v>
      </c>
    </row>
    <row r="4" spans="1:26" x14ac:dyDescent="0.55000000000000004">
      <c r="A4" s="2" t="s">
        <v>67</v>
      </c>
      <c r="B4">
        <f t="shared" si="0"/>
        <v>1100</v>
      </c>
      <c r="C4" s="29" t="s">
        <v>206</v>
      </c>
      <c r="E4" s="46" t="s">
        <v>263</v>
      </c>
      <c r="F4" s="47" t="s">
        <v>288</v>
      </c>
      <c r="G4" s="37" t="s">
        <v>235</v>
      </c>
      <c r="H4" s="41">
        <v>1100</v>
      </c>
      <c r="I4" s="37" t="s">
        <v>206</v>
      </c>
      <c r="K4" s="2" t="s">
        <v>65</v>
      </c>
      <c r="L4" s="3">
        <v>2</v>
      </c>
      <c r="M4" s="9" t="s">
        <v>207</v>
      </c>
      <c r="Z4" s="1"/>
    </row>
    <row r="5" spans="1:26" ht="14.7" thickBot="1" x14ac:dyDescent="0.6">
      <c r="A5" s="4" t="s">
        <v>33</v>
      </c>
      <c r="B5">
        <f t="shared" si="0"/>
        <v>0.02</v>
      </c>
      <c r="C5" s="31" t="s">
        <v>3</v>
      </c>
      <c r="E5" s="46"/>
      <c r="F5" s="47"/>
      <c r="G5" s="37" t="s">
        <v>236</v>
      </c>
      <c r="H5" s="41">
        <v>0.02</v>
      </c>
      <c r="I5" s="37" t="s">
        <v>3</v>
      </c>
      <c r="K5" s="6" t="s">
        <v>66</v>
      </c>
      <c r="L5" s="7">
        <f>L4/(120/3.6)</f>
        <v>0.06</v>
      </c>
      <c r="M5" s="8" t="s">
        <v>240</v>
      </c>
    </row>
    <row r="6" spans="1:26" ht="14.7" thickBot="1" x14ac:dyDescent="0.6">
      <c r="A6" s="6" t="s">
        <v>12</v>
      </c>
      <c r="B6">
        <f t="shared" si="0"/>
        <v>30</v>
      </c>
      <c r="C6" s="30" t="s">
        <v>2</v>
      </c>
      <c r="E6" s="46"/>
      <c r="F6" s="47"/>
      <c r="G6" s="37" t="s">
        <v>238</v>
      </c>
      <c r="H6" s="41">
        <v>30</v>
      </c>
      <c r="I6" s="37" t="s">
        <v>2</v>
      </c>
    </row>
    <row r="7" spans="1:26" ht="14.7" thickBot="1" x14ac:dyDescent="0.6">
      <c r="A7" s="10" t="s">
        <v>68</v>
      </c>
      <c r="B7">
        <f t="shared" si="0"/>
        <v>1700</v>
      </c>
      <c r="C7" s="29" t="s">
        <v>206</v>
      </c>
      <c r="E7" s="46" t="s">
        <v>264</v>
      </c>
      <c r="F7" s="47" t="s">
        <v>101</v>
      </c>
      <c r="G7" s="37" t="s">
        <v>235</v>
      </c>
      <c r="H7" s="41">
        <v>1700</v>
      </c>
      <c r="I7" s="37" t="s">
        <v>206</v>
      </c>
    </row>
    <row r="8" spans="1:26" ht="15.6" customHeight="1" x14ac:dyDescent="0.55000000000000004">
      <c r="A8" s="12" t="s">
        <v>34</v>
      </c>
      <c r="B8">
        <f t="shared" si="0"/>
        <v>2.5000000000000001E-2</v>
      </c>
      <c r="C8" s="31" t="s">
        <v>3</v>
      </c>
      <c r="E8" s="46"/>
      <c r="F8" s="47"/>
      <c r="G8" s="37" t="s">
        <v>236</v>
      </c>
      <c r="H8" s="41">
        <v>2.5000000000000001E-2</v>
      </c>
      <c r="I8" s="37" t="s">
        <v>3</v>
      </c>
      <c r="K8" s="2" t="s">
        <v>128</v>
      </c>
      <c r="L8" s="3" t="s">
        <v>129</v>
      </c>
      <c r="M8" s="28" t="s">
        <v>241</v>
      </c>
      <c r="N8" s="3" t="s">
        <v>110</v>
      </c>
      <c r="O8" s="3" t="s">
        <v>225</v>
      </c>
      <c r="P8" s="3" t="s">
        <v>104</v>
      </c>
      <c r="Q8" s="3" t="s">
        <v>106</v>
      </c>
      <c r="R8" s="3" t="s">
        <v>112</v>
      </c>
      <c r="S8" s="3" t="s">
        <v>113</v>
      </c>
      <c r="T8" s="3" t="s">
        <v>130</v>
      </c>
      <c r="U8" s="3" t="s">
        <v>132</v>
      </c>
      <c r="V8" s="3" t="s">
        <v>131</v>
      </c>
      <c r="W8" s="3" t="s">
        <v>193</v>
      </c>
      <c r="X8" s="3" t="s">
        <v>194</v>
      </c>
      <c r="Y8" s="9" t="s">
        <v>134</v>
      </c>
      <c r="Z8" s="1"/>
    </row>
    <row r="9" spans="1:26" ht="14.7" thickBot="1" x14ac:dyDescent="0.6">
      <c r="A9" s="11" t="s">
        <v>13</v>
      </c>
      <c r="B9">
        <f t="shared" si="0"/>
        <v>27</v>
      </c>
      <c r="C9" s="30" t="s">
        <v>2</v>
      </c>
      <c r="E9" s="46"/>
      <c r="F9" s="47"/>
      <c r="G9" s="37" t="s">
        <v>238</v>
      </c>
      <c r="H9" s="41">
        <v>27</v>
      </c>
      <c r="I9" s="37" t="s">
        <v>2</v>
      </c>
      <c r="K9" s="49" t="s">
        <v>195</v>
      </c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1"/>
    </row>
    <row r="10" spans="1:26" x14ac:dyDescent="0.55000000000000004">
      <c r="A10" s="2" t="s">
        <v>69</v>
      </c>
      <c r="B10">
        <f t="shared" si="0"/>
        <v>2700</v>
      </c>
      <c r="C10" s="29" t="s">
        <v>206</v>
      </c>
      <c r="E10" s="46" t="s">
        <v>265</v>
      </c>
      <c r="F10" s="47" t="s">
        <v>102</v>
      </c>
      <c r="G10" s="37" t="s">
        <v>235</v>
      </c>
      <c r="H10" s="41">
        <v>2700</v>
      </c>
      <c r="I10" s="37" t="s">
        <v>206</v>
      </c>
      <c r="K10" s="4" t="s">
        <v>100</v>
      </c>
      <c r="M10">
        <f>$H4</f>
        <v>1100</v>
      </c>
      <c r="N10">
        <f>H5</f>
        <v>0.02</v>
      </c>
      <c r="O10">
        <f>H6</f>
        <v>30</v>
      </c>
      <c r="Y10" s="5" t="s">
        <v>365</v>
      </c>
    </row>
    <row r="11" spans="1:26" x14ac:dyDescent="0.55000000000000004">
      <c r="A11" s="4" t="s">
        <v>35</v>
      </c>
      <c r="B11">
        <f t="shared" si="0"/>
        <v>2.5000000000000001E-2</v>
      </c>
      <c r="C11" s="31" t="s">
        <v>3</v>
      </c>
      <c r="E11" s="46"/>
      <c r="F11" s="47"/>
      <c r="G11" s="37" t="s">
        <v>236</v>
      </c>
      <c r="H11" s="41">
        <v>2.5000000000000001E-2</v>
      </c>
      <c r="I11" s="37" t="s">
        <v>3</v>
      </c>
      <c r="K11" s="4" t="s">
        <v>101</v>
      </c>
      <c r="M11">
        <f>$H7</f>
        <v>1700</v>
      </c>
      <c r="N11">
        <f>H8</f>
        <v>2.5000000000000001E-2</v>
      </c>
      <c r="O11">
        <f>H9</f>
        <v>27</v>
      </c>
      <c r="Y11" s="5" t="s">
        <v>366</v>
      </c>
    </row>
    <row r="12" spans="1:26" ht="14.7" thickBot="1" x14ac:dyDescent="0.6">
      <c r="A12" s="6" t="s">
        <v>14</v>
      </c>
      <c r="B12">
        <f t="shared" si="0"/>
        <v>27</v>
      </c>
      <c r="C12" s="30" t="s">
        <v>2</v>
      </c>
      <c r="E12" s="46"/>
      <c r="F12" s="47"/>
      <c r="G12" s="37" t="s">
        <v>238</v>
      </c>
      <c r="H12" s="41">
        <v>27</v>
      </c>
      <c r="I12" s="37" t="s">
        <v>2</v>
      </c>
      <c r="K12" s="4" t="s">
        <v>102</v>
      </c>
      <c r="M12">
        <f>H10</f>
        <v>2700</v>
      </c>
      <c r="N12">
        <f>H11</f>
        <v>2.5000000000000001E-2</v>
      </c>
      <c r="O12">
        <f>H12</f>
        <v>27</v>
      </c>
      <c r="Y12" s="5" t="s">
        <v>366</v>
      </c>
      <c r="Z12" s="1"/>
    </row>
    <row r="13" spans="1:26" x14ac:dyDescent="0.55000000000000004">
      <c r="A13" s="2" t="s">
        <v>70</v>
      </c>
      <c r="B13">
        <f t="shared" si="0"/>
        <v>200</v>
      </c>
      <c r="C13" s="29" t="s">
        <v>208</v>
      </c>
      <c r="E13" s="46" t="s">
        <v>266</v>
      </c>
      <c r="F13" s="47" t="s">
        <v>306</v>
      </c>
      <c r="G13" s="37" t="s">
        <v>293</v>
      </c>
      <c r="H13" s="41">
        <v>200</v>
      </c>
      <c r="I13" s="37" t="s">
        <v>208</v>
      </c>
      <c r="K13" s="4" t="s">
        <v>192</v>
      </c>
      <c r="L13" t="s">
        <v>125</v>
      </c>
      <c r="M13">
        <f>H69/10</f>
        <v>400</v>
      </c>
      <c r="N13">
        <f>H70</f>
        <v>0.02</v>
      </c>
      <c r="O13">
        <f>H71</f>
        <v>25</v>
      </c>
      <c r="P13">
        <f>H72</f>
        <v>0.65</v>
      </c>
      <c r="Y13" s="5" t="s">
        <v>367</v>
      </c>
    </row>
    <row r="14" spans="1:26" x14ac:dyDescent="0.55000000000000004">
      <c r="A14" s="4" t="s">
        <v>36</v>
      </c>
      <c r="B14">
        <f t="shared" si="0"/>
        <v>0.02</v>
      </c>
      <c r="C14" s="31" t="s">
        <v>3</v>
      </c>
      <c r="E14" s="46"/>
      <c r="F14" s="47"/>
      <c r="G14" s="37" t="s">
        <v>343</v>
      </c>
      <c r="H14" s="41">
        <v>0.02</v>
      </c>
      <c r="I14" s="37" t="s">
        <v>3</v>
      </c>
      <c r="K14" s="49" t="s">
        <v>196</v>
      </c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1"/>
    </row>
    <row r="15" spans="1:26" x14ac:dyDescent="0.55000000000000004">
      <c r="A15" s="4" t="s">
        <v>15</v>
      </c>
      <c r="B15">
        <f t="shared" si="0"/>
        <v>13</v>
      </c>
      <c r="C15" s="31" t="s">
        <v>2</v>
      </c>
      <c r="E15" s="46"/>
      <c r="F15" s="47"/>
      <c r="G15" s="37" t="s">
        <v>294</v>
      </c>
      <c r="H15" s="41">
        <v>13</v>
      </c>
      <c r="I15" s="37" t="s">
        <v>2</v>
      </c>
      <c r="K15" s="4" t="s">
        <v>133</v>
      </c>
      <c r="L15" t="s">
        <v>115</v>
      </c>
      <c r="M15">
        <f>H13</f>
        <v>200</v>
      </c>
      <c r="N15">
        <f>H14</f>
        <v>0.02</v>
      </c>
      <c r="O15">
        <f>H15</f>
        <v>13</v>
      </c>
      <c r="P15">
        <f>H22</f>
        <v>0.91</v>
      </c>
      <c r="R15">
        <f>H20</f>
        <v>3.4999999999999976E-2</v>
      </c>
      <c r="S15">
        <f>H21</f>
        <v>0.96500000000000008</v>
      </c>
      <c r="U15">
        <f>H25</f>
        <v>5.4000000000000001E-4</v>
      </c>
      <c r="Y15" s="5" t="s">
        <v>368</v>
      </c>
    </row>
    <row r="16" spans="1:26" x14ac:dyDescent="0.55000000000000004">
      <c r="A16" s="4" t="s">
        <v>71</v>
      </c>
      <c r="B16">
        <f t="shared" si="0"/>
        <v>150</v>
      </c>
      <c r="C16" s="31" t="s">
        <v>209</v>
      </c>
      <c r="E16" s="46"/>
      <c r="F16" s="47"/>
      <c r="G16" s="37" t="s">
        <v>295</v>
      </c>
      <c r="H16" s="41">
        <v>150</v>
      </c>
      <c r="I16" s="37" t="s">
        <v>209</v>
      </c>
      <c r="K16" s="4"/>
      <c r="L16" t="s">
        <v>116</v>
      </c>
      <c r="M16">
        <f>H16</f>
        <v>150</v>
      </c>
      <c r="N16" s="14">
        <f>H17</f>
        <v>0.02</v>
      </c>
      <c r="O16">
        <f>H18</f>
        <v>20</v>
      </c>
      <c r="Y16" s="5" t="s">
        <v>368</v>
      </c>
      <c r="Z16" s="1"/>
    </row>
    <row r="17" spans="1:28" x14ac:dyDescent="0.55000000000000004">
      <c r="A17" s="4" t="s">
        <v>37</v>
      </c>
      <c r="B17">
        <f t="shared" si="0"/>
        <v>0.02</v>
      </c>
      <c r="C17" s="31" t="s">
        <v>3</v>
      </c>
      <c r="E17" s="46"/>
      <c r="F17" s="47"/>
      <c r="G17" s="37" t="s">
        <v>344</v>
      </c>
      <c r="H17" s="41">
        <v>0.02</v>
      </c>
      <c r="I17" s="37" t="s">
        <v>3</v>
      </c>
      <c r="K17" s="4" t="s">
        <v>117</v>
      </c>
      <c r="M17">
        <f>H39</f>
        <v>10</v>
      </c>
      <c r="N17">
        <f>H40</f>
        <v>0.02</v>
      </c>
      <c r="O17">
        <f>H41</f>
        <v>23</v>
      </c>
      <c r="P17">
        <v>1</v>
      </c>
      <c r="R17">
        <v>0</v>
      </c>
      <c r="S17">
        <v>1</v>
      </c>
      <c r="T17">
        <f>H42</f>
        <v>4</v>
      </c>
      <c r="Y17" s="5" t="s">
        <v>369</v>
      </c>
    </row>
    <row r="18" spans="1:28" x14ac:dyDescent="0.55000000000000004">
      <c r="A18" s="4" t="s">
        <v>16</v>
      </c>
      <c r="B18">
        <f t="shared" si="0"/>
        <v>20</v>
      </c>
      <c r="C18" s="31" t="s">
        <v>2</v>
      </c>
      <c r="E18" s="46"/>
      <c r="F18" s="47"/>
      <c r="G18" s="37" t="s">
        <v>296</v>
      </c>
      <c r="H18" s="41">
        <v>20</v>
      </c>
      <c r="I18" s="37" t="s">
        <v>2</v>
      </c>
      <c r="K18" s="42" t="s">
        <v>197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43"/>
    </row>
    <row r="19" spans="1:28" x14ac:dyDescent="0.55000000000000004">
      <c r="A19" s="4" t="s">
        <v>5</v>
      </c>
      <c r="B19">
        <f t="shared" si="0"/>
        <v>0.93</v>
      </c>
      <c r="C19" s="31" t="s">
        <v>3</v>
      </c>
      <c r="E19" s="46"/>
      <c r="F19" s="47"/>
      <c r="G19" s="37" t="s">
        <v>297</v>
      </c>
      <c r="H19" s="41">
        <v>0.93</v>
      </c>
      <c r="I19" s="37" t="s">
        <v>3</v>
      </c>
      <c r="K19" s="4" t="s">
        <v>103</v>
      </c>
      <c r="M19">
        <f>H26</f>
        <v>2000</v>
      </c>
      <c r="N19">
        <f>H32</f>
        <v>0.02</v>
      </c>
      <c r="O19">
        <f>H28</f>
        <v>7</v>
      </c>
      <c r="P19">
        <f>H29</f>
        <v>0.56999999999999995</v>
      </c>
      <c r="R19">
        <v>0</v>
      </c>
      <c r="S19">
        <v>1</v>
      </c>
      <c r="Y19" s="5" t="s">
        <v>370</v>
      </c>
    </row>
    <row r="20" spans="1:28" x14ac:dyDescent="0.55000000000000004">
      <c r="A20" s="4" t="s">
        <v>85</v>
      </c>
      <c r="B20">
        <f t="shared" si="0"/>
        <v>3.4999999999999976E-2</v>
      </c>
      <c r="C20" s="31" t="s">
        <v>3</v>
      </c>
      <c r="E20" s="46"/>
      <c r="F20" s="47"/>
      <c r="G20" s="37" t="s">
        <v>304</v>
      </c>
      <c r="H20" s="41">
        <f>(1-H19)/2</f>
        <v>3.4999999999999976E-2</v>
      </c>
      <c r="I20" s="37" t="s">
        <v>3</v>
      </c>
      <c r="K20" s="4" t="s">
        <v>105</v>
      </c>
      <c r="M20">
        <f>H34</f>
        <v>1700</v>
      </c>
      <c r="N20">
        <f>H37</f>
        <v>0.04</v>
      </c>
      <c r="O20">
        <f>H38</f>
        <v>14</v>
      </c>
      <c r="P20">
        <f>H35</f>
        <v>0.5</v>
      </c>
      <c r="Q20">
        <f>H36</f>
        <v>0.34</v>
      </c>
      <c r="R20">
        <v>0</v>
      </c>
      <c r="S20">
        <v>1</v>
      </c>
      <c r="Y20" s="5" t="s">
        <v>369</v>
      </c>
    </row>
    <row r="21" spans="1:28" x14ac:dyDescent="0.55000000000000004">
      <c r="A21" s="4" t="s">
        <v>86</v>
      </c>
      <c r="B21">
        <f t="shared" si="0"/>
        <v>0.96500000000000008</v>
      </c>
      <c r="C21" s="31" t="s">
        <v>3</v>
      </c>
      <c r="E21" s="46"/>
      <c r="F21" s="47"/>
      <c r="G21" s="37" t="s">
        <v>305</v>
      </c>
      <c r="H21" s="41">
        <f>(1+H19)/2</f>
        <v>0.96500000000000008</v>
      </c>
      <c r="I21" s="37" t="s">
        <v>3</v>
      </c>
      <c r="K21" s="4" t="s">
        <v>364</v>
      </c>
      <c r="L21" t="s">
        <v>124</v>
      </c>
      <c r="M21">
        <f>H133</f>
        <v>120</v>
      </c>
      <c r="N21">
        <f>B134</f>
        <v>0.02</v>
      </c>
      <c r="O21">
        <f>B131</f>
        <v>20</v>
      </c>
      <c r="P21">
        <f>H86</f>
        <v>0.85</v>
      </c>
      <c r="R21">
        <v>0</v>
      </c>
      <c r="S21">
        <v>1</v>
      </c>
      <c r="Y21" s="5" t="s">
        <v>369</v>
      </c>
      <c r="AA21" s="14"/>
      <c r="AB21" s="14"/>
    </row>
    <row r="22" spans="1:28" x14ac:dyDescent="0.55000000000000004">
      <c r="A22" s="4" t="s">
        <v>6</v>
      </c>
      <c r="B22">
        <f t="shared" si="0"/>
        <v>0.91</v>
      </c>
      <c r="C22" s="31" t="s">
        <v>3</v>
      </c>
      <c r="E22" s="46"/>
      <c r="F22" s="47"/>
      <c r="G22" s="37" t="s">
        <v>289</v>
      </c>
      <c r="H22" s="41">
        <v>0.91</v>
      </c>
      <c r="I22" s="37" t="s">
        <v>3</v>
      </c>
      <c r="K22" s="4" t="s">
        <v>107</v>
      </c>
      <c r="L22" t="s">
        <v>125</v>
      </c>
      <c r="M22">
        <f>H87</f>
        <v>400</v>
      </c>
      <c r="N22">
        <f>H88</f>
        <v>0.03</v>
      </c>
      <c r="O22">
        <f>H89</f>
        <v>20</v>
      </c>
      <c r="P22">
        <f>H90</f>
        <v>0.9</v>
      </c>
      <c r="R22">
        <v>0</v>
      </c>
      <c r="S22">
        <v>1</v>
      </c>
      <c r="Y22" s="5" t="s">
        <v>371</v>
      </c>
    </row>
    <row r="23" spans="1:28" x14ac:dyDescent="0.55000000000000004">
      <c r="A23" s="4" t="s">
        <v>87</v>
      </c>
      <c r="B23">
        <f t="shared" si="0"/>
        <v>0.95393920141694566</v>
      </c>
      <c r="C23" s="31" t="s">
        <v>3</v>
      </c>
      <c r="E23" s="46"/>
      <c r="F23" s="47"/>
      <c r="G23" s="37" t="s">
        <v>290</v>
      </c>
      <c r="H23" s="41">
        <f>H22^(1/2)</f>
        <v>0.95393920141694566</v>
      </c>
      <c r="I23" s="37" t="s">
        <v>3</v>
      </c>
      <c r="K23" s="4" t="s">
        <v>123</v>
      </c>
      <c r="L23" t="s">
        <v>125</v>
      </c>
      <c r="M23">
        <f>H64</f>
        <v>1500</v>
      </c>
      <c r="N23">
        <f>H65</f>
        <v>0.01</v>
      </c>
      <c r="O23">
        <f>H66</f>
        <v>19</v>
      </c>
      <c r="R23">
        <f>H67</f>
        <v>0</v>
      </c>
      <c r="S23">
        <v>1</v>
      </c>
      <c r="Y23" s="5" t="s">
        <v>384</v>
      </c>
      <c r="AA23" s="14"/>
      <c r="AB23" s="14"/>
    </row>
    <row r="24" spans="1:28" x14ac:dyDescent="0.55000000000000004">
      <c r="A24" s="4" t="s">
        <v>88</v>
      </c>
      <c r="B24">
        <f t="shared" si="0"/>
        <v>0.95393920141694566</v>
      </c>
      <c r="C24" s="31" t="s">
        <v>3</v>
      </c>
      <c r="E24" s="46"/>
      <c r="F24" s="47"/>
      <c r="G24" s="37" t="s">
        <v>291</v>
      </c>
      <c r="H24" s="41">
        <f>H22^(1/2)</f>
        <v>0.95393920141694566</v>
      </c>
      <c r="I24" s="37" t="s">
        <v>3</v>
      </c>
      <c r="K24" s="4" t="s">
        <v>126</v>
      </c>
      <c r="L24" t="s">
        <v>124</v>
      </c>
      <c r="M24">
        <f>H56</f>
        <v>2000</v>
      </c>
      <c r="N24">
        <f>H57</f>
        <v>0.03</v>
      </c>
      <c r="O24">
        <f>H58</f>
        <v>20</v>
      </c>
      <c r="P24">
        <f>H60</f>
        <v>0.84</v>
      </c>
      <c r="R24">
        <f>H59</f>
        <v>0.1</v>
      </c>
      <c r="S24">
        <v>1</v>
      </c>
      <c r="Y24" s="5" t="s">
        <v>372</v>
      </c>
      <c r="Z24" s="1"/>
      <c r="AA24" s="14"/>
      <c r="AB24" s="14"/>
    </row>
    <row r="25" spans="1:28" ht="14.7" thickBot="1" x14ac:dyDescent="0.6">
      <c r="A25" s="4" t="s">
        <v>21</v>
      </c>
      <c r="B25">
        <f t="shared" si="0"/>
        <v>5.4000000000000001E-4</v>
      </c>
      <c r="C25" s="31" t="s">
        <v>3</v>
      </c>
      <c r="E25" s="46"/>
      <c r="F25" s="47"/>
      <c r="G25" s="37" t="s">
        <v>292</v>
      </c>
      <c r="H25" s="41">
        <v>5.4000000000000001E-4</v>
      </c>
      <c r="I25" s="37" t="s">
        <v>3</v>
      </c>
      <c r="K25" s="4" t="s">
        <v>363</v>
      </c>
      <c r="L25" t="s">
        <v>124</v>
      </c>
      <c r="M25">
        <f>B124</f>
        <v>100</v>
      </c>
      <c r="N25">
        <f>B125</f>
        <v>0.03</v>
      </c>
      <c r="O25">
        <f>B126</f>
        <v>20</v>
      </c>
      <c r="P25">
        <f>B127</f>
        <v>0.98</v>
      </c>
      <c r="Y25" s="5"/>
    </row>
    <row r="26" spans="1:28" ht="14.7" thickBot="1" x14ac:dyDescent="0.6">
      <c r="A26" s="2" t="s">
        <v>78</v>
      </c>
      <c r="B26">
        <f t="shared" si="0"/>
        <v>2000</v>
      </c>
      <c r="C26" s="29" t="s">
        <v>210</v>
      </c>
      <c r="E26" s="55" t="s">
        <v>267</v>
      </c>
      <c r="F26" s="52" t="s">
        <v>307</v>
      </c>
      <c r="G26" s="37" t="s">
        <v>235</v>
      </c>
      <c r="H26" s="41">
        <v>2000</v>
      </c>
      <c r="I26" s="37" t="s">
        <v>210</v>
      </c>
      <c r="K26" s="4" t="s">
        <v>127</v>
      </c>
      <c r="L26" t="s">
        <v>124</v>
      </c>
      <c r="M26">
        <f>H73</f>
        <v>1400</v>
      </c>
      <c r="N26" s="14">
        <f>H74</f>
        <v>0.05</v>
      </c>
      <c r="O26">
        <f>H75</f>
        <v>20</v>
      </c>
      <c r="P26">
        <f>H79</f>
        <v>0.4</v>
      </c>
      <c r="Q26">
        <f>H81</f>
        <v>0.5</v>
      </c>
      <c r="R26">
        <f>H80</f>
        <v>0.05</v>
      </c>
      <c r="S26">
        <v>1</v>
      </c>
      <c r="W26">
        <f>H77</f>
        <v>8</v>
      </c>
      <c r="X26">
        <f>H78</f>
        <v>8</v>
      </c>
      <c r="Y26" s="5" t="s">
        <v>372</v>
      </c>
    </row>
    <row r="27" spans="1:28" x14ac:dyDescent="0.55000000000000004">
      <c r="A27" s="4" t="s">
        <v>38</v>
      </c>
      <c r="B27">
        <f t="shared" si="0"/>
        <v>0.02</v>
      </c>
      <c r="C27" s="31" t="s">
        <v>3</v>
      </c>
      <c r="E27" s="56"/>
      <c r="F27" s="53"/>
      <c r="G27" s="37" t="s">
        <v>236</v>
      </c>
      <c r="H27" s="41">
        <v>0.02</v>
      </c>
      <c r="I27" s="37" t="s">
        <v>3</v>
      </c>
      <c r="K27" s="16" t="s">
        <v>202</v>
      </c>
      <c r="L27" s="17"/>
      <c r="M27" s="3" t="s">
        <v>211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</row>
    <row r="28" spans="1:28" x14ac:dyDescent="0.55000000000000004">
      <c r="A28" s="4" t="s">
        <v>17</v>
      </c>
      <c r="B28">
        <f t="shared" si="0"/>
        <v>7</v>
      </c>
      <c r="C28" s="31" t="s">
        <v>2</v>
      </c>
      <c r="E28" s="56"/>
      <c r="F28" s="53"/>
      <c r="G28" s="37" t="s">
        <v>238</v>
      </c>
      <c r="H28" s="41">
        <v>7</v>
      </c>
      <c r="I28" s="37" t="s">
        <v>2</v>
      </c>
      <c r="K28" s="4" t="s">
        <v>203</v>
      </c>
      <c r="L28" t="s">
        <v>125</v>
      </c>
      <c r="M28">
        <f>H103</f>
        <v>48</v>
      </c>
      <c r="N28">
        <f>H104</f>
        <v>0.01</v>
      </c>
      <c r="O28">
        <f>B105</f>
        <v>17</v>
      </c>
      <c r="Y28" s="5" t="s">
        <v>373</v>
      </c>
    </row>
    <row r="29" spans="1:28" ht="14.7" thickBot="1" x14ac:dyDescent="0.6">
      <c r="A29" s="6" t="s">
        <v>9</v>
      </c>
      <c r="B29">
        <f t="shared" si="0"/>
        <v>0.56999999999999995</v>
      </c>
      <c r="C29" s="30" t="s">
        <v>3</v>
      </c>
      <c r="E29" s="56"/>
      <c r="F29" s="53"/>
      <c r="G29" s="37" t="s">
        <v>237</v>
      </c>
      <c r="H29" s="41">
        <f>ROUND(0.61*0.95*(1/1.01),2)</f>
        <v>0.56999999999999995</v>
      </c>
      <c r="I29" s="37" t="s">
        <v>3</v>
      </c>
      <c r="K29" s="6" t="s">
        <v>204</v>
      </c>
      <c r="L29" s="7" t="s">
        <v>125</v>
      </c>
      <c r="M29" s="7">
        <f>H100</f>
        <v>32</v>
      </c>
      <c r="N29" s="7">
        <f>H101</f>
        <v>0.03</v>
      </c>
      <c r="O29" s="7">
        <f>B102</f>
        <v>17</v>
      </c>
      <c r="P29" s="7"/>
      <c r="Q29" s="7"/>
      <c r="R29" s="7"/>
      <c r="S29" s="7"/>
      <c r="T29" s="7"/>
      <c r="U29" s="7"/>
      <c r="V29" s="7"/>
      <c r="W29" s="7"/>
      <c r="X29" s="7"/>
      <c r="Y29" s="8" t="s">
        <v>374</v>
      </c>
      <c r="Z29" s="1"/>
    </row>
    <row r="30" spans="1:28" ht="14.7" thickBot="1" x14ac:dyDescent="0.6">
      <c r="A30" s="4" t="s">
        <v>385</v>
      </c>
      <c r="B30">
        <f>H30</f>
        <v>20</v>
      </c>
      <c r="C30" s="31" t="s">
        <v>2</v>
      </c>
      <c r="E30" s="57"/>
      <c r="F30" s="54"/>
      <c r="G30" s="4" t="s">
        <v>385</v>
      </c>
      <c r="H30" s="41">
        <v>20</v>
      </c>
      <c r="I30" s="37" t="s">
        <v>2</v>
      </c>
      <c r="Z30" s="1"/>
    </row>
    <row r="31" spans="1:28" x14ac:dyDescent="0.55000000000000004">
      <c r="A31" s="10" t="s">
        <v>72</v>
      </c>
      <c r="B31">
        <f t="shared" si="0"/>
        <v>200</v>
      </c>
      <c r="C31" s="29" t="s">
        <v>209</v>
      </c>
      <c r="E31" s="46" t="s">
        <v>220</v>
      </c>
      <c r="F31" s="47" t="s">
        <v>308</v>
      </c>
      <c r="G31" s="37" t="s">
        <v>235</v>
      </c>
      <c r="H31" s="41">
        <v>200</v>
      </c>
      <c r="I31" s="37" t="s">
        <v>209</v>
      </c>
      <c r="J31" t="s">
        <v>362</v>
      </c>
    </row>
    <row r="32" spans="1:28" x14ac:dyDescent="0.55000000000000004">
      <c r="A32" s="12" t="s">
        <v>39</v>
      </c>
      <c r="B32">
        <f t="shared" si="0"/>
        <v>0.02</v>
      </c>
      <c r="C32" s="31" t="s">
        <v>3</v>
      </c>
      <c r="E32" s="46"/>
      <c r="F32" s="47"/>
      <c r="G32" s="37" t="s">
        <v>236</v>
      </c>
      <c r="H32" s="41">
        <v>0.02</v>
      </c>
      <c r="I32" s="37" t="s">
        <v>3</v>
      </c>
      <c r="J32">
        <f>198*1/3</f>
        <v>66</v>
      </c>
      <c r="K32" t="s">
        <v>361</v>
      </c>
      <c r="L32">
        <f>J32*1000000000*J33</f>
        <v>224400000000</v>
      </c>
      <c r="M32" t="s">
        <v>358</v>
      </c>
    </row>
    <row r="33" spans="1:28" ht="14.7" thickBot="1" x14ac:dyDescent="0.6">
      <c r="A33" s="12" t="s">
        <v>18</v>
      </c>
      <c r="B33">
        <f t="shared" si="0"/>
        <v>30</v>
      </c>
      <c r="C33" s="31" t="s">
        <v>2</v>
      </c>
      <c r="E33" s="46"/>
      <c r="F33" s="47"/>
      <c r="G33" s="37" t="s">
        <v>238</v>
      </c>
      <c r="H33" s="41">
        <v>30</v>
      </c>
      <c r="I33" s="37" t="s">
        <v>2</v>
      </c>
      <c r="J33">
        <v>3.4</v>
      </c>
      <c r="K33" t="s">
        <v>359</v>
      </c>
      <c r="L33">
        <f>L32/1000000000</f>
        <v>224.4</v>
      </c>
      <c r="M33" t="s">
        <v>360</v>
      </c>
    </row>
    <row r="34" spans="1:28" x14ac:dyDescent="0.55000000000000004">
      <c r="A34" s="10" t="s">
        <v>79</v>
      </c>
      <c r="B34" s="3">
        <f t="shared" ref="B34:B63" si="1">H34</f>
        <v>1700</v>
      </c>
      <c r="C34" s="29" t="s">
        <v>209</v>
      </c>
      <c r="E34" s="46" t="s">
        <v>270</v>
      </c>
      <c r="F34" s="47" t="s">
        <v>345</v>
      </c>
      <c r="G34" s="37" t="s">
        <v>235</v>
      </c>
      <c r="H34" s="41">
        <v>1700</v>
      </c>
      <c r="I34" s="37" t="s">
        <v>209</v>
      </c>
    </row>
    <row r="35" spans="1:28" ht="14.7" thickBot="1" x14ac:dyDescent="0.6">
      <c r="A35" s="12" t="s">
        <v>56</v>
      </c>
      <c r="B35">
        <f t="shared" si="1"/>
        <v>0.5</v>
      </c>
      <c r="C35" s="31" t="s">
        <v>3</v>
      </c>
      <c r="E35" s="46"/>
      <c r="F35" s="47"/>
      <c r="G35" s="37" t="s">
        <v>298</v>
      </c>
      <c r="H35" s="41">
        <v>0.5</v>
      </c>
      <c r="I35" s="37" t="s">
        <v>3</v>
      </c>
      <c r="Z35" s="1"/>
      <c r="AA35" s="14"/>
      <c r="AB35" s="14"/>
    </row>
    <row r="36" spans="1:28" x14ac:dyDescent="0.55000000000000004">
      <c r="A36" s="12" t="s">
        <v>57</v>
      </c>
      <c r="B36">
        <f t="shared" si="1"/>
        <v>0.34</v>
      </c>
      <c r="C36" s="31" t="s">
        <v>3</v>
      </c>
      <c r="E36" s="46"/>
      <c r="F36" s="47"/>
      <c r="G36" s="37" t="s">
        <v>299</v>
      </c>
      <c r="H36" s="41">
        <v>0.34</v>
      </c>
      <c r="I36" s="37" t="s">
        <v>3</v>
      </c>
      <c r="K36" s="16" t="s">
        <v>136</v>
      </c>
      <c r="L36" s="17" t="s">
        <v>149</v>
      </c>
      <c r="M36" s="17" t="s">
        <v>1</v>
      </c>
      <c r="N36" s="17" t="s">
        <v>134</v>
      </c>
      <c r="O36" s="2"/>
      <c r="P36" s="3"/>
      <c r="Q36" s="9"/>
    </row>
    <row r="37" spans="1:28" x14ac:dyDescent="0.55000000000000004">
      <c r="A37" s="12" t="s">
        <v>40</v>
      </c>
      <c r="B37">
        <f t="shared" si="1"/>
        <v>0.04</v>
      </c>
      <c r="C37" s="31" t="s">
        <v>3</v>
      </c>
      <c r="E37" s="46"/>
      <c r="F37" s="47"/>
      <c r="G37" s="37" t="s">
        <v>236</v>
      </c>
      <c r="H37" s="41">
        <v>0.04</v>
      </c>
      <c r="I37" s="37" t="s">
        <v>3</v>
      </c>
      <c r="K37" s="4" t="s">
        <v>139</v>
      </c>
      <c r="L37">
        <f>P37</f>
        <v>7.0000000000000007E-2</v>
      </c>
      <c r="M37" t="str">
        <f>Q37</f>
        <v>[-]</v>
      </c>
      <c r="O37" s="4" t="str">
        <f>A2</f>
        <v>dr</v>
      </c>
      <c r="P37">
        <f>H2</f>
        <v>7.0000000000000007E-2</v>
      </c>
      <c r="Q37" s="5" t="str">
        <f>C2</f>
        <v>[-]</v>
      </c>
    </row>
    <row r="38" spans="1:28" ht="14.7" thickBot="1" x14ac:dyDescent="0.6">
      <c r="A38" s="11" t="s">
        <v>19</v>
      </c>
      <c r="B38" s="7">
        <f t="shared" si="1"/>
        <v>14</v>
      </c>
      <c r="C38" s="30" t="s">
        <v>2</v>
      </c>
      <c r="E38" s="46"/>
      <c r="F38" s="47"/>
      <c r="G38" s="37" t="s">
        <v>238</v>
      </c>
      <c r="H38" s="41">
        <v>14</v>
      </c>
      <c r="I38" s="37" t="s">
        <v>2</v>
      </c>
      <c r="K38" s="4" t="s">
        <v>140</v>
      </c>
      <c r="L38">
        <f>P38</f>
        <v>30</v>
      </c>
      <c r="M38" t="str">
        <f>Q38</f>
        <v>[years]</v>
      </c>
      <c r="O38" s="4" t="str">
        <f>A3</f>
        <v>project_lt</v>
      </c>
      <c r="P38">
        <f>H3</f>
        <v>30</v>
      </c>
      <c r="Q38" s="5" t="str">
        <f>C3</f>
        <v>[years]</v>
      </c>
    </row>
    <row r="39" spans="1:28" x14ac:dyDescent="0.55000000000000004">
      <c r="A39" s="4" t="s">
        <v>178</v>
      </c>
      <c r="B39">
        <f t="shared" si="1"/>
        <v>10</v>
      </c>
      <c r="C39" s="31" t="s">
        <v>212</v>
      </c>
      <c r="E39" s="46" t="s">
        <v>271</v>
      </c>
      <c r="F39" s="47" t="s">
        <v>309</v>
      </c>
      <c r="G39" s="37" t="s">
        <v>235</v>
      </c>
      <c r="H39" s="41">
        <v>10</v>
      </c>
      <c r="I39" s="37" t="s">
        <v>212</v>
      </c>
      <c r="K39" s="22" t="s">
        <v>137</v>
      </c>
      <c r="O39" s="4"/>
      <c r="Q39" s="5"/>
    </row>
    <row r="40" spans="1:28" x14ac:dyDescent="0.55000000000000004">
      <c r="A40" s="4" t="s">
        <v>179</v>
      </c>
      <c r="B40">
        <f t="shared" si="1"/>
        <v>0.02</v>
      </c>
      <c r="C40" s="31" t="s">
        <v>3</v>
      </c>
      <c r="E40" s="46"/>
      <c r="F40" s="47"/>
      <c r="G40" s="37" t="s">
        <v>236</v>
      </c>
      <c r="H40" s="41">
        <v>0.02</v>
      </c>
      <c r="I40" s="37" t="s">
        <v>3</v>
      </c>
      <c r="K40" s="4" t="s">
        <v>138</v>
      </c>
      <c r="L40">
        <f>P40*1000</f>
        <v>0.17499999999999999</v>
      </c>
      <c r="M40" t="s">
        <v>55</v>
      </c>
      <c r="N40" t="s">
        <v>375</v>
      </c>
      <c r="O40" s="4" t="str">
        <f>A109</f>
        <v>bev_MWh_km</v>
      </c>
      <c r="P40">
        <f>H109</f>
        <v>1.75E-4</v>
      </c>
      <c r="Q40" s="5" t="str">
        <f>C109</f>
        <v>[MWh/km]</v>
      </c>
      <c r="Z40" s="1"/>
    </row>
    <row r="41" spans="1:28" x14ac:dyDescent="0.55000000000000004">
      <c r="A41" s="4" t="s">
        <v>180</v>
      </c>
      <c r="B41">
        <f t="shared" si="1"/>
        <v>23</v>
      </c>
      <c r="C41" s="31" t="s">
        <v>2</v>
      </c>
      <c r="E41" s="46"/>
      <c r="F41" s="47"/>
      <c r="G41" s="37" t="s">
        <v>238</v>
      </c>
      <c r="H41" s="41">
        <v>23</v>
      </c>
      <c r="I41" s="37" t="s">
        <v>2</v>
      </c>
      <c r="K41" s="22" t="s">
        <v>141</v>
      </c>
      <c r="O41" s="4"/>
      <c r="Q41" s="5"/>
    </row>
    <row r="42" spans="1:28" ht="14.7" thickBot="1" x14ac:dyDescent="0.6">
      <c r="A42" s="6" t="s">
        <v>177</v>
      </c>
      <c r="B42">
        <f t="shared" si="1"/>
        <v>4</v>
      </c>
      <c r="C42" s="30" t="s">
        <v>89</v>
      </c>
      <c r="E42" s="46"/>
      <c r="F42" s="47"/>
      <c r="G42" s="37" t="s">
        <v>300</v>
      </c>
      <c r="H42" s="41">
        <v>4</v>
      </c>
      <c r="I42" s="37" t="s">
        <v>89</v>
      </c>
      <c r="K42" s="4" t="s">
        <v>143</v>
      </c>
      <c r="L42">
        <f>P42</f>
        <v>30</v>
      </c>
      <c r="M42" t="str">
        <f>Q42</f>
        <v>[$^\circ$C]</v>
      </c>
      <c r="N42" t="s">
        <v>376</v>
      </c>
      <c r="O42" s="4" t="str">
        <f>A52</f>
        <v>heat_stor_t_min</v>
      </c>
      <c r="P42">
        <f>H52</f>
        <v>30</v>
      </c>
      <c r="Q42" s="5" t="str">
        <f>C52</f>
        <v>[$^\circ$C]</v>
      </c>
    </row>
    <row r="43" spans="1:28" x14ac:dyDescent="0.55000000000000004">
      <c r="A43" s="12" t="s">
        <v>73</v>
      </c>
      <c r="B43">
        <f t="shared" si="1"/>
        <v>100</v>
      </c>
      <c r="C43" s="31" t="s">
        <v>208</v>
      </c>
      <c r="E43" s="46" t="s">
        <v>272</v>
      </c>
      <c r="F43" s="47" t="s">
        <v>310</v>
      </c>
      <c r="G43" s="37" t="s">
        <v>235</v>
      </c>
      <c r="H43" s="41">
        <v>100</v>
      </c>
      <c r="I43" s="37" t="s">
        <v>208</v>
      </c>
      <c r="K43" s="4" t="s">
        <v>142</v>
      </c>
      <c r="L43">
        <f>P43</f>
        <v>55</v>
      </c>
      <c r="M43" t="str">
        <f>Q43</f>
        <v>[$^\circ$C]</v>
      </c>
      <c r="N43" t="s">
        <v>376</v>
      </c>
      <c r="O43" s="4" t="str">
        <f>A53</f>
        <v>heat_stor_t_max</v>
      </c>
      <c r="P43">
        <f>H53</f>
        <v>55</v>
      </c>
      <c r="Q43" s="5" t="str">
        <f>C53</f>
        <v>[$^\circ$C]</v>
      </c>
    </row>
    <row r="44" spans="1:28" x14ac:dyDescent="0.55000000000000004">
      <c r="A44" s="12" t="s">
        <v>41</v>
      </c>
      <c r="B44">
        <f t="shared" si="1"/>
        <v>0.02</v>
      </c>
      <c r="C44" s="31" t="s">
        <v>3</v>
      </c>
      <c r="E44" s="46"/>
      <c r="F44" s="47"/>
      <c r="G44" s="37" t="s">
        <v>236</v>
      </c>
      <c r="H44" s="41">
        <v>0.02</v>
      </c>
      <c r="I44" s="37" t="s">
        <v>3</v>
      </c>
      <c r="K44" s="22" t="s">
        <v>123</v>
      </c>
      <c r="O44" s="4"/>
      <c r="Q44" s="5"/>
    </row>
    <row r="45" spans="1:28" x14ac:dyDescent="0.55000000000000004">
      <c r="A45" s="12" t="s">
        <v>20</v>
      </c>
      <c r="B45">
        <f t="shared" si="1"/>
        <v>24</v>
      </c>
      <c r="C45" s="31" t="s">
        <v>2</v>
      </c>
      <c r="E45" s="46"/>
      <c r="F45" s="47"/>
      <c r="G45" s="37" t="s">
        <v>238</v>
      </c>
      <c r="H45" s="41">
        <v>24</v>
      </c>
      <c r="I45" s="37" t="s">
        <v>2</v>
      </c>
      <c r="K45" s="4" t="s">
        <v>144</v>
      </c>
      <c r="L45">
        <v>5.0599999999999996</v>
      </c>
      <c r="M45" t="s">
        <v>3</v>
      </c>
      <c r="N45" t="s">
        <v>377</v>
      </c>
      <c r="O45" s="4"/>
      <c r="Q45" s="5"/>
    </row>
    <row r="46" spans="1:28" x14ac:dyDescent="0.55000000000000004">
      <c r="A46" s="12" t="s">
        <v>22</v>
      </c>
      <c r="B46">
        <f t="shared" si="1"/>
        <v>7.4999999999999997E-3</v>
      </c>
      <c r="C46" s="31" t="s">
        <v>3</v>
      </c>
      <c r="E46" s="46"/>
      <c r="F46" s="47"/>
      <c r="G46" s="37" t="s">
        <v>292</v>
      </c>
      <c r="H46" s="41">
        <v>7.4999999999999997E-3</v>
      </c>
      <c r="I46" s="37" t="s">
        <v>3</v>
      </c>
      <c r="K46" s="4" t="s">
        <v>145</v>
      </c>
      <c r="L46">
        <v>-0.05</v>
      </c>
      <c r="M46" t="s">
        <v>3</v>
      </c>
      <c r="N46" t="s">
        <v>377</v>
      </c>
      <c r="O46" s="4"/>
      <c r="Q46" s="5"/>
    </row>
    <row r="47" spans="1:28" x14ac:dyDescent="0.55000000000000004">
      <c r="A47" s="12" t="s">
        <v>23</v>
      </c>
      <c r="B47">
        <f t="shared" si="1"/>
        <v>0.81</v>
      </c>
      <c r="C47" s="31" t="s">
        <v>3</v>
      </c>
      <c r="E47" s="46"/>
      <c r="F47" s="47"/>
      <c r="G47" s="37" t="s">
        <v>237</v>
      </c>
      <c r="H47" s="41">
        <v>0.81</v>
      </c>
      <c r="I47" s="37" t="s">
        <v>3</v>
      </c>
      <c r="K47" s="4" t="s">
        <v>146</v>
      </c>
      <c r="L47">
        <v>6.0000000000000002E-5</v>
      </c>
      <c r="M47" t="s">
        <v>3</v>
      </c>
      <c r="N47" t="s">
        <v>377</v>
      </c>
      <c r="O47" s="4"/>
      <c r="Q47" s="5"/>
    </row>
    <row r="48" spans="1:28" x14ac:dyDescent="0.55000000000000004">
      <c r="A48" s="13" t="s">
        <v>90</v>
      </c>
      <c r="B48">
        <f t="shared" si="1"/>
        <v>0.9</v>
      </c>
      <c r="C48" s="31" t="s">
        <v>3</v>
      </c>
      <c r="E48" s="46"/>
      <c r="F48" s="47"/>
      <c r="G48" s="37" t="s">
        <v>290</v>
      </c>
      <c r="H48" s="41">
        <f>H47^(1/2)</f>
        <v>0.9</v>
      </c>
      <c r="I48" s="37" t="s">
        <v>3</v>
      </c>
      <c r="K48" s="22" t="s">
        <v>166</v>
      </c>
      <c r="O48" s="4"/>
      <c r="Q48" s="5"/>
    </row>
    <row r="49" spans="1:25" x14ac:dyDescent="0.55000000000000004">
      <c r="A49" s="13" t="s">
        <v>91</v>
      </c>
      <c r="B49">
        <f t="shared" si="1"/>
        <v>0.9</v>
      </c>
      <c r="C49" s="31" t="s">
        <v>3</v>
      </c>
      <c r="E49" s="46"/>
      <c r="F49" s="47"/>
      <c r="G49" s="37" t="s">
        <v>291</v>
      </c>
      <c r="H49" s="41">
        <f>H47^(1/2)</f>
        <v>0.9</v>
      </c>
      <c r="I49" s="37" t="s">
        <v>3</v>
      </c>
      <c r="K49" s="4" t="s">
        <v>167</v>
      </c>
      <c r="L49">
        <f>P49</f>
        <v>0.05</v>
      </c>
      <c r="M49" t="str">
        <f>Q49</f>
        <v>[euro/kWh]</v>
      </c>
      <c r="N49" t="s">
        <v>378</v>
      </c>
      <c r="O49" s="4" t="str">
        <f>A96</f>
        <v>biogas_price</v>
      </c>
      <c r="P49">
        <f>H96</f>
        <v>0.05</v>
      </c>
      <c r="Q49" s="5" t="str">
        <f>C96</f>
        <v>[euro/kWh]</v>
      </c>
    </row>
    <row r="50" spans="1:25" x14ac:dyDescent="0.55000000000000004">
      <c r="A50" s="12" t="s">
        <v>24</v>
      </c>
      <c r="B50">
        <f t="shared" si="1"/>
        <v>0</v>
      </c>
      <c r="C50" s="31" t="s">
        <v>3</v>
      </c>
      <c r="E50" s="46"/>
      <c r="F50" s="47"/>
      <c r="G50" s="37" t="s">
        <v>304</v>
      </c>
      <c r="H50" s="41">
        <v>0</v>
      </c>
      <c r="I50" s="37" t="s">
        <v>3</v>
      </c>
      <c r="K50" s="4" t="s">
        <v>168</v>
      </c>
      <c r="L50">
        <f>P50</f>
        <v>1.8E-3</v>
      </c>
      <c r="M50" t="str">
        <f>Q50</f>
        <v>[k€/liter]</v>
      </c>
      <c r="N50" t="s">
        <v>379</v>
      </c>
      <c r="O50" s="4" t="str">
        <f>A97</f>
        <v>gasoline_price</v>
      </c>
      <c r="P50">
        <f>H97</f>
        <v>1.8E-3</v>
      </c>
      <c r="Q50" s="5" t="str">
        <f>C97</f>
        <v>[k€/liter]</v>
      </c>
    </row>
    <row r="51" spans="1:25" x14ac:dyDescent="0.55000000000000004">
      <c r="A51" s="12" t="s">
        <v>25</v>
      </c>
      <c r="B51">
        <f t="shared" si="1"/>
        <v>1</v>
      </c>
      <c r="C51" s="31" t="s">
        <v>3</v>
      </c>
      <c r="E51" s="46"/>
      <c r="F51" s="47"/>
      <c r="G51" s="37" t="s">
        <v>305</v>
      </c>
      <c r="H51" s="41">
        <v>1</v>
      </c>
      <c r="I51" s="37" t="s">
        <v>3</v>
      </c>
      <c r="K51" s="22" t="s">
        <v>239</v>
      </c>
      <c r="O51" s="4"/>
      <c r="Q51" s="5"/>
    </row>
    <row r="52" spans="1:25" x14ac:dyDescent="0.55000000000000004">
      <c r="A52" s="12" t="s">
        <v>26</v>
      </c>
      <c r="B52">
        <f t="shared" si="1"/>
        <v>30</v>
      </c>
      <c r="C52" s="31" t="s">
        <v>169</v>
      </c>
      <c r="E52" s="46"/>
      <c r="F52" s="47"/>
      <c r="G52" s="37" t="s">
        <v>301</v>
      </c>
      <c r="H52" s="41">
        <v>30</v>
      </c>
      <c r="I52" s="37" t="s">
        <v>169</v>
      </c>
      <c r="K52" s="4" t="s">
        <v>235</v>
      </c>
      <c r="L52">
        <f>H115</f>
        <v>2.1</v>
      </c>
      <c r="M52" t="s">
        <v>233</v>
      </c>
      <c r="N52" t="s">
        <v>380</v>
      </c>
      <c r="O52" s="4"/>
      <c r="Q52" s="5"/>
    </row>
    <row r="53" spans="1:25" x14ac:dyDescent="0.55000000000000004">
      <c r="A53" s="12" t="s">
        <v>27</v>
      </c>
      <c r="B53">
        <f t="shared" si="1"/>
        <v>55</v>
      </c>
      <c r="C53" s="31" t="s">
        <v>169</v>
      </c>
      <c r="E53" s="46"/>
      <c r="F53" s="47"/>
      <c r="G53" s="37" t="s">
        <v>302</v>
      </c>
      <c r="H53" s="41">
        <v>55</v>
      </c>
      <c r="I53" s="37" t="s">
        <v>169</v>
      </c>
      <c r="K53" s="4" t="s">
        <v>236</v>
      </c>
      <c r="L53">
        <f>H116</f>
        <v>1000</v>
      </c>
      <c r="M53" t="s">
        <v>234</v>
      </c>
      <c r="N53" t="s">
        <v>380</v>
      </c>
      <c r="O53" s="4"/>
      <c r="Q53" s="5"/>
    </row>
    <row r="54" spans="1:25" x14ac:dyDescent="0.55000000000000004">
      <c r="A54" s="12" t="s">
        <v>28</v>
      </c>
      <c r="B54">
        <f t="shared" si="1"/>
        <v>1E-3</v>
      </c>
      <c r="C54" s="31" t="s">
        <v>3</v>
      </c>
      <c r="E54" s="46"/>
      <c r="F54" s="47"/>
      <c r="G54" s="37" t="s">
        <v>303</v>
      </c>
      <c r="H54" s="41">
        <v>1E-3</v>
      </c>
      <c r="I54" s="37" t="s">
        <v>3</v>
      </c>
      <c r="K54" s="4" t="s">
        <v>237</v>
      </c>
      <c r="L54">
        <f>H117</f>
        <v>0</v>
      </c>
      <c r="M54" t="s">
        <v>3</v>
      </c>
      <c r="N54" t="s">
        <v>380</v>
      </c>
      <c r="V54" s="1"/>
      <c r="W54" s="1"/>
      <c r="X54" s="1"/>
      <c r="Y54" s="1"/>
    </row>
    <row r="55" spans="1:25" ht="14.7" thickBot="1" x14ac:dyDescent="0.6">
      <c r="A55" s="11" t="s">
        <v>29</v>
      </c>
      <c r="B55">
        <f t="shared" si="1"/>
        <v>4</v>
      </c>
      <c r="C55" s="30" t="s">
        <v>89</v>
      </c>
      <c r="E55" s="46"/>
      <c r="F55" s="47"/>
      <c r="G55" s="37" t="s">
        <v>300</v>
      </c>
      <c r="H55" s="41">
        <v>4</v>
      </c>
      <c r="I55" s="37" t="s">
        <v>89</v>
      </c>
      <c r="K55" s="4" t="s">
        <v>238</v>
      </c>
      <c r="L55">
        <f>H118</f>
        <v>1</v>
      </c>
      <c r="M55" t="s">
        <v>2</v>
      </c>
      <c r="N55" t="s">
        <v>380</v>
      </c>
    </row>
    <row r="56" spans="1:25" x14ac:dyDescent="0.55000000000000004">
      <c r="A56" s="2" t="s">
        <v>74</v>
      </c>
      <c r="B56">
        <f t="shared" si="1"/>
        <v>2000</v>
      </c>
      <c r="C56" s="29" t="s">
        <v>209</v>
      </c>
      <c r="E56" s="46" t="s">
        <v>273</v>
      </c>
      <c r="F56" s="47" t="s">
        <v>126</v>
      </c>
      <c r="G56" s="37" t="s">
        <v>235</v>
      </c>
      <c r="H56" s="41">
        <f>2000</f>
        <v>2000</v>
      </c>
      <c r="I56" s="37" t="s">
        <v>209</v>
      </c>
      <c r="K56" s="22" t="s">
        <v>154</v>
      </c>
    </row>
    <row r="57" spans="1:25" x14ac:dyDescent="0.55000000000000004">
      <c r="A57" s="4" t="s">
        <v>42</v>
      </c>
      <c r="B57">
        <f t="shared" si="1"/>
        <v>0.03</v>
      </c>
      <c r="C57" s="31" t="s">
        <v>3</v>
      </c>
      <c r="E57" s="46"/>
      <c r="F57" s="47"/>
      <c r="G57" s="37" t="s">
        <v>236</v>
      </c>
      <c r="H57" s="41">
        <v>0.03</v>
      </c>
      <c r="I57" s="37" t="s">
        <v>3</v>
      </c>
      <c r="K57" s="4" t="s">
        <v>235</v>
      </c>
      <c r="L57">
        <f>H31</f>
        <v>200</v>
      </c>
      <c r="M57" t="s">
        <v>233</v>
      </c>
      <c r="N57" t="s">
        <v>381</v>
      </c>
    </row>
    <row r="58" spans="1:25" x14ac:dyDescent="0.55000000000000004">
      <c r="A58" s="4" t="s">
        <v>30</v>
      </c>
      <c r="B58">
        <f t="shared" si="1"/>
        <v>20</v>
      </c>
      <c r="C58" s="31" t="s">
        <v>3</v>
      </c>
      <c r="E58" s="46"/>
      <c r="F58" s="47"/>
      <c r="G58" s="37" t="s">
        <v>238</v>
      </c>
      <c r="H58" s="41">
        <v>20</v>
      </c>
      <c r="I58" s="37" t="s">
        <v>3</v>
      </c>
      <c r="K58" s="4" t="s">
        <v>236</v>
      </c>
      <c r="L58">
        <v>2</v>
      </c>
      <c r="M58" t="s">
        <v>234</v>
      </c>
    </row>
    <row r="59" spans="1:25" ht="14.7" thickBot="1" x14ac:dyDescent="0.6">
      <c r="A59" s="4" t="s">
        <v>94</v>
      </c>
      <c r="B59">
        <f t="shared" si="1"/>
        <v>0.1</v>
      </c>
      <c r="C59" s="31" t="s">
        <v>3</v>
      </c>
      <c r="E59" s="46"/>
      <c r="F59" s="47"/>
      <c r="G59" s="37" t="s">
        <v>322</v>
      </c>
      <c r="H59" s="41">
        <v>0.1</v>
      </c>
      <c r="I59" s="37" t="s">
        <v>3</v>
      </c>
      <c r="K59" s="4" t="s">
        <v>238</v>
      </c>
      <c r="L59">
        <f>H33</f>
        <v>30</v>
      </c>
      <c r="M59" t="s">
        <v>3</v>
      </c>
      <c r="N59" s="7" t="s">
        <v>382</v>
      </c>
      <c r="V59" s="1"/>
      <c r="W59" s="1"/>
      <c r="X59" s="1"/>
      <c r="Y59" s="1"/>
    </row>
    <row r="60" spans="1:25" x14ac:dyDescent="0.55000000000000004">
      <c r="A60" s="4" t="s">
        <v>31</v>
      </c>
      <c r="B60">
        <f t="shared" si="1"/>
        <v>0.84</v>
      </c>
      <c r="C60" s="31" t="s">
        <v>3</v>
      </c>
      <c r="E60" s="46"/>
      <c r="F60" s="47"/>
      <c r="G60" s="37" t="s">
        <v>237</v>
      </c>
      <c r="H60" s="41">
        <v>0.84</v>
      </c>
      <c r="I60" s="37" t="s">
        <v>3</v>
      </c>
      <c r="K60" s="22" t="s">
        <v>147</v>
      </c>
      <c r="O60" s="4"/>
      <c r="Q60" s="5"/>
    </row>
    <row r="61" spans="1:25" x14ac:dyDescent="0.55000000000000004">
      <c r="A61" t="s">
        <v>242</v>
      </c>
      <c r="B61">
        <f t="shared" si="1"/>
        <v>1</v>
      </c>
      <c r="C61" s="31" t="s">
        <v>89</v>
      </c>
      <c r="E61" s="46"/>
      <c r="F61" s="47"/>
      <c r="G61" s="37" t="s">
        <v>300</v>
      </c>
      <c r="H61" s="41">
        <f>H76</f>
        <v>1</v>
      </c>
      <c r="I61" s="37" t="s">
        <v>89</v>
      </c>
      <c r="K61" s="4" t="s">
        <v>83</v>
      </c>
      <c r="L61">
        <f t="shared" ref="L61:M63" si="2">P61</f>
        <v>7.0000000000000007E-2</v>
      </c>
      <c r="M61" t="str">
        <f t="shared" si="2"/>
        <v>[k€/MWh]</v>
      </c>
      <c r="N61" t="s">
        <v>383</v>
      </c>
      <c r="O61" s="4" t="str">
        <f>A91</f>
        <v>ng_price</v>
      </c>
      <c r="P61">
        <f>H91</f>
        <v>7.0000000000000007E-2</v>
      </c>
      <c r="Q61" s="5" t="str">
        <f>C91</f>
        <v>[k€/MWh]</v>
      </c>
    </row>
    <row r="62" spans="1:25" x14ac:dyDescent="0.55000000000000004">
      <c r="A62" t="s">
        <v>243</v>
      </c>
      <c r="B62">
        <f t="shared" si="1"/>
        <v>8</v>
      </c>
      <c r="C62" s="31" t="s">
        <v>89</v>
      </c>
      <c r="E62" s="46"/>
      <c r="F62" s="47"/>
      <c r="G62" s="37" t="s">
        <v>323</v>
      </c>
      <c r="H62" s="41">
        <v>8</v>
      </c>
      <c r="I62" s="37" t="s">
        <v>89</v>
      </c>
      <c r="K62" s="4" t="s">
        <v>84</v>
      </c>
      <c r="L62" s="15">
        <f t="shared" si="2"/>
        <v>3.6646706586826353E-2</v>
      </c>
      <c r="M62" t="str">
        <f t="shared" si="2"/>
        <v>[k€/MWh]</v>
      </c>
      <c r="N62" t="s">
        <v>383</v>
      </c>
      <c r="O62" s="4" t="str">
        <f>A93</f>
        <v>wood_price</v>
      </c>
      <c r="P62">
        <f>H93</f>
        <v>3.6646706586826353E-2</v>
      </c>
      <c r="Q62" s="5" t="str">
        <f>C93</f>
        <v>[k€/MWh]</v>
      </c>
    </row>
    <row r="63" spans="1:25" ht="14.7" thickBot="1" x14ac:dyDescent="0.6">
      <c r="A63" t="s">
        <v>244</v>
      </c>
      <c r="B63">
        <f t="shared" si="1"/>
        <v>8</v>
      </c>
      <c r="C63" s="30" t="s">
        <v>89</v>
      </c>
      <c r="E63" s="46"/>
      <c r="F63" s="47"/>
      <c r="G63" s="37" t="s">
        <v>324</v>
      </c>
      <c r="H63" s="41">
        <v>8</v>
      </c>
      <c r="I63" s="37" t="s">
        <v>89</v>
      </c>
      <c r="K63" s="6" t="s">
        <v>148</v>
      </c>
      <c r="L63" s="23">
        <f>P63</f>
        <v>0.05</v>
      </c>
      <c r="M63" s="7" t="str">
        <f t="shared" si="2"/>
        <v>[k€/MWh]</v>
      </c>
      <c r="N63" s="7" t="s">
        <v>382</v>
      </c>
      <c r="O63" s="6" t="str">
        <f>A94</f>
        <v>wood_price_res</v>
      </c>
      <c r="P63" s="7">
        <f>H94</f>
        <v>0.05</v>
      </c>
      <c r="Q63" s="8" t="str">
        <f>C94</f>
        <v>[k€/MWh]</v>
      </c>
    </row>
    <row r="64" spans="1:25" x14ac:dyDescent="0.55000000000000004">
      <c r="A64" s="10" t="s">
        <v>80</v>
      </c>
      <c r="B64">
        <v>4500</v>
      </c>
      <c r="C64" s="29" t="s">
        <v>213</v>
      </c>
      <c r="E64" s="46" t="s">
        <v>274</v>
      </c>
      <c r="F64" s="47" t="s">
        <v>311</v>
      </c>
      <c r="G64" s="37" t="s">
        <v>235</v>
      </c>
      <c r="H64" s="41">
        <v>1500</v>
      </c>
      <c r="I64" s="37" t="s">
        <v>213</v>
      </c>
      <c r="U64" s="1"/>
      <c r="V64" s="1">
        <f>100/0.4</f>
        <v>250</v>
      </c>
      <c r="W64" s="1"/>
      <c r="X64" s="1"/>
      <c r="Y64" s="1"/>
    </row>
    <row r="65" spans="1:21" x14ac:dyDescent="0.55000000000000004">
      <c r="A65" s="12" t="s">
        <v>43</v>
      </c>
      <c r="B65">
        <f t="shared" ref="B65:B106" si="3">H65</f>
        <v>0.01</v>
      </c>
      <c r="C65" s="31" t="s">
        <v>3</v>
      </c>
      <c r="E65" s="46"/>
      <c r="F65" s="47"/>
      <c r="G65" s="37" t="s">
        <v>236</v>
      </c>
      <c r="H65" s="41">
        <v>0.01</v>
      </c>
      <c r="I65" s="37" t="s">
        <v>3</v>
      </c>
    </row>
    <row r="66" spans="1:21" ht="14.7" thickBot="1" x14ac:dyDescent="0.6">
      <c r="A66" s="12" t="s">
        <v>32</v>
      </c>
      <c r="B66">
        <f t="shared" si="3"/>
        <v>19</v>
      </c>
      <c r="C66" s="31" t="s">
        <v>2</v>
      </c>
      <c r="E66" s="46"/>
      <c r="F66" s="47"/>
      <c r="G66" s="37" t="s">
        <v>238</v>
      </c>
      <c r="H66" s="41">
        <v>19</v>
      </c>
      <c r="I66" s="37" t="s">
        <v>2</v>
      </c>
    </row>
    <row r="67" spans="1:21" x14ac:dyDescent="0.55000000000000004">
      <c r="A67" s="12" t="s">
        <v>93</v>
      </c>
      <c r="B67">
        <f t="shared" si="3"/>
        <v>0</v>
      </c>
      <c r="C67" s="31" t="s">
        <v>3</v>
      </c>
      <c r="E67" s="46"/>
      <c r="F67" s="47"/>
      <c r="G67" s="37" t="s">
        <v>322</v>
      </c>
      <c r="H67" s="41">
        <v>0</v>
      </c>
      <c r="I67" s="37" t="s">
        <v>3</v>
      </c>
      <c r="K67" s="2" t="s">
        <v>128</v>
      </c>
      <c r="L67" s="3" t="s">
        <v>129</v>
      </c>
      <c r="M67" s="3" t="s">
        <v>114</v>
      </c>
      <c r="N67" s="3" t="s">
        <v>111</v>
      </c>
      <c r="O67" s="9" t="s">
        <v>1</v>
      </c>
      <c r="P67" t="s">
        <v>150</v>
      </c>
      <c r="Q67" t="s">
        <v>151</v>
      </c>
      <c r="R67" t="s">
        <v>153</v>
      </c>
      <c r="S67">
        <v>0</v>
      </c>
    </row>
    <row r="68" spans="1:21" ht="14.7" thickBot="1" x14ac:dyDescent="0.6">
      <c r="A68" s="11" t="s">
        <v>182</v>
      </c>
      <c r="B68">
        <f t="shared" si="3"/>
        <v>55</v>
      </c>
      <c r="C68" s="30" t="s">
        <v>185</v>
      </c>
      <c r="E68" s="46"/>
      <c r="F68" s="47"/>
      <c r="G68" s="37" t="s">
        <v>325</v>
      </c>
      <c r="H68" s="41">
        <v>55</v>
      </c>
      <c r="I68" s="37" t="s">
        <v>185</v>
      </c>
      <c r="K68" s="22" t="s">
        <v>120</v>
      </c>
      <c r="L68" s="1"/>
      <c r="O68" s="5"/>
      <c r="P68" s="1"/>
      <c r="Q68" s="1"/>
      <c r="R68" s="1"/>
      <c r="S68" s="1">
        <f>500*100*100/1000</f>
        <v>5000</v>
      </c>
      <c r="T68" s="1" t="s">
        <v>223</v>
      </c>
    </row>
    <row r="69" spans="1:21" x14ac:dyDescent="0.55000000000000004">
      <c r="A69" s="4" t="s">
        <v>75</v>
      </c>
      <c r="B69">
        <f t="shared" si="3"/>
        <v>4000</v>
      </c>
      <c r="C69" s="31" t="s">
        <v>224</v>
      </c>
      <c r="E69" s="46" t="s">
        <v>275</v>
      </c>
      <c r="F69" s="47" t="s">
        <v>192</v>
      </c>
      <c r="G69" s="37" t="s">
        <v>235</v>
      </c>
      <c r="H69" s="41">
        <v>4000</v>
      </c>
      <c r="I69" s="37" t="s">
        <v>224</v>
      </c>
      <c r="K69" s="4" t="s">
        <v>100</v>
      </c>
      <c r="M69">
        <f>P69/1000</f>
        <v>0</v>
      </c>
      <c r="N69">
        <f>Q69/1000</f>
        <v>20</v>
      </c>
      <c r="O69" s="5" t="e">
        <f>#REF!</f>
        <v>#REF!</v>
      </c>
      <c r="P69">
        <f>$S$67</f>
        <v>0</v>
      </c>
      <c r="Q69">
        <v>20000</v>
      </c>
      <c r="S69">
        <f>28000/10000</f>
        <v>2.8</v>
      </c>
      <c r="T69" t="s">
        <v>222</v>
      </c>
      <c r="U69" s="1"/>
    </row>
    <row r="70" spans="1:21" x14ac:dyDescent="0.55000000000000004">
      <c r="A70" s="4" t="s">
        <v>44</v>
      </c>
      <c r="B70">
        <f t="shared" si="3"/>
        <v>0.02</v>
      </c>
      <c r="C70" s="31" t="s">
        <v>3</v>
      </c>
      <c r="E70" s="46"/>
      <c r="F70" s="47"/>
      <c r="G70" s="37" t="s">
        <v>236</v>
      </c>
      <c r="H70" s="41">
        <v>0.02</v>
      </c>
      <c r="I70" s="37" t="s">
        <v>3</v>
      </c>
      <c r="K70" s="4" t="s">
        <v>101</v>
      </c>
      <c r="M70">
        <f>P70/1000</f>
        <v>0</v>
      </c>
      <c r="N70">
        <f t="shared" ref="N70" si="4">Q70/1000</f>
        <v>10</v>
      </c>
      <c r="O70" s="5" t="e">
        <f>#REF!</f>
        <v>#REF!</v>
      </c>
      <c r="P70">
        <f>$S$67</f>
        <v>0</v>
      </c>
      <c r="Q70">
        <v>10000</v>
      </c>
    </row>
    <row r="71" spans="1:21" x14ac:dyDescent="0.55000000000000004">
      <c r="A71" s="4" t="s">
        <v>45</v>
      </c>
      <c r="B71">
        <f t="shared" si="3"/>
        <v>25</v>
      </c>
      <c r="C71" s="31" t="s">
        <v>3</v>
      </c>
      <c r="E71" s="46"/>
      <c r="F71" s="47"/>
      <c r="G71" s="37" t="s">
        <v>238</v>
      </c>
      <c r="H71" s="41">
        <v>25</v>
      </c>
      <c r="I71" s="37" t="s">
        <v>3</v>
      </c>
      <c r="K71" s="4" t="s">
        <v>102</v>
      </c>
      <c r="M71">
        <v>0</v>
      </c>
      <c r="N71">
        <f>Q71/1000</f>
        <v>200</v>
      </c>
      <c r="O71" s="5" t="e">
        <f>#REF!</f>
        <v>#REF!</v>
      </c>
      <c r="P71">
        <v>500</v>
      </c>
      <c r="Q71">
        <v>200000</v>
      </c>
    </row>
    <row r="72" spans="1:21" ht="14.7" thickBot="1" x14ac:dyDescent="0.6">
      <c r="A72" s="4" t="s">
        <v>46</v>
      </c>
      <c r="B72">
        <f t="shared" si="3"/>
        <v>0.65</v>
      </c>
      <c r="C72" s="31" t="s">
        <v>3</v>
      </c>
      <c r="E72" s="46"/>
      <c r="F72" s="47"/>
      <c r="G72" s="37" t="s">
        <v>237</v>
      </c>
      <c r="H72" s="41">
        <v>0.65</v>
      </c>
      <c r="I72" s="37" t="s">
        <v>3</v>
      </c>
      <c r="K72" s="4" t="s">
        <v>121</v>
      </c>
      <c r="L72" t="s">
        <v>125</v>
      </c>
      <c r="M72">
        <v>1</v>
      </c>
      <c r="N72">
        <v>28000</v>
      </c>
      <c r="O72" s="5" t="e">
        <f>#REF!</f>
        <v>#REF!</v>
      </c>
      <c r="P72">
        <v>5</v>
      </c>
      <c r="Q72" s="24">
        <v>28000</v>
      </c>
    </row>
    <row r="73" spans="1:21" x14ac:dyDescent="0.55000000000000004">
      <c r="A73" s="10" t="s">
        <v>76</v>
      </c>
      <c r="B73">
        <f t="shared" si="3"/>
        <v>1400</v>
      </c>
      <c r="C73" s="29" t="s">
        <v>210</v>
      </c>
      <c r="E73" s="46" t="s">
        <v>276</v>
      </c>
      <c r="F73" s="47" t="s">
        <v>312</v>
      </c>
      <c r="G73" s="37" t="s">
        <v>235</v>
      </c>
      <c r="H73" s="41">
        <v>1400</v>
      </c>
      <c r="I73" s="37" t="s">
        <v>210</v>
      </c>
      <c r="K73" s="22" t="s">
        <v>119</v>
      </c>
      <c r="L73" s="1"/>
      <c r="O73" s="5"/>
      <c r="Q73" s="1"/>
      <c r="R73" s="1"/>
      <c r="S73" s="1"/>
      <c r="T73" s="1"/>
    </row>
    <row r="74" spans="1:21" x14ac:dyDescent="0.55000000000000004">
      <c r="A74" s="12" t="s">
        <v>47</v>
      </c>
      <c r="B74">
        <f t="shared" si="3"/>
        <v>0.05</v>
      </c>
      <c r="C74" s="31" t="s">
        <v>3</v>
      </c>
      <c r="E74" s="46"/>
      <c r="F74" s="47"/>
      <c r="G74" s="37" t="s">
        <v>236</v>
      </c>
      <c r="H74" s="41">
        <v>0.05</v>
      </c>
      <c r="I74" s="37" t="s">
        <v>3</v>
      </c>
      <c r="K74" s="4" t="s">
        <v>133</v>
      </c>
      <c r="L74" t="s">
        <v>115</v>
      </c>
      <c r="M74">
        <f>P74/1000</f>
        <v>0</v>
      </c>
      <c r="N74">
        <v>200</v>
      </c>
      <c r="O74" s="5" t="e">
        <f>#REF!</f>
        <v>#REF!</v>
      </c>
      <c r="P74">
        <f>$S$67</f>
        <v>0</v>
      </c>
      <c r="Q74" s="24">
        <v>1000</v>
      </c>
      <c r="U74" s="1"/>
    </row>
    <row r="75" spans="1:21" x14ac:dyDescent="0.55000000000000004">
      <c r="A75" s="12" t="s">
        <v>48</v>
      </c>
      <c r="B75">
        <f t="shared" si="3"/>
        <v>20</v>
      </c>
      <c r="C75" s="31" t="s">
        <v>3</v>
      </c>
      <c r="E75" s="46"/>
      <c r="F75" s="47"/>
      <c r="G75" s="37" t="s">
        <v>238</v>
      </c>
      <c r="H75" s="41">
        <v>20</v>
      </c>
      <c r="I75" s="37" t="s">
        <v>3</v>
      </c>
      <c r="K75" s="4"/>
      <c r="L75" t="s">
        <v>116</v>
      </c>
      <c r="M75">
        <f>P75/1000</f>
        <v>0</v>
      </c>
      <c r="N75">
        <v>200</v>
      </c>
      <c r="O75" s="5" t="e">
        <f>#REF!</f>
        <v>#REF!</v>
      </c>
      <c r="P75">
        <f>$S$67</f>
        <v>0</v>
      </c>
      <c r="Q75" s="14">
        <v>1000000</v>
      </c>
    </row>
    <row r="76" spans="1:21" x14ac:dyDescent="0.55000000000000004">
      <c r="A76" s="12" t="s">
        <v>99</v>
      </c>
      <c r="B76">
        <f t="shared" si="3"/>
        <v>1</v>
      </c>
      <c r="C76" s="31" t="s">
        <v>89</v>
      </c>
      <c r="E76" s="46"/>
      <c r="F76" s="47"/>
      <c r="G76" s="37" t="s">
        <v>300</v>
      </c>
      <c r="H76" s="41">
        <v>1</v>
      </c>
      <c r="I76" s="37" t="s">
        <v>89</v>
      </c>
      <c r="K76" s="4" t="s">
        <v>117</v>
      </c>
      <c r="M76">
        <f>P76/1000</f>
        <v>0</v>
      </c>
      <c r="N76">
        <v>200</v>
      </c>
      <c r="O76" s="5" t="e">
        <f>#REF!</f>
        <v>#REF!</v>
      </c>
      <c r="P76">
        <f>$S$67</f>
        <v>0</v>
      </c>
      <c r="Q76" s="24">
        <v>1000000</v>
      </c>
    </row>
    <row r="77" spans="1:21" x14ac:dyDescent="0.55000000000000004">
      <c r="A77" s="12" t="s">
        <v>109</v>
      </c>
      <c r="B77">
        <f t="shared" si="3"/>
        <v>8</v>
      </c>
      <c r="C77" s="31" t="s">
        <v>89</v>
      </c>
      <c r="E77" s="46"/>
      <c r="F77" s="47"/>
      <c r="G77" s="37" t="s">
        <v>323</v>
      </c>
      <c r="H77" s="41">
        <v>8</v>
      </c>
      <c r="I77" s="37" t="s">
        <v>89</v>
      </c>
      <c r="K77" s="4" t="s">
        <v>118</v>
      </c>
      <c r="L77" t="s">
        <v>125</v>
      </c>
      <c r="M77">
        <f>P77/1000</f>
        <v>0</v>
      </c>
      <c r="N77">
        <v>100</v>
      </c>
      <c r="O77" s="5" t="e">
        <f>#REF!</f>
        <v>#REF!</v>
      </c>
      <c r="P77">
        <v>0</v>
      </c>
      <c r="Q77" s="24">
        <v>1000000</v>
      </c>
    </row>
    <row r="78" spans="1:21" x14ac:dyDescent="0.55000000000000004">
      <c r="A78" s="12" t="s">
        <v>108</v>
      </c>
      <c r="B78">
        <f t="shared" si="3"/>
        <v>8</v>
      </c>
      <c r="C78" s="31" t="s">
        <v>89</v>
      </c>
      <c r="E78" s="46"/>
      <c r="F78" s="47"/>
      <c r="G78" s="37" t="s">
        <v>324</v>
      </c>
      <c r="H78" s="41">
        <v>8</v>
      </c>
      <c r="I78" s="37" t="s">
        <v>89</v>
      </c>
      <c r="K78" s="22" t="s">
        <v>122</v>
      </c>
      <c r="L78" s="1"/>
      <c r="O78" s="5"/>
      <c r="Q78" s="1"/>
      <c r="R78" s="1"/>
      <c r="S78" s="1"/>
      <c r="T78" s="1"/>
    </row>
    <row r="79" spans="1:21" x14ac:dyDescent="0.55000000000000004">
      <c r="A79" s="12" t="s">
        <v>49</v>
      </c>
      <c r="B79">
        <f t="shared" si="3"/>
        <v>0.4</v>
      </c>
      <c r="C79" s="31" t="s">
        <v>3</v>
      </c>
      <c r="E79" s="46"/>
      <c r="F79" s="47"/>
      <c r="G79" s="37" t="s">
        <v>298</v>
      </c>
      <c r="H79" s="41">
        <v>0.4</v>
      </c>
      <c r="I79" s="37" t="s">
        <v>3</v>
      </c>
      <c r="K79" s="4" t="s">
        <v>103</v>
      </c>
      <c r="M79">
        <f t="shared" ref="M79:M85" si="5">P79/1000</f>
        <v>0</v>
      </c>
      <c r="N79">
        <v>200</v>
      </c>
      <c r="O79" s="5" t="e">
        <f>#REF!</f>
        <v>#REF!</v>
      </c>
      <c r="P79">
        <f>$S$67</f>
        <v>0</v>
      </c>
      <c r="Q79" s="24">
        <v>1000000</v>
      </c>
    </row>
    <row r="80" spans="1:21" x14ac:dyDescent="0.55000000000000004">
      <c r="A80" s="12" t="s">
        <v>92</v>
      </c>
      <c r="B80">
        <f t="shared" si="3"/>
        <v>0.05</v>
      </c>
      <c r="C80" s="31" t="s">
        <v>3</v>
      </c>
      <c r="E80" s="46"/>
      <c r="F80" s="47"/>
      <c r="G80" s="37" t="s">
        <v>322</v>
      </c>
      <c r="H80" s="41">
        <v>0.05</v>
      </c>
      <c r="I80" s="37" t="s">
        <v>3</v>
      </c>
      <c r="K80" s="4" t="s">
        <v>105</v>
      </c>
      <c r="M80">
        <f t="shared" si="5"/>
        <v>0</v>
      </c>
      <c r="N80">
        <v>200</v>
      </c>
      <c r="O80" s="5" t="e">
        <f>#REF!</f>
        <v>#REF!</v>
      </c>
      <c r="P80">
        <f>$S$67</f>
        <v>0</v>
      </c>
      <c r="Q80" s="24">
        <v>1000000</v>
      </c>
    </row>
    <row r="81" spans="1:17" ht="14.7" thickBot="1" x14ac:dyDescent="0.6">
      <c r="A81" s="11" t="s">
        <v>50</v>
      </c>
      <c r="B81">
        <f t="shared" si="3"/>
        <v>0.5</v>
      </c>
      <c r="C81" s="30" t="s">
        <v>3</v>
      </c>
      <c r="E81" s="46"/>
      <c r="F81" s="47"/>
      <c r="G81" s="37" t="s">
        <v>299</v>
      </c>
      <c r="H81" s="41">
        <v>0.5</v>
      </c>
      <c r="I81" s="37" t="s">
        <v>3</v>
      </c>
      <c r="K81" s="4" t="s">
        <v>107</v>
      </c>
      <c r="L81" t="s">
        <v>124</v>
      </c>
      <c r="M81">
        <f t="shared" si="5"/>
        <v>0</v>
      </c>
      <c r="N81">
        <v>200</v>
      </c>
      <c r="O81" s="5" t="e">
        <f>#REF!</f>
        <v>#REF!</v>
      </c>
      <c r="P81">
        <f>$S$67</f>
        <v>0</v>
      </c>
      <c r="Q81" s="24">
        <v>1000000</v>
      </c>
    </row>
    <row r="82" spans="1:17" ht="14.7" thickBot="1" x14ac:dyDescent="0.6">
      <c r="A82" s="11" t="s">
        <v>219</v>
      </c>
      <c r="B82">
        <f t="shared" si="3"/>
        <v>0.6</v>
      </c>
      <c r="C82" s="30" t="s">
        <v>3</v>
      </c>
      <c r="E82" s="46"/>
      <c r="F82" s="47"/>
      <c r="G82" s="37" t="s">
        <v>326</v>
      </c>
      <c r="H82" s="41">
        <v>0.6</v>
      </c>
      <c r="I82" s="37" t="s">
        <v>3</v>
      </c>
      <c r="K82" s="4"/>
      <c r="L82" t="s">
        <v>125</v>
      </c>
      <c r="M82">
        <f t="shared" si="5"/>
        <v>0</v>
      </c>
      <c r="N82">
        <v>100</v>
      </c>
      <c r="O82" s="5" t="e">
        <f>#REF!</f>
        <v>#REF!</v>
      </c>
      <c r="P82">
        <v>0</v>
      </c>
      <c r="Q82" s="24">
        <v>1000000</v>
      </c>
    </row>
    <row r="83" spans="1:17" x14ac:dyDescent="0.55000000000000004">
      <c r="A83" s="10" t="s">
        <v>77</v>
      </c>
      <c r="B83">
        <f t="shared" si="3"/>
        <v>100</v>
      </c>
      <c r="C83" s="29" t="s">
        <v>213</v>
      </c>
      <c r="E83" s="46" t="s">
        <v>347</v>
      </c>
      <c r="F83" s="47" t="s">
        <v>313</v>
      </c>
      <c r="G83" s="37" t="s">
        <v>235</v>
      </c>
      <c r="H83" s="41">
        <v>100</v>
      </c>
      <c r="I83" s="37" t="s">
        <v>213</v>
      </c>
      <c r="K83" s="4" t="s">
        <v>123</v>
      </c>
      <c r="L83" t="s">
        <v>125</v>
      </c>
      <c r="M83">
        <f t="shared" si="5"/>
        <v>0</v>
      </c>
      <c r="N83">
        <v>100</v>
      </c>
      <c r="O83" s="5" t="e">
        <f>#REF!</f>
        <v>#REF!</v>
      </c>
      <c r="P83">
        <v>0</v>
      </c>
      <c r="Q83" s="24">
        <v>1000000</v>
      </c>
    </row>
    <row r="84" spans="1:17" x14ac:dyDescent="0.55000000000000004">
      <c r="A84" s="12" t="s">
        <v>51</v>
      </c>
      <c r="B84">
        <f t="shared" si="3"/>
        <v>0.03</v>
      </c>
      <c r="C84" s="31" t="s">
        <v>3</v>
      </c>
      <c r="E84" s="46"/>
      <c r="F84" s="47"/>
      <c r="G84" s="37" t="s">
        <v>236</v>
      </c>
      <c r="H84" s="41">
        <v>0.03</v>
      </c>
      <c r="I84" s="37" t="s">
        <v>3</v>
      </c>
      <c r="K84" s="4" t="s">
        <v>126</v>
      </c>
      <c r="L84" t="s">
        <v>124</v>
      </c>
      <c r="M84">
        <f t="shared" si="5"/>
        <v>0</v>
      </c>
      <c r="N84">
        <v>200</v>
      </c>
      <c r="O84" s="5" t="e">
        <f>#REF!</f>
        <v>#REF!</v>
      </c>
      <c r="P84">
        <f>$S$67</f>
        <v>0</v>
      </c>
      <c r="Q84" s="24">
        <v>1000000</v>
      </c>
    </row>
    <row r="85" spans="1:17" x14ac:dyDescent="0.55000000000000004">
      <c r="A85" s="12" t="s">
        <v>52</v>
      </c>
      <c r="B85">
        <f t="shared" si="3"/>
        <v>20</v>
      </c>
      <c r="C85" s="31" t="s">
        <v>2</v>
      </c>
      <c r="E85" s="46"/>
      <c r="F85" s="47"/>
      <c r="G85" s="37" t="s">
        <v>238</v>
      </c>
      <c r="H85" s="41">
        <v>20</v>
      </c>
      <c r="I85" s="37" t="s">
        <v>2</v>
      </c>
      <c r="K85" s="4" t="s">
        <v>127</v>
      </c>
      <c r="L85" t="s">
        <v>124</v>
      </c>
      <c r="M85">
        <f t="shared" si="5"/>
        <v>0</v>
      </c>
      <c r="N85">
        <v>200</v>
      </c>
      <c r="O85" s="5" t="e">
        <f>#REF!</f>
        <v>#REF!</v>
      </c>
      <c r="P85">
        <f>$S$67</f>
        <v>0</v>
      </c>
      <c r="Q85" s="24">
        <v>1000000</v>
      </c>
    </row>
    <row r="86" spans="1:17" ht="14.7" thickBot="1" x14ac:dyDescent="0.6">
      <c r="A86" s="12" t="s">
        <v>53</v>
      </c>
      <c r="B86">
        <f t="shared" si="3"/>
        <v>0.85</v>
      </c>
      <c r="C86" s="31" t="s">
        <v>3</v>
      </c>
      <c r="E86" s="46"/>
      <c r="F86" s="47"/>
      <c r="G86" s="37" t="s">
        <v>237</v>
      </c>
      <c r="H86" s="41">
        <v>0.85</v>
      </c>
      <c r="I86" s="37" t="s">
        <v>3</v>
      </c>
      <c r="K86" s="22" t="s">
        <v>154</v>
      </c>
      <c r="O86" s="5"/>
    </row>
    <row r="87" spans="1:17" x14ac:dyDescent="0.55000000000000004">
      <c r="A87" s="2" t="s">
        <v>95</v>
      </c>
      <c r="B87">
        <f t="shared" si="3"/>
        <v>400</v>
      </c>
      <c r="C87" s="29" t="s">
        <v>213</v>
      </c>
      <c r="E87" s="46" t="s">
        <v>277</v>
      </c>
      <c r="F87" s="47" t="s">
        <v>314</v>
      </c>
      <c r="G87" s="37" t="s">
        <v>235</v>
      </c>
      <c r="H87" s="41">
        <v>400</v>
      </c>
      <c r="I87" s="37" t="s">
        <v>213</v>
      </c>
      <c r="K87" s="4" t="s">
        <v>155</v>
      </c>
      <c r="M87">
        <f>P87/1000</f>
        <v>0</v>
      </c>
      <c r="N87">
        <f>Q87/1000</f>
        <v>22.5</v>
      </c>
      <c r="O87" s="5" t="s">
        <v>135</v>
      </c>
      <c r="P87">
        <v>0</v>
      </c>
      <c r="Q87">
        <v>22500</v>
      </c>
    </row>
    <row r="88" spans="1:17" x14ac:dyDescent="0.55000000000000004">
      <c r="A88" s="4" t="s">
        <v>96</v>
      </c>
      <c r="B88">
        <f t="shared" si="3"/>
        <v>0.03</v>
      </c>
      <c r="C88" s="31" t="s">
        <v>3</v>
      </c>
      <c r="E88" s="46"/>
      <c r="F88" s="47"/>
      <c r="G88" s="37" t="s">
        <v>236</v>
      </c>
      <c r="H88" s="41">
        <v>0.03</v>
      </c>
      <c r="I88" s="37" t="s">
        <v>3</v>
      </c>
      <c r="K88" s="22" t="s">
        <v>137</v>
      </c>
      <c r="O88" s="5"/>
    </row>
    <row r="89" spans="1:17" ht="14.7" thickBot="1" x14ac:dyDescent="0.6">
      <c r="A89" s="4" t="s">
        <v>97</v>
      </c>
      <c r="B89">
        <f t="shared" si="3"/>
        <v>20</v>
      </c>
      <c r="C89" s="31" t="s">
        <v>2</v>
      </c>
      <c r="E89" s="46"/>
      <c r="F89" s="47"/>
      <c r="G89" s="37" t="s">
        <v>238</v>
      </c>
      <c r="H89" s="41">
        <v>20</v>
      </c>
      <c r="I89" s="37" t="s">
        <v>2</v>
      </c>
      <c r="K89" s="6" t="s">
        <v>137</v>
      </c>
      <c r="L89" s="7"/>
      <c r="M89" s="7">
        <f>H107</f>
        <v>0</v>
      </c>
      <c r="N89" s="7">
        <f>ROUND(Q90/1000,1)</f>
        <v>5.8</v>
      </c>
      <c r="O89" s="8" t="s">
        <v>199</v>
      </c>
    </row>
    <row r="90" spans="1:17" ht="14.7" thickBot="1" x14ac:dyDescent="0.6">
      <c r="A90" s="6" t="s">
        <v>98</v>
      </c>
      <c r="B90">
        <f t="shared" si="3"/>
        <v>0.9</v>
      </c>
      <c r="C90" s="30" t="s">
        <v>3</v>
      </c>
      <c r="E90" s="46"/>
      <c r="F90" s="47"/>
      <c r="G90" s="37" t="s">
        <v>237</v>
      </c>
      <c r="H90" s="41">
        <v>0.9</v>
      </c>
      <c r="I90" s="37" t="s">
        <v>3</v>
      </c>
      <c r="Q90">
        <f>5*ROUND( (2500/2.15),0)</f>
        <v>5815</v>
      </c>
    </row>
    <row r="91" spans="1:17" ht="14.7" thickBot="1" x14ac:dyDescent="0.6">
      <c r="A91" s="10" t="s">
        <v>54</v>
      </c>
      <c r="B91">
        <f t="shared" si="3"/>
        <v>7.0000000000000007E-2</v>
      </c>
      <c r="C91" s="33" t="s">
        <v>208</v>
      </c>
      <c r="E91" s="46" t="s">
        <v>278</v>
      </c>
      <c r="F91" s="47" t="s">
        <v>315</v>
      </c>
      <c r="G91" s="37" t="s">
        <v>170</v>
      </c>
      <c r="H91" s="41">
        <v>7.0000000000000007E-2</v>
      </c>
      <c r="I91" s="37" t="s">
        <v>208</v>
      </c>
    </row>
    <row r="92" spans="1:17" ht="14.7" thickBot="1" x14ac:dyDescent="0.6">
      <c r="A92" s="12" t="s">
        <v>348</v>
      </c>
      <c r="B92">
        <f>H92</f>
        <v>0.1555</v>
      </c>
      <c r="C92" s="33" t="s">
        <v>208</v>
      </c>
      <c r="E92" s="46"/>
      <c r="F92" s="47"/>
      <c r="G92" s="37" t="s">
        <v>350</v>
      </c>
      <c r="H92" s="41">
        <f>1.555/(J92/3.6)</f>
        <v>0.1555</v>
      </c>
      <c r="I92" s="37" t="s">
        <v>208</v>
      </c>
      <c r="J92">
        <v>36</v>
      </c>
      <c r="K92" t="s">
        <v>349</v>
      </c>
    </row>
    <row r="93" spans="1:17" x14ac:dyDescent="0.55000000000000004">
      <c r="A93" s="12" t="s">
        <v>58</v>
      </c>
      <c r="B93">
        <f t="shared" si="3"/>
        <v>3.6646706586826353E-2</v>
      </c>
      <c r="C93" s="32" t="s">
        <v>208</v>
      </c>
      <c r="E93" s="46"/>
      <c r="F93" s="47"/>
      <c r="G93" s="37" t="s">
        <v>327</v>
      </c>
      <c r="H93" s="41">
        <f>L3</f>
        <v>3.6646706586826353E-2</v>
      </c>
      <c r="I93" s="37" t="s">
        <v>208</v>
      </c>
      <c r="K93" s="16" t="s">
        <v>152</v>
      </c>
      <c r="L93" s="17" t="s">
        <v>161</v>
      </c>
      <c r="M93" s="17" t="s">
        <v>160</v>
      </c>
      <c r="N93" s="18" t="s">
        <v>1</v>
      </c>
    </row>
    <row r="94" spans="1:17" x14ac:dyDescent="0.55000000000000004">
      <c r="A94" s="12" t="s">
        <v>250</v>
      </c>
      <c r="B94">
        <f t="shared" si="3"/>
        <v>0.05</v>
      </c>
      <c r="C94" s="32" t="s">
        <v>208</v>
      </c>
      <c r="E94" s="46"/>
      <c r="F94" s="47"/>
      <c r="G94" s="37" t="s">
        <v>328</v>
      </c>
      <c r="H94" s="41">
        <v>0.05</v>
      </c>
      <c r="I94" s="37" t="s">
        <v>208</v>
      </c>
      <c r="K94" s="4" t="s">
        <v>117</v>
      </c>
      <c r="L94">
        <v>0</v>
      </c>
      <c r="M94">
        <v>3.65</v>
      </c>
      <c r="N94" s="5" t="s">
        <v>157</v>
      </c>
      <c r="O94">
        <v>1000000</v>
      </c>
      <c r="Q94" s="24"/>
    </row>
    <row r="95" spans="1:17" ht="14.7" thickBot="1" x14ac:dyDescent="0.6">
      <c r="A95" s="11" t="s">
        <v>64</v>
      </c>
      <c r="B95">
        <f t="shared" si="3"/>
        <v>0.06</v>
      </c>
      <c r="C95" s="34" t="s">
        <v>208</v>
      </c>
      <c r="E95" s="46"/>
      <c r="F95" s="47"/>
      <c r="G95" s="37" t="s">
        <v>117</v>
      </c>
      <c r="H95" s="41">
        <f>L5</f>
        <v>0.06</v>
      </c>
      <c r="I95" s="37" t="s">
        <v>208</v>
      </c>
      <c r="K95" s="4" t="s">
        <v>156</v>
      </c>
      <c r="L95" s="25">
        <f>O95/1000</f>
        <v>104.85719999999999</v>
      </c>
      <c r="M95">
        <v>0</v>
      </c>
      <c r="N95" s="5" t="s">
        <v>158</v>
      </c>
      <c r="O95">
        <v>104857.2</v>
      </c>
    </row>
    <row r="96" spans="1:17" ht="14.7" thickBot="1" x14ac:dyDescent="0.6">
      <c r="A96" s="4" t="s">
        <v>232</v>
      </c>
      <c r="B96">
        <f t="shared" si="3"/>
        <v>0.05</v>
      </c>
      <c r="C96" s="5" t="s">
        <v>4</v>
      </c>
      <c r="E96" s="46"/>
      <c r="F96" s="47"/>
      <c r="G96" s="37" t="s">
        <v>329</v>
      </c>
      <c r="H96" s="41">
        <v>0.05</v>
      </c>
      <c r="I96" s="37" t="s">
        <v>4</v>
      </c>
      <c r="K96" s="6" t="s">
        <v>159</v>
      </c>
      <c r="L96" s="26">
        <f>O96/1000</f>
        <v>66430</v>
      </c>
      <c r="M96" s="7">
        <v>0</v>
      </c>
      <c r="N96" s="8" t="s">
        <v>158</v>
      </c>
      <c r="O96">
        <v>66430000</v>
      </c>
    </row>
    <row r="97" spans="1:11" x14ac:dyDescent="0.55000000000000004">
      <c r="A97" s="2" t="s">
        <v>162</v>
      </c>
      <c r="B97">
        <f t="shared" si="3"/>
        <v>1.8E-3</v>
      </c>
      <c r="C97" s="29" t="s">
        <v>214</v>
      </c>
      <c r="E97" s="46" t="s">
        <v>279</v>
      </c>
      <c r="F97" s="47" t="s">
        <v>166</v>
      </c>
      <c r="G97" s="37" t="s">
        <v>204</v>
      </c>
      <c r="H97" s="41">
        <f>1.8/1000</f>
        <v>1.8E-3</v>
      </c>
      <c r="I97" s="37" t="s">
        <v>214</v>
      </c>
    </row>
    <row r="98" spans="1:11" x14ac:dyDescent="0.55000000000000004">
      <c r="A98" s="4" t="s">
        <v>163</v>
      </c>
      <c r="B98">
        <f t="shared" si="3"/>
        <v>7.0000000000000007E-2</v>
      </c>
      <c r="C98" s="31" t="s">
        <v>165</v>
      </c>
      <c r="E98" s="46"/>
      <c r="F98" s="47"/>
      <c r="G98" s="37" t="s">
        <v>330</v>
      </c>
      <c r="H98" s="41">
        <f>7/100</f>
        <v>7.0000000000000007E-2</v>
      </c>
      <c r="I98" s="37" t="s">
        <v>165</v>
      </c>
      <c r="K98" s="27" t="s">
        <v>217</v>
      </c>
    </row>
    <row r="99" spans="1:11" ht="14.7" thickBot="1" x14ac:dyDescent="0.6">
      <c r="A99" s="6" t="s">
        <v>164</v>
      </c>
      <c r="B99">
        <f t="shared" si="3"/>
        <v>1.26E-4</v>
      </c>
      <c r="C99" s="30" t="s">
        <v>215</v>
      </c>
      <c r="E99" s="46"/>
      <c r="F99" s="47"/>
      <c r="G99" s="37" t="s">
        <v>331</v>
      </c>
      <c r="H99" s="41">
        <f>H97*H98</f>
        <v>1.26E-4</v>
      </c>
      <c r="I99" s="37" t="s">
        <v>215</v>
      </c>
    </row>
    <row r="100" spans="1:11" x14ac:dyDescent="0.55000000000000004">
      <c r="A100" s="10" t="s">
        <v>171</v>
      </c>
      <c r="B100">
        <f t="shared" si="3"/>
        <v>32</v>
      </c>
      <c r="C100" s="33" t="s">
        <v>216</v>
      </c>
      <c r="E100" s="46"/>
      <c r="F100" s="47"/>
      <c r="G100" s="37" t="s">
        <v>235</v>
      </c>
      <c r="H100" s="41">
        <v>32</v>
      </c>
      <c r="I100" s="37" t="s">
        <v>216</v>
      </c>
    </row>
    <row r="101" spans="1:11" x14ac:dyDescent="0.55000000000000004">
      <c r="A101" s="12" t="s">
        <v>173</v>
      </c>
      <c r="B101">
        <f t="shared" si="3"/>
        <v>0.03</v>
      </c>
      <c r="C101" s="32" t="s">
        <v>3</v>
      </c>
      <c r="E101" s="46"/>
      <c r="F101" s="47"/>
      <c r="G101" s="37" t="s">
        <v>236</v>
      </c>
      <c r="H101" s="41">
        <v>0.03</v>
      </c>
      <c r="I101" s="37" t="s">
        <v>3</v>
      </c>
    </row>
    <row r="102" spans="1:11" ht="14.7" thickBot="1" x14ac:dyDescent="0.6">
      <c r="A102" s="12" t="s">
        <v>174</v>
      </c>
      <c r="B102">
        <f t="shared" si="3"/>
        <v>17</v>
      </c>
      <c r="C102" s="32" t="s">
        <v>3</v>
      </c>
      <c r="E102" s="46"/>
      <c r="F102" s="47"/>
      <c r="G102" s="37" t="s">
        <v>238</v>
      </c>
      <c r="H102" s="41">
        <v>17</v>
      </c>
      <c r="I102" s="37" t="s">
        <v>3</v>
      </c>
      <c r="K102" t="s">
        <v>221</v>
      </c>
    </row>
    <row r="103" spans="1:11" x14ac:dyDescent="0.55000000000000004">
      <c r="A103" s="2" t="s">
        <v>172</v>
      </c>
      <c r="B103" s="3">
        <f t="shared" si="3"/>
        <v>48</v>
      </c>
      <c r="C103" s="9" t="s">
        <v>218</v>
      </c>
      <c r="E103" s="46" t="s">
        <v>269</v>
      </c>
      <c r="F103" s="47" t="s">
        <v>316</v>
      </c>
      <c r="G103" s="37" t="s">
        <v>235</v>
      </c>
      <c r="H103" s="41">
        <v>48</v>
      </c>
      <c r="I103" s="37" t="s">
        <v>218</v>
      </c>
    </row>
    <row r="104" spans="1:11" x14ac:dyDescent="0.55000000000000004">
      <c r="A104" s="4" t="s">
        <v>175</v>
      </c>
      <c r="B104">
        <f t="shared" si="3"/>
        <v>0.01</v>
      </c>
      <c r="C104" s="5" t="s">
        <v>3</v>
      </c>
      <c r="E104" s="46"/>
      <c r="F104" s="47"/>
      <c r="G104" s="37" t="s">
        <v>236</v>
      </c>
      <c r="H104" s="41">
        <v>0.01</v>
      </c>
      <c r="I104" s="37" t="s">
        <v>3</v>
      </c>
    </row>
    <row r="105" spans="1:11" x14ac:dyDescent="0.55000000000000004">
      <c r="A105" s="4" t="s">
        <v>176</v>
      </c>
      <c r="B105">
        <f t="shared" si="3"/>
        <v>17</v>
      </c>
      <c r="C105" s="5" t="s">
        <v>3</v>
      </c>
      <c r="E105" s="46"/>
      <c r="F105" s="47"/>
      <c r="G105" s="37" t="s">
        <v>238</v>
      </c>
      <c r="H105" s="41">
        <v>17</v>
      </c>
      <c r="I105" s="37" t="s">
        <v>3</v>
      </c>
      <c r="K105" t="s">
        <v>187</v>
      </c>
    </row>
    <row r="106" spans="1:11" x14ac:dyDescent="0.55000000000000004">
      <c r="A106" s="4" t="s">
        <v>191</v>
      </c>
      <c r="B106">
        <f t="shared" si="3"/>
        <v>35</v>
      </c>
      <c r="C106" s="5" t="s">
        <v>181</v>
      </c>
      <c r="E106" s="46"/>
      <c r="F106" s="47"/>
      <c r="G106" s="37" t="s">
        <v>332</v>
      </c>
      <c r="H106" s="41">
        <v>35</v>
      </c>
      <c r="I106" s="37" t="s">
        <v>181</v>
      </c>
      <c r="K106" t="s">
        <v>189</v>
      </c>
    </row>
    <row r="107" spans="1:11" x14ac:dyDescent="0.55000000000000004">
      <c r="A107" s="4" t="s">
        <v>10</v>
      </c>
      <c r="B107">
        <f t="shared" ref="B107:B132" si="6">H107</f>
        <v>0</v>
      </c>
      <c r="C107" s="5" t="s">
        <v>135</v>
      </c>
      <c r="E107" s="46"/>
      <c r="F107" s="47"/>
      <c r="G107" s="37" t="s">
        <v>333</v>
      </c>
      <c r="H107" s="41">
        <v>0</v>
      </c>
      <c r="I107" s="37" t="s">
        <v>135</v>
      </c>
    </row>
    <row r="108" spans="1:11" x14ac:dyDescent="0.55000000000000004">
      <c r="A108" s="4" t="s">
        <v>11</v>
      </c>
      <c r="B108">
        <f t="shared" si="6"/>
        <v>5.0000000000000001E-3</v>
      </c>
      <c r="C108" s="5" t="s">
        <v>135</v>
      </c>
      <c r="E108" s="46"/>
      <c r="F108" s="47"/>
      <c r="G108" s="37" t="s">
        <v>334</v>
      </c>
      <c r="H108" s="41">
        <f>5/1000</f>
        <v>5.0000000000000001E-3</v>
      </c>
      <c r="I108" s="37" t="s">
        <v>135</v>
      </c>
    </row>
    <row r="109" spans="1:11" ht="14.7" thickBot="1" x14ac:dyDescent="0.6">
      <c r="A109" s="6" t="s">
        <v>201</v>
      </c>
      <c r="B109" s="7">
        <f t="shared" si="6"/>
        <v>1.75E-4</v>
      </c>
      <c r="C109" s="8" t="s">
        <v>198</v>
      </c>
      <c r="E109" s="46"/>
      <c r="F109" s="47"/>
      <c r="G109" s="37" t="s">
        <v>335</v>
      </c>
      <c r="H109" s="41">
        <f>17.5/100/1000</f>
        <v>1.75E-4</v>
      </c>
      <c r="I109" s="37" t="s">
        <v>198</v>
      </c>
    </row>
    <row r="110" spans="1:11" x14ac:dyDescent="0.55000000000000004">
      <c r="A110" s="33" t="s">
        <v>183</v>
      </c>
      <c r="B110">
        <f t="shared" si="6"/>
        <v>0.15</v>
      </c>
      <c r="C110" s="32" t="s">
        <v>200</v>
      </c>
      <c r="E110" s="46" t="s">
        <v>280</v>
      </c>
      <c r="F110" s="47" t="s">
        <v>317</v>
      </c>
      <c r="G110" s="37" t="s">
        <v>336</v>
      </c>
      <c r="H110" s="41">
        <v>0.15</v>
      </c>
      <c r="I110" s="37" t="s">
        <v>200</v>
      </c>
      <c r="K110" s="27" t="s">
        <v>231</v>
      </c>
    </row>
    <row r="111" spans="1:11" x14ac:dyDescent="0.55000000000000004">
      <c r="A111" s="32" t="s">
        <v>285</v>
      </c>
      <c r="B111">
        <f t="shared" si="6"/>
        <v>17</v>
      </c>
      <c r="C111" s="32" t="s">
        <v>185</v>
      </c>
      <c r="E111" s="46"/>
      <c r="F111" s="47"/>
      <c r="G111" s="37" t="s">
        <v>337</v>
      </c>
      <c r="H111" s="41">
        <v>17</v>
      </c>
      <c r="I111" s="37" t="s">
        <v>185</v>
      </c>
      <c r="K111" s="27"/>
    </row>
    <row r="112" spans="1:11" x14ac:dyDescent="0.55000000000000004">
      <c r="A112" s="32" t="s">
        <v>286</v>
      </c>
      <c r="B112">
        <f t="shared" si="6"/>
        <v>21</v>
      </c>
      <c r="C112" s="32" t="s">
        <v>185</v>
      </c>
      <c r="E112" s="46"/>
      <c r="F112" s="47"/>
      <c r="G112" s="37" t="s">
        <v>338</v>
      </c>
      <c r="H112" s="41">
        <v>21</v>
      </c>
      <c r="I112" s="37" t="s">
        <v>185</v>
      </c>
      <c r="K112" s="27"/>
    </row>
    <row r="113" spans="1:12" x14ac:dyDescent="0.55000000000000004">
      <c r="A113" s="32" t="s">
        <v>184</v>
      </c>
      <c r="B113">
        <f t="shared" si="6"/>
        <v>21</v>
      </c>
      <c r="C113" s="32" t="s">
        <v>185</v>
      </c>
      <c r="E113" s="46"/>
      <c r="F113" s="47"/>
      <c r="G113" s="37" t="s">
        <v>339</v>
      </c>
      <c r="H113" s="41">
        <v>21</v>
      </c>
      <c r="I113" s="37" t="s">
        <v>185</v>
      </c>
    </row>
    <row r="114" spans="1:12" x14ac:dyDescent="0.55000000000000004">
      <c r="A114" s="32" t="s">
        <v>186</v>
      </c>
      <c r="B114">
        <f t="shared" si="6"/>
        <v>1.08</v>
      </c>
      <c r="C114" s="32" t="s">
        <v>3</v>
      </c>
      <c r="E114" s="46"/>
      <c r="F114" s="47"/>
      <c r="G114" s="37" t="s">
        <v>340</v>
      </c>
      <c r="H114" s="41">
        <v>1.08</v>
      </c>
      <c r="I114" s="37" t="s">
        <v>3</v>
      </c>
    </row>
    <row r="115" spans="1:12" ht="14.7" thickBot="1" x14ac:dyDescent="0.6">
      <c r="A115" s="32" t="s">
        <v>188</v>
      </c>
      <c r="B115">
        <f t="shared" si="6"/>
        <v>2.1</v>
      </c>
      <c r="C115" s="32" t="s">
        <v>190</v>
      </c>
      <c r="E115" s="46"/>
      <c r="F115" s="47"/>
      <c r="G115" s="37" t="s">
        <v>341</v>
      </c>
      <c r="H115" s="41">
        <v>2.1</v>
      </c>
      <c r="I115" s="37" t="s">
        <v>190</v>
      </c>
      <c r="K115" t="s">
        <v>231</v>
      </c>
    </row>
    <row r="116" spans="1:12" x14ac:dyDescent="0.55000000000000004">
      <c r="A116" s="29" t="s">
        <v>227</v>
      </c>
      <c r="B116" s="3">
        <f t="shared" si="6"/>
        <v>1000</v>
      </c>
      <c r="C116" s="9" t="s">
        <v>226</v>
      </c>
      <c r="E116" s="46" t="s">
        <v>281</v>
      </c>
      <c r="F116" s="47" t="s">
        <v>318</v>
      </c>
      <c r="G116" s="37" t="s">
        <v>235</v>
      </c>
      <c r="H116" s="41">
        <v>1000</v>
      </c>
      <c r="I116" s="37" t="s">
        <v>226</v>
      </c>
    </row>
    <row r="117" spans="1:12" x14ac:dyDescent="0.55000000000000004">
      <c r="A117" s="31" t="s">
        <v>228</v>
      </c>
      <c r="B117">
        <f t="shared" si="6"/>
        <v>0</v>
      </c>
      <c r="C117" s="5" t="s">
        <v>3</v>
      </c>
      <c r="E117" s="46"/>
      <c r="F117" s="47"/>
      <c r="G117" s="37" t="s">
        <v>236</v>
      </c>
      <c r="H117" s="41">
        <v>0</v>
      </c>
      <c r="I117" s="37" t="s">
        <v>3</v>
      </c>
    </row>
    <row r="118" spans="1:12" x14ac:dyDescent="0.55000000000000004">
      <c r="A118" s="31" t="s">
        <v>229</v>
      </c>
      <c r="B118">
        <f t="shared" si="6"/>
        <v>1</v>
      </c>
      <c r="C118" s="5" t="s">
        <v>3</v>
      </c>
      <c r="E118" s="46"/>
      <c r="F118" s="47"/>
      <c r="G118" s="37" t="s">
        <v>237</v>
      </c>
      <c r="H118" s="41">
        <v>1</v>
      </c>
      <c r="I118" s="37" t="s">
        <v>3</v>
      </c>
    </row>
    <row r="119" spans="1:12" ht="14.7" thickBot="1" x14ac:dyDescent="0.6">
      <c r="A119" s="31" t="s">
        <v>230</v>
      </c>
      <c r="B119">
        <f t="shared" si="6"/>
        <v>30</v>
      </c>
      <c r="C119" s="5" t="s">
        <v>2</v>
      </c>
      <c r="E119" s="46"/>
      <c r="F119" s="47"/>
      <c r="G119" s="37" t="s">
        <v>238</v>
      </c>
      <c r="H119" s="41">
        <v>30</v>
      </c>
      <c r="I119" s="37" t="s">
        <v>2</v>
      </c>
      <c r="K119" t="s">
        <v>249</v>
      </c>
    </row>
    <row r="120" spans="1:12" x14ac:dyDescent="0.55000000000000004">
      <c r="A120" s="29" t="s">
        <v>251</v>
      </c>
      <c r="B120" s="3">
        <f t="shared" si="6"/>
        <v>400</v>
      </c>
      <c r="C120" s="29" t="s">
        <v>213</v>
      </c>
      <c r="E120" s="46" t="s">
        <v>282</v>
      </c>
      <c r="F120" s="47" t="s">
        <v>319</v>
      </c>
      <c r="G120" s="37" t="s">
        <v>235</v>
      </c>
      <c r="H120" s="41">
        <v>400</v>
      </c>
      <c r="I120" s="37" t="s">
        <v>213</v>
      </c>
    </row>
    <row r="121" spans="1:12" x14ac:dyDescent="0.55000000000000004">
      <c r="A121" s="31" t="s">
        <v>252</v>
      </c>
      <c r="B121">
        <f t="shared" si="6"/>
        <v>1.4999999999999999E-2</v>
      </c>
      <c r="C121" s="5" t="s">
        <v>3</v>
      </c>
      <c r="E121" s="46"/>
      <c r="F121" s="47"/>
      <c r="G121" s="37" t="s">
        <v>236</v>
      </c>
      <c r="H121" s="41">
        <v>1.4999999999999999E-2</v>
      </c>
      <c r="I121" s="37" t="s">
        <v>3</v>
      </c>
    </row>
    <row r="122" spans="1:12" x14ac:dyDescent="0.55000000000000004">
      <c r="A122" s="31" t="s">
        <v>253</v>
      </c>
      <c r="B122">
        <f t="shared" si="6"/>
        <v>0.9</v>
      </c>
      <c r="C122" s="5" t="s">
        <v>3</v>
      </c>
      <c r="E122" s="46"/>
      <c r="F122" s="47"/>
      <c r="G122" s="37" t="s">
        <v>237</v>
      </c>
      <c r="H122" s="41">
        <v>0.9</v>
      </c>
      <c r="I122" s="37" t="s">
        <v>3</v>
      </c>
    </row>
    <row r="123" spans="1:12" ht="14.7" thickBot="1" x14ac:dyDescent="0.6">
      <c r="A123" s="30" t="s">
        <v>254</v>
      </c>
      <c r="B123" s="7">
        <f t="shared" si="6"/>
        <v>20</v>
      </c>
      <c r="C123" s="8" t="s">
        <v>2</v>
      </c>
      <c r="E123" s="46"/>
      <c r="F123" s="47"/>
      <c r="G123" s="37" t="s">
        <v>238</v>
      </c>
      <c r="H123" s="41">
        <v>20</v>
      </c>
      <c r="I123" s="37" t="s">
        <v>2</v>
      </c>
    </row>
    <row r="124" spans="1:12" x14ac:dyDescent="0.55000000000000004">
      <c r="A124" s="32" t="s">
        <v>245</v>
      </c>
      <c r="B124">
        <f t="shared" si="6"/>
        <v>100</v>
      </c>
      <c r="C124" s="31" t="s">
        <v>213</v>
      </c>
      <c r="E124" s="46" t="s">
        <v>283</v>
      </c>
      <c r="F124" s="47" t="s">
        <v>320</v>
      </c>
      <c r="G124" s="37" t="s">
        <v>235</v>
      </c>
      <c r="H124" s="41">
        <v>100</v>
      </c>
      <c r="I124" s="37" t="s">
        <v>213</v>
      </c>
    </row>
    <row r="125" spans="1:12" x14ac:dyDescent="0.55000000000000004">
      <c r="A125" s="32" t="s">
        <v>246</v>
      </c>
      <c r="B125">
        <f t="shared" si="6"/>
        <v>0.03</v>
      </c>
      <c r="C125" s="31" t="s">
        <v>3</v>
      </c>
      <c r="E125" s="46"/>
      <c r="F125" s="47"/>
      <c r="G125" s="37" t="s">
        <v>236</v>
      </c>
      <c r="H125" s="41">
        <v>0.03</v>
      </c>
      <c r="I125" s="37" t="s">
        <v>3</v>
      </c>
    </row>
    <row r="126" spans="1:12" x14ac:dyDescent="0.55000000000000004">
      <c r="A126" s="32" t="s">
        <v>247</v>
      </c>
      <c r="B126">
        <f t="shared" si="6"/>
        <v>20</v>
      </c>
      <c r="C126" s="31" t="s">
        <v>2</v>
      </c>
      <c r="E126" s="46"/>
      <c r="F126" s="47"/>
      <c r="G126" s="37" t="s">
        <v>237</v>
      </c>
      <c r="H126" s="41">
        <v>20</v>
      </c>
      <c r="I126" s="37" t="s">
        <v>2</v>
      </c>
    </row>
    <row r="127" spans="1:12" ht="14.7" thickBot="1" x14ac:dyDescent="0.6">
      <c r="A127" s="32" t="s">
        <v>248</v>
      </c>
      <c r="B127">
        <f t="shared" si="6"/>
        <v>0.98</v>
      </c>
      <c r="C127" s="31" t="s">
        <v>3</v>
      </c>
      <c r="E127" s="46"/>
      <c r="F127" s="47"/>
      <c r="G127" s="37" t="s">
        <v>238</v>
      </c>
      <c r="H127" s="41">
        <v>0.98</v>
      </c>
      <c r="I127" s="37" t="s">
        <v>3</v>
      </c>
    </row>
    <row r="128" spans="1:12" x14ac:dyDescent="0.55000000000000004">
      <c r="A128" s="29" t="s">
        <v>255</v>
      </c>
      <c r="B128" s="3">
        <f t="shared" si="6"/>
        <v>350</v>
      </c>
      <c r="C128" s="9" t="s">
        <v>213</v>
      </c>
      <c r="E128" s="47" t="s">
        <v>284</v>
      </c>
      <c r="F128" s="47" t="s">
        <v>321</v>
      </c>
      <c r="G128" s="37" t="s">
        <v>235</v>
      </c>
      <c r="H128" s="41">
        <v>350</v>
      </c>
      <c r="I128" s="37" t="s">
        <v>213</v>
      </c>
      <c r="K128" t="s">
        <v>231</v>
      </c>
      <c r="L128" t="s">
        <v>260</v>
      </c>
    </row>
    <row r="129" spans="1:15" x14ac:dyDescent="0.55000000000000004">
      <c r="A129" s="31" t="s">
        <v>256</v>
      </c>
      <c r="B129">
        <f t="shared" si="6"/>
        <v>0.02</v>
      </c>
      <c r="C129" s="5" t="s">
        <v>3</v>
      </c>
      <c r="E129" s="47"/>
      <c r="F129" s="47"/>
      <c r="G129" s="37" t="s">
        <v>236</v>
      </c>
      <c r="H129" s="41">
        <v>0.02</v>
      </c>
      <c r="I129" s="37" t="s">
        <v>3</v>
      </c>
    </row>
    <row r="130" spans="1:15" x14ac:dyDescent="0.55000000000000004">
      <c r="A130" s="31" t="s">
        <v>257</v>
      </c>
      <c r="B130">
        <f t="shared" si="6"/>
        <v>0.85</v>
      </c>
      <c r="C130" s="5" t="s">
        <v>3</v>
      </c>
      <c r="E130" s="47"/>
      <c r="F130" s="47"/>
      <c r="G130" s="37" t="s">
        <v>237</v>
      </c>
      <c r="H130" s="41">
        <v>0.85</v>
      </c>
      <c r="I130" s="37" t="s">
        <v>3</v>
      </c>
      <c r="K130" t="s">
        <v>231</v>
      </c>
    </row>
    <row r="131" spans="1:15" x14ac:dyDescent="0.55000000000000004">
      <c r="A131" s="31" t="s">
        <v>258</v>
      </c>
      <c r="B131">
        <f t="shared" si="6"/>
        <v>20</v>
      </c>
      <c r="C131" s="5" t="s">
        <v>2</v>
      </c>
      <c r="E131" s="47"/>
      <c r="F131" s="47"/>
      <c r="G131" s="37" t="s">
        <v>238</v>
      </c>
      <c r="H131" s="41">
        <v>20</v>
      </c>
      <c r="I131" s="37" t="s">
        <v>2</v>
      </c>
    </row>
    <row r="132" spans="1:15" ht="14.7" thickBot="1" x14ac:dyDescent="0.6">
      <c r="A132" s="30" t="s">
        <v>259</v>
      </c>
      <c r="B132" s="7">
        <f t="shared" si="6"/>
        <v>0.11</v>
      </c>
      <c r="C132" s="8" t="s">
        <v>63</v>
      </c>
      <c r="E132" s="47"/>
      <c r="F132" s="47"/>
      <c r="G132" s="37" t="s">
        <v>388</v>
      </c>
      <c r="H132" s="41">
        <v>0.11</v>
      </c>
      <c r="I132" s="37" t="s">
        <v>63</v>
      </c>
    </row>
    <row r="133" spans="1:15" ht="14.7" thickBot="1" x14ac:dyDescent="0.6">
      <c r="A133" s="29" t="str">
        <f>G133</f>
        <v>d_boiler_capex</v>
      </c>
      <c r="B133" s="3">
        <f>H133</f>
        <v>120</v>
      </c>
      <c r="C133" s="9" t="str">
        <f>I133</f>
        <v>[k€/MWth]</v>
      </c>
      <c r="E133" s="48" t="s">
        <v>351</v>
      </c>
      <c r="F133" s="48" t="s">
        <v>352</v>
      </c>
      <c r="G133" s="37" t="s">
        <v>354</v>
      </c>
      <c r="H133" s="41">
        <v>120</v>
      </c>
      <c r="I133" s="37" t="s">
        <v>213</v>
      </c>
      <c r="J133" t="s">
        <v>353</v>
      </c>
    </row>
    <row r="134" spans="1:15" ht="14.7" thickBot="1" x14ac:dyDescent="0.6">
      <c r="A134" s="29" t="str">
        <f t="shared" ref="A134:A136" si="7">G134</f>
        <v>d_boiler_om</v>
      </c>
      <c r="B134">
        <f t="shared" ref="B134:B136" si="8">H134</f>
        <v>0.02</v>
      </c>
      <c r="C134" s="5" t="str">
        <f t="shared" ref="C134:C136" si="9">I134</f>
        <v>[-]</v>
      </c>
      <c r="E134" s="48"/>
      <c r="F134" s="48"/>
      <c r="G134" s="37" t="s">
        <v>355</v>
      </c>
      <c r="H134" s="41">
        <v>0.02</v>
      </c>
      <c r="I134" s="37" t="s">
        <v>3</v>
      </c>
    </row>
    <row r="135" spans="1:15" ht="14.7" thickBot="1" x14ac:dyDescent="0.6">
      <c r="A135" s="29" t="str">
        <f t="shared" si="7"/>
        <v>d_boiler_eff</v>
      </c>
      <c r="B135">
        <f t="shared" si="8"/>
        <v>0.85</v>
      </c>
      <c r="C135" s="5" t="str">
        <f t="shared" si="9"/>
        <v>[-]</v>
      </c>
      <c r="E135" s="48"/>
      <c r="F135" s="48"/>
      <c r="G135" s="37" t="s">
        <v>356</v>
      </c>
      <c r="H135" s="41">
        <v>0.85</v>
      </c>
      <c r="I135" s="37" t="s">
        <v>3</v>
      </c>
    </row>
    <row r="136" spans="1:15" ht="14.7" thickBot="1" x14ac:dyDescent="0.6">
      <c r="A136" s="29" t="str">
        <f t="shared" si="7"/>
        <v>d_boiler_lt</v>
      </c>
      <c r="B136" s="7">
        <f t="shared" si="8"/>
        <v>20</v>
      </c>
      <c r="C136" s="8" t="str">
        <f t="shared" si="9"/>
        <v>[years]</v>
      </c>
      <c r="E136" s="48"/>
      <c r="F136" s="48"/>
      <c r="G136" s="37" t="s">
        <v>357</v>
      </c>
      <c r="H136" s="41">
        <v>20</v>
      </c>
      <c r="I136" s="37" t="s">
        <v>2</v>
      </c>
    </row>
    <row r="137" spans="1:15" x14ac:dyDescent="0.55000000000000004">
      <c r="E137" s="1"/>
      <c r="F137" s="1"/>
    </row>
    <row r="141" spans="1:15" x14ac:dyDescent="0.55000000000000004">
      <c r="F141" s="35" t="s">
        <v>128</v>
      </c>
      <c r="G141" s="40" t="str">
        <f t="shared" ref="G141:I141" si="10">G1</f>
        <v>Parameter</v>
      </c>
      <c r="H141" s="40" t="str">
        <f t="shared" si="10"/>
        <v>Value</v>
      </c>
      <c r="I141" s="40" t="str">
        <f t="shared" si="10"/>
        <v>Unit</v>
      </c>
      <c r="J141" s="40" t="s">
        <v>346</v>
      </c>
      <c r="K141" s="35" t="s">
        <v>128</v>
      </c>
      <c r="L141" s="35" t="s">
        <v>0</v>
      </c>
      <c r="M141" s="35" t="s">
        <v>149</v>
      </c>
      <c r="N141" s="35" t="s">
        <v>1</v>
      </c>
      <c r="O141" s="35" t="s">
        <v>346</v>
      </c>
    </row>
    <row r="142" spans="1:15" x14ac:dyDescent="0.55000000000000004">
      <c r="F142" s="47" t="s">
        <v>287</v>
      </c>
      <c r="G142" s="45" t="str">
        <f t="shared" ref="G142:I169" si="11">G2</f>
        <v>Discount rate</v>
      </c>
      <c r="H142" s="45">
        <f>H2</f>
        <v>7.0000000000000007E-2</v>
      </c>
      <c r="I142" s="45" t="str">
        <f t="shared" si="11"/>
        <v>[-]</v>
      </c>
      <c r="J142" s="40"/>
      <c r="K142" s="47" t="s">
        <v>312</v>
      </c>
      <c r="L142" s="44" t="str">
        <f t="shared" ref="L142:L160" si="12">G73</f>
        <v>CAPEX</v>
      </c>
      <c r="M142" s="37">
        <f t="shared" ref="M142:M160" si="13">H73</f>
        <v>1400</v>
      </c>
      <c r="N142" s="37" t="str">
        <f t="shared" ref="N142:N160" si="14">I73</f>
        <v>[k€/MWe]</v>
      </c>
      <c r="O142" s="37"/>
    </row>
    <row r="143" spans="1:15" x14ac:dyDescent="0.55000000000000004">
      <c r="F143" s="47"/>
      <c r="G143" s="45" t="str">
        <f t="shared" si="11"/>
        <v>Project lifetime</v>
      </c>
      <c r="H143" s="45">
        <f t="shared" si="11"/>
        <v>30</v>
      </c>
      <c r="I143" s="45" t="str">
        <f t="shared" si="11"/>
        <v>[years]</v>
      </c>
      <c r="J143" s="40"/>
      <c r="K143" s="47"/>
      <c r="L143" s="44" t="str">
        <f t="shared" si="12"/>
        <v>O\&amp;M</v>
      </c>
      <c r="M143" s="37">
        <f t="shared" si="13"/>
        <v>0.05</v>
      </c>
      <c r="N143" s="37" t="str">
        <f t="shared" si="14"/>
        <v>[-]</v>
      </c>
      <c r="O143" s="37"/>
    </row>
    <row r="144" spans="1:15" x14ac:dyDescent="0.55000000000000004">
      <c r="F144" s="47" t="s">
        <v>288</v>
      </c>
      <c r="G144" s="45" t="str">
        <f t="shared" si="11"/>
        <v>CAPEX</v>
      </c>
      <c r="H144" s="45">
        <f t="shared" si="11"/>
        <v>1100</v>
      </c>
      <c r="I144" s="45" t="str">
        <f t="shared" si="11"/>
        <v>[k€/MWp]</v>
      </c>
      <c r="J144" s="40"/>
      <c r="K144" s="47"/>
      <c r="L144" s="44" t="str">
        <f t="shared" si="12"/>
        <v>Lifetime</v>
      </c>
      <c r="M144" s="37">
        <f t="shared" si="13"/>
        <v>20</v>
      </c>
      <c r="N144" s="37" t="str">
        <f t="shared" si="14"/>
        <v>[-]</v>
      </c>
      <c r="O144" s="37"/>
    </row>
    <row r="145" spans="6:15" x14ac:dyDescent="0.55000000000000004">
      <c r="F145" s="47"/>
      <c r="G145" s="45" t="str">
        <f t="shared" si="11"/>
        <v>O\&amp;M</v>
      </c>
      <c r="H145" s="45">
        <f t="shared" si="11"/>
        <v>0.02</v>
      </c>
      <c r="I145" s="45" t="str">
        <f t="shared" si="11"/>
        <v>[-]</v>
      </c>
      <c r="J145" s="40"/>
      <c r="K145" s="47"/>
      <c r="L145" s="44" t="str">
        <f t="shared" si="12"/>
        <v>Ramp rate</v>
      </c>
      <c r="M145" s="37">
        <f t="shared" si="13"/>
        <v>1</v>
      </c>
      <c r="N145" s="37" t="str">
        <f t="shared" si="14"/>
        <v>[h]</v>
      </c>
      <c r="O145" s="37"/>
    </row>
    <row r="146" spans="6:15" x14ac:dyDescent="0.55000000000000004">
      <c r="F146" s="47"/>
      <c r="G146" s="45" t="str">
        <f t="shared" si="11"/>
        <v>Lifetime</v>
      </c>
      <c r="H146" s="45">
        <f t="shared" si="11"/>
        <v>30</v>
      </c>
      <c r="I146" s="45" t="str">
        <f t="shared" si="11"/>
        <v>[years]</v>
      </c>
      <c r="J146" s="40"/>
      <c r="K146" s="47"/>
      <c r="L146" s="44" t="str">
        <f t="shared" si="12"/>
        <v>Minimum uptime</v>
      </c>
      <c r="M146" s="37">
        <f t="shared" si="13"/>
        <v>8</v>
      </c>
      <c r="N146" s="37" t="str">
        <f t="shared" si="14"/>
        <v>[h]</v>
      </c>
      <c r="O146" s="37"/>
    </row>
    <row r="147" spans="6:15" x14ac:dyDescent="0.55000000000000004">
      <c r="F147" s="47" t="s">
        <v>101</v>
      </c>
      <c r="G147" s="45" t="str">
        <f t="shared" si="11"/>
        <v>CAPEX</v>
      </c>
      <c r="H147" s="45">
        <f t="shared" si="11"/>
        <v>1700</v>
      </c>
      <c r="I147" s="45" t="str">
        <f t="shared" si="11"/>
        <v>[k€/MWp]</v>
      </c>
      <c r="J147" s="40"/>
      <c r="K147" s="47"/>
      <c r="L147" s="44" t="str">
        <f t="shared" si="12"/>
        <v>Minimum downtime</v>
      </c>
      <c r="M147" s="37">
        <f t="shared" si="13"/>
        <v>8</v>
      </c>
      <c r="N147" s="37" t="str">
        <f t="shared" si="14"/>
        <v>[h]</v>
      </c>
      <c r="O147" s="37"/>
    </row>
    <row r="148" spans="6:15" x14ac:dyDescent="0.55000000000000004">
      <c r="F148" s="47"/>
      <c r="G148" s="45" t="str">
        <f t="shared" si="11"/>
        <v>O\&amp;M</v>
      </c>
      <c r="H148" s="45">
        <f t="shared" si="11"/>
        <v>2.5000000000000001E-2</v>
      </c>
      <c r="I148" s="45" t="str">
        <f t="shared" si="11"/>
        <v>[-]</v>
      </c>
      <c r="J148" s="40"/>
      <c r="K148" s="47"/>
      <c r="L148" s="44" t="str">
        <f t="shared" si="12"/>
        <v>Electrical efficiency</v>
      </c>
      <c r="M148" s="37">
        <f t="shared" si="13"/>
        <v>0.4</v>
      </c>
      <c r="N148" s="37" t="str">
        <f t="shared" si="14"/>
        <v>[-]</v>
      </c>
      <c r="O148" s="37"/>
    </row>
    <row r="149" spans="6:15" x14ac:dyDescent="0.55000000000000004">
      <c r="F149" s="47"/>
      <c r="G149" s="45" t="str">
        <f t="shared" si="11"/>
        <v>Lifetime</v>
      </c>
      <c r="H149" s="45">
        <f t="shared" si="11"/>
        <v>27</v>
      </c>
      <c r="I149" s="45" t="str">
        <f t="shared" si="11"/>
        <v>[years]</v>
      </c>
      <c r="J149" s="40"/>
      <c r="K149" s="47"/>
      <c r="L149" s="44" t="str">
        <f t="shared" si="12"/>
        <v>Minimum part load ratio</v>
      </c>
      <c r="M149" s="37">
        <f t="shared" si="13"/>
        <v>0.05</v>
      </c>
      <c r="N149" s="37" t="str">
        <f t="shared" si="14"/>
        <v>[-]</v>
      </c>
      <c r="O149" s="37"/>
    </row>
    <row r="150" spans="6:15" x14ac:dyDescent="0.55000000000000004">
      <c r="F150" s="47" t="s">
        <v>102</v>
      </c>
      <c r="G150" s="45" t="str">
        <f t="shared" si="11"/>
        <v>CAPEX</v>
      </c>
      <c r="H150" s="45">
        <f t="shared" si="11"/>
        <v>2700</v>
      </c>
      <c r="I150" s="45" t="str">
        <f t="shared" si="11"/>
        <v>[k€/MWp]</v>
      </c>
      <c r="J150" s="40"/>
      <c r="K150" s="47"/>
      <c r="L150" s="44" t="str">
        <f t="shared" si="12"/>
        <v>Thermal efficiency</v>
      </c>
      <c r="M150" s="37">
        <f t="shared" si="13"/>
        <v>0.5</v>
      </c>
      <c r="N150" s="37" t="str">
        <f t="shared" si="14"/>
        <v>[-]</v>
      </c>
      <c r="O150" s="37"/>
    </row>
    <row r="151" spans="6:15" x14ac:dyDescent="0.55000000000000004">
      <c r="F151" s="47"/>
      <c r="G151" s="45" t="str">
        <f t="shared" si="11"/>
        <v>O\&amp;M</v>
      </c>
      <c r="H151" s="45">
        <f t="shared" si="11"/>
        <v>2.5000000000000001E-2</v>
      </c>
      <c r="I151" s="45" t="str">
        <f t="shared" si="11"/>
        <v>[-]</v>
      </c>
      <c r="J151" s="40"/>
      <c r="K151" s="47"/>
      <c r="L151" s="44" t="str">
        <f t="shared" si="12"/>
        <v>Max hydrogen share</v>
      </c>
      <c r="M151" s="37">
        <f t="shared" si="13"/>
        <v>0.6</v>
      </c>
      <c r="N151" s="37" t="str">
        <f t="shared" si="14"/>
        <v>[-]</v>
      </c>
      <c r="O151" s="37"/>
    </row>
    <row r="152" spans="6:15" x14ac:dyDescent="0.55000000000000004">
      <c r="F152" s="47"/>
      <c r="G152" s="45" t="str">
        <f t="shared" si="11"/>
        <v>Lifetime</v>
      </c>
      <c r="H152" s="45">
        <f t="shared" si="11"/>
        <v>27</v>
      </c>
      <c r="I152" s="45" t="str">
        <f t="shared" si="11"/>
        <v>[years]</v>
      </c>
      <c r="J152" s="40"/>
      <c r="K152" s="47" t="s">
        <v>313</v>
      </c>
      <c r="L152" s="44" t="str">
        <f t="shared" si="12"/>
        <v>CAPEX</v>
      </c>
      <c r="M152" s="37">
        <f t="shared" si="13"/>
        <v>100</v>
      </c>
      <c r="N152" s="37" t="str">
        <f t="shared" si="14"/>
        <v>[k€/MWth]</v>
      </c>
      <c r="O152" s="37"/>
    </row>
    <row r="153" spans="6:15" x14ac:dyDescent="0.55000000000000004">
      <c r="F153" s="47" t="s">
        <v>306</v>
      </c>
      <c r="G153" s="45" t="str">
        <f t="shared" si="11"/>
        <v>Energy capacity - CAPEX</v>
      </c>
      <c r="H153" s="45">
        <f t="shared" si="11"/>
        <v>200</v>
      </c>
      <c r="I153" s="45" t="str">
        <f t="shared" si="11"/>
        <v>[k€/MWh]</v>
      </c>
      <c r="J153" s="40"/>
      <c r="K153" s="47"/>
      <c r="L153" s="44" t="str">
        <f t="shared" si="12"/>
        <v>O\&amp;M</v>
      </c>
      <c r="M153" s="37">
        <f t="shared" si="13"/>
        <v>0.03</v>
      </c>
      <c r="N153" s="37" t="str">
        <f t="shared" si="14"/>
        <v>[-]</v>
      </c>
      <c r="O153" s="37"/>
    </row>
    <row r="154" spans="6:15" x14ac:dyDescent="0.55000000000000004">
      <c r="F154" s="47"/>
      <c r="G154" s="45" t="str">
        <f t="shared" si="11"/>
        <v>Energy capacity  - O\&amp;M</v>
      </c>
      <c r="H154" s="45">
        <f t="shared" si="11"/>
        <v>0.02</v>
      </c>
      <c r="I154" s="45" t="str">
        <f t="shared" si="11"/>
        <v>[-]</v>
      </c>
      <c r="J154" s="40"/>
      <c r="K154" s="47"/>
      <c r="L154" s="44" t="str">
        <f t="shared" si="12"/>
        <v>Lifetime</v>
      </c>
      <c r="M154" s="37">
        <f t="shared" si="13"/>
        <v>20</v>
      </c>
      <c r="N154" s="37" t="str">
        <f t="shared" si="14"/>
        <v>[years]</v>
      </c>
      <c r="O154" s="37"/>
    </row>
    <row r="155" spans="6:15" x14ac:dyDescent="0.55000000000000004">
      <c r="F155" s="47"/>
      <c r="G155" s="45" t="str">
        <f t="shared" si="11"/>
        <v>Energy capacity - Lifetime</v>
      </c>
      <c r="H155" s="45">
        <f t="shared" si="11"/>
        <v>13</v>
      </c>
      <c r="I155" s="45" t="str">
        <f t="shared" si="11"/>
        <v>[years]</v>
      </c>
      <c r="J155" s="40"/>
      <c r="K155" s="47"/>
      <c r="L155" s="44" t="str">
        <f t="shared" si="12"/>
        <v>Efficiency</v>
      </c>
      <c r="M155" s="37">
        <f t="shared" si="13"/>
        <v>0.85</v>
      </c>
      <c r="N155" s="37" t="str">
        <f t="shared" si="14"/>
        <v>[-]</v>
      </c>
      <c r="O155" s="37"/>
    </row>
    <row r="156" spans="6:15" x14ac:dyDescent="0.55000000000000004">
      <c r="F156" s="47"/>
      <c r="G156" s="45" t="str">
        <f t="shared" si="11"/>
        <v>Power capacity - CAPEX</v>
      </c>
      <c r="H156" s="45">
        <f t="shared" si="11"/>
        <v>150</v>
      </c>
      <c r="I156" s="45" t="str">
        <f t="shared" si="11"/>
        <v>[k€/MW]</v>
      </c>
      <c r="J156" s="40"/>
      <c r="K156" s="47" t="s">
        <v>314</v>
      </c>
      <c r="L156" s="44" t="str">
        <f t="shared" si="12"/>
        <v>CAPEX</v>
      </c>
      <c r="M156" s="37">
        <f t="shared" si="13"/>
        <v>400</v>
      </c>
      <c r="N156" s="37" t="str">
        <f t="shared" si="14"/>
        <v>[k€/MWth]</v>
      </c>
      <c r="O156" s="37"/>
    </row>
    <row r="157" spans="6:15" x14ac:dyDescent="0.55000000000000004">
      <c r="F157" s="47"/>
      <c r="G157" s="45" t="str">
        <f t="shared" si="11"/>
        <v>Power capacity  - O\&amp;M</v>
      </c>
      <c r="H157" s="45">
        <f t="shared" si="11"/>
        <v>0.02</v>
      </c>
      <c r="I157" s="45" t="str">
        <f t="shared" si="11"/>
        <v>[-]</v>
      </c>
      <c r="J157" s="40"/>
      <c r="K157" s="47"/>
      <c r="L157" s="44" t="str">
        <f t="shared" si="12"/>
        <v>O\&amp;M</v>
      </c>
      <c r="M157" s="37">
        <f t="shared" si="13"/>
        <v>0.03</v>
      </c>
      <c r="N157" s="37" t="str">
        <f t="shared" si="14"/>
        <v>[-]</v>
      </c>
      <c r="O157" s="37"/>
    </row>
    <row r="158" spans="6:15" x14ac:dyDescent="0.55000000000000004">
      <c r="F158" s="47"/>
      <c r="G158" s="45" t="str">
        <f t="shared" si="11"/>
        <v>Power capacity - Lifetime</v>
      </c>
      <c r="H158" s="45">
        <f t="shared" si="11"/>
        <v>20</v>
      </c>
      <c r="I158" s="45" t="str">
        <f t="shared" si="11"/>
        <v>[years]</v>
      </c>
      <c r="J158" s="40"/>
      <c r="K158" s="47"/>
      <c r="L158" s="44" t="str">
        <f t="shared" si="12"/>
        <v>Lifetime</v>
      </c>
      <c r="M158" s="37">
        <f t="shared" si="13"/>
        <v>20</v>
      </c>
      <c r="N158" s="37" t="str">
        <f t="shared" si="14"/>
        <v>[years]</v>
      </c>
      <c r="O158" s="37"/>
    </row>
    <row r="159" spans="6:15" x14ac:dyDescent="0.55000000000000004">
      <c r="F159" s="47"/>
      <c r="G159" s="45" t="str">
        <f t="shared" si="11"/>
        <v>Depth of discharge</v>
      </c>
      <c r="H159" s="45">
        <f t="shared" si="11"/>
        <v>0.93</v>
      </c>
      <c r="I159" s="45" t="str">
        <f t="shared" si="11"/>
        <v>[-]</v>
      </c>
      <c r="J159" s="40"/>
      <c r="K159" s="47"/>
      <c r="L159" s="44" t="str">
        <f t="shared" si="12"/>
        <v>Efficiency</v>
      </c>
      <c r="M159" s="37">
        <f t="shared" si="13"/>
        <v>0.9</v>
      </c>
      <c r="N159" s="37" t="str">
        <f t="shared" si="14"/>
        <v>[-]</v>
      </c>
      <c r="O159" s="37"/>
    </row>
    <row r="160" spans="6:15" x14ac:dyDescent="0.55000000000000004">
      <c r="F160" s="47"/>
      <c r="G160" s="45" t="str">
        <f t="shared" si="11"/>
        <v>State of charge (Min.)</v>
      </c>
      <c r="H160" s="45">
        <f t="shared" si="11"/>
        <v>3.4999999999999976E-2</v>
      </c>
      <c r="I160" s="45" t="str">
        <f t="shared" si="11"/>
        <v>[-]</v>
      </c>
      <c r="J160" s="40"/>
      <c r="K160" s="47" t="s">
        <v>315</v>
      </c>
      <c r="L160" s="44" t="str">
        <f t="shared" si="12"/>
        <v>Natural gas</v>
      </c>
      <c r="M160" s="37">
        <f t="shared" si="13"/>
        <v>7.0000000000000007E-2</v>
      </c>
      <c r="N160" s="37" t="str">
        <f t="shared" si="14"/>
        <v>[k€/MWh]</v>
      </c>
      <c r="O160" s="37"/>
    </row>
    <row r="161" spans="6:15" x14ac:dyDescent="0.55000000000000004">
      <c r="F161" s="47"/>
      <c r="G161" s="45" t="str">
        <f t="shared" si="11"/>
        <v>State of charge (Max.)</v>
      </c>
      <c r="H161" s="45">
        <f t="shared" si="11"/>
        <v>0.96500000000000008</v>
      </c>
      <c r="I161" s="45" t="str">
        <f t="shared" si="11"/>
        <v>[-]</v>
      </c>
      <c r="J161" s="40"/>
      <c r="K161" s="47"/>
      <c r="L161" s="44" t="str">
        <f t="shared" ref="L161:L169" si="15">G93</f>
        <v>Wood</v>
      </c>
      <c r="M161" s="37">
        <f t="shared" ref="M161:M169" si="16">H93</f>
        <v>3.6646706586826353E-2</v>
      </c>
      <c r="N161" s="37" t="str">
        <f t="shared" ref="N161:N169" si="17">I93</f>
        <v>[k€/MWh]</v>
      </c>
      <c r="O161" s="37"/>
    </row>
    <row r="162" spans="6:15" x14ac:dyDescent="0.55000000000000004">
      <c r="F162" s="47"/>
      <c r="G162" s="45" t="str">
        <f t="shared" si="11"/>
        <v>Roundtrip efficiency</v>
      </c>
      <c r="H162" s="45">
        <f t="shared" si="11"/>
        <v>0.91</v>
      </c>
      <c r="I162" s="45" t="str">
        <f t="shared" si="11"/>
        <v>[-]</v>
      </c>
      <c r="J162" s="40"/>
      <c r="K162" s="47"/>
      <c r="L162" s="44" t="str">
        <f t="shared" si="15"/>
        <v>Wood (residential)</v>
      </c>
      <c r="M162" s="37">
        <f t="shared" si="16"/>
        <v>0.05</v>
      </c>
      <c r="N162" s="37" t="str">
        <f t="shared" si="17"/>
        <v>[k€/MWh]</v>
      </c>
      <c r="O162" s="37"/>
    </row>
    <row r="163" spans="6:15" x14ac:dyDescent="0.55000000000000004">
      <c r="F163" s="47"/>
      <c r="G163" s="45" t="str">
        <f t="shared" si="11"/>
        <v>Discharge efficiency</v>
      </c>
      <c r="H163" s="45">
        <f t="shared" si="11"/>
        <v>0.95393920141694566</v>
      </c>
      <c r="I163" s="45" t="str">
        <f t="shared" si="11"/>
        <v>[-]</v>
      </c>
      <c r="J163" s="40"/>
      <c r="K163" s="47"/>
      <c r="L163" s="44" t="str">
        <f t="shared" si="15"/>
        <v>Hydrogen</v>
      </c>
      <c r="M163" s="37">
        <f t="shared" si="16"/>
        <v>0.06</v>
      </c>
      <c r="N163" s="37" t="str">
        <f t="shared" si="17"/>
        <v>[k€/MWh]</v>
      </c>
      <c r="O163" s="37"/>
    </row>
    <row r="164" spans="6:15" x14ac:dyDescent="0.55000000000000004">
      <c r="F164" s="47"/>
      <c r="G164" s="45" t="str">
        <f t="shared" si="11"/>
        <v>Charging efficiency</v>
      </c>
      <c r="H164" s="45">
        <f t="shared" si="11"/>
        <v>0.95393920141694566</v>
      </c>
      <c r="I164" s="45" t="str">
        <f t="shared" si="11"/>
        <v>[-]</v>
      </c>
      <c r="J164" s="40"/>
      <c r="K164" s="47"/>
      <c r="L164" s="44" t="str">
        <f t="shared" si="15"/>
        <v>Biogas</v>
      </c>
      <c r="M164" s="37">
        <f t="shared" si="16"/>
        <v>0.05</v>
      </c>
      <c r="N164" s="37" t="str">
        <f t="shared" si="17"/>
        <v>[euro/kWh]</v>
      </c>
      <c r="O164" s="37"/>
    </row>
    <row r="165" spans="6:15" x14ac:dyDescent="0.55000000000000004">
      <c r="F165" s="47"/>
      <c r="G165" s="45" t="str">
        <f t="shared" si="11"/>
        <v>Standby losses</v>
      </c>
      <c r="H165" s="45">
        <f t="shared" si="11"/>
        <v>5.4000000000000001E-4</v>
      </c>
      <c r="I165" s="45" t="str">
        <f t="shared" si="11"/>
        <v>[-]</v>
      </c>
      <c r="J165" s="40"/>
      <c r="K165" s="47" t="s">
        <v>166</v>
      </c>
      <c r="L165" s="44" t="str">
        <f t="shared" si="15"/>
        <v>Gasoline</v>
      </c>
      <c r="M165" s="37">
        <f t="shared" si="16"/>
        <v>1.8E-3</v>
      </c>
      <c r="N165" s="37" t="str">
        <f t="shared" si="17"/>
        <v>[k€/liter]</v>
      </c>
      <c r="O165" s="37"/>
    </row>
    <row r="166" spans="6:15" x14ac:dyDescent="0.55000000000000004">
      <c r="F166" s="47" t="s">
        <v>307</v>
      </c>
      <c r="G166" s="45" t="str">
        <f t="shared" si="11"/>
        <v>CAPEX</v>
      </c>
      <c r="H166" s="45">
        <f t="shared" si="11"/>
        <v>2000</v>
      </c>
      <c r="I166" s="45" t="str">
        <f t="shared" si="11"/>
        <v>[k€/MWe]</v>
      </c>
      <c r="J166" s="40"/>
      <c r="K166" s="47"/>
      <c r="L166" s="44" t="str">
        <f t="shared" si="15"/>
        <v>Energy use</v>
      </c>
      <c r="M166" s="37">
        <f t="shared" si="16"/>
        <v>7.0000000000000007E-2</v>
      </c>
      <c r="N166" s="37" t="str">
        <f t="shared" si="17"/>
        <v>[liter/km]</v>
      </c>
      <c r="O166" s="37"/>
    </row>
    <row r="167" spans="6:15" x14ac:dyDescent="0.55000000000000004">
      <c r="F167" s="47"/>
      <c r="G167" s="45" t="str">
        <f t="shared" si="11"/>
        <v>O\&amp;M</v>
      </c>
      <c r="H167" s="45">
        <f t="shared" si="11"/>
        <v>0.02</v>
      </c>
      <c r="I167" s="45" t="str">
        <f t="shared" si="11"/>
        <v>[-]</v>
      </c>
      <c r="J167" s="40"/>
      <c r="K167" s="47"/>
      <c r="L167" s="44" t="str">
        <f t="shared" si="15"/>
        <v>Price</v>
      </c>
      <c r="M167" s="37">
        <f t="shared" si="16"/>
        <v>1.26E-4</v>
      </c>
      <c r="N167" s="37" t="str">
        <f t="shared" si="17"/>
        <v>[k€/km]</v>
      </c>
      <c r="O167" s="37"/>
    </row>
    <row r="168" spans="6:15" x14ac:dyDescent="0.55000000000000004">
      <c r="F168" s="47"/>
      <c r="G168" s="45" t="str">
        <f t="shared" si="11"/>
        <v>Lifetime</v>
      </c>
      <c r="H168" s="45">
        <f t="shared" si="11"/>
        <v>7</v>
      </c>
      <c r="I168" s="45" t="str">
        <f t="shared" si="11"/>
        <v>[years]</v>
      </c>
      <c r="J168" s="40"/>
      <c r="K168" s="47"/>
      <c r="L168" s="44" t="str">
        <f t="shared" si="15"/>
        <v>CAPEX</v>
      </c>
      <c r="M168" s="37">
        <f t="shared" si="16"/>
        <v>32</v>
      </c>
      <c r="N168" s="37" t="str">
        <f t="shared" si="17"/>
        <v>[k€/unit</v>
      </c>
      <c r="O168" s="37"/>
    </row>
    <row r="169" spans="6:15" x14ac:dyDescent="0.55000000000000004">
      <c r="F169" s="47"/>
      <c r="G169" s="45" t="str">
        <f t="shared" si="11"/>
        <v>Efficiency</v>
      </c>
      <c r="H169" s="45">
        <f t="shared" si="11"/>
        <v>0.56999999999999995</v>
      </c>
      <c r="I169" s="45" t="str">
        <f t="shared" si="11"/>
        <v>[-]</v>
      </c>
      <c r="J169" s="40"/>
      <c r="K169" s="47"/>
      <c r="L169" s="44" t="str">
        <f t="shared" si="15"/>
        <v>O\&amp;M</v>
      </c>
      <c r="M169" s="37">
        <f t="shared" si="16"/>
        <v>0.03</v>
      </c>
      <c r="N169" s="37" t="str">
        <f t="shared" si="17"/>
        <v>[-]</v>
      </c>
      <c r="O169" s="37"/>
    </row>
    <row r="170" spans="6:15" x14ac:dyDescent="0.55000000000000004">
      <c r="F170" s="47" t="s">
        <v>308</v>
      </c>
      <c r="G170" s="45" t="str">
        <f t="shared" ref="G170:I181" si="18">G31</f>
        <v>CAPEX</v>
      </c>
      <c r="H170" s="45">
        <f t="shared" si="18"/>
        <v>200</v>
      </c>
      <c r="I170" s="45" t="str">
        <f t="shared" si="18"/>
        <v>[k€/MW]</v>
      </c>
      <c r="J170" s="40"/>
      <c r="K170" s="47"/>
      <c r="L170" s="44" t="str">
        <f t="shared" ref="L170:L200" si="19">G102</f>
        <v>Lifetime</v>
      </c>
      <c r="M170" s="37">
        <f t="shared" ref="M170:M200" si="20">H102</f>
        <v>17</v>
      </c>
      <c r="N170" s="37" t="str">
        <f t="shared" ref="N170:N200" si="21">I102</f>
        <v>[-]</v>
      </c>
      <c r="O170" s="37"/>
    </row>
    <row r="171" spans="6:15" x14ac:dyDescent="0.55000000000000004">
      <c r="F171" s="47"/>
      <c r="G171" s="45" t="str">
        <f t="shared" si="18"/>
        <v>O\&amp;M</v>
      </c>
      <c r="H171" s="45">
        <f t="shared" si="18"/>
        <v>0.02</v>
      </c>
      <c r="I171" s="45" t="str">
        <f t="shared" si="18"/>
        <v>[-]</v>
      </c>
      <c r="J171" s="40"/>
      <c r="K171" s="47" t="s">
        <v>316</v>
      </c>
      <c r="L171" s="44" t="str">
        <f t="shared" si="19"/>
        <v>CAPEX</v>
      </c>
      <c r="M171" s="37">
        <f t="shared" si="20"/>
        <v>48</v>
      </c>
      <c r="N171" s="37" t="str">
        <f t="shared" si="21"/>
        <v>[k€/unit]</v>
      </c>
      <c r="O171" s="37"/>
    </row>
    <row r="172" spans="6:15" x14ac:dyDescent="0.55000000000000004">
      <c r="F172" s="47"/>
      <c r="G172" s="45" t="str">
        <f t="shared" si="18"/>
        <v>Lifetime</v>
      </c>
      <c r="H172" s="45">
        <f t="shared" si="18"/>
        <v>30</v>
      </c>
      <c r="I172" s="45" t="str">
        <f t="shared" si="18"/>
        <v>[years]</v>
      </c>
      <c r="J172" s="40"/>
      <c r="K172" s="47"/>
      <c r="L172" s="44" t="str">
        <f t="shared" si="19"/>
        <v>O\&amp;M</v>
      </c>
      <c r="M172" s="37">
        <f t="shared" si="20"/>
        <v>0.01</v>
      </c>
      <c r="N172" s="37" t="str">
        <f t="shared" si="21"/>
        <v>[-]</v>
      </c>
      <c r="O172" s="37"/>
    </row>
    <row r="173" spans="6:15" x14ac:dyDescent="0.55000000000000004">
      <c r="F173" s="47" t="s">
        <v>345</v>
      </c>
      <c r="G173" s="45" t="str">
        <f t="shared" si="18"/>
        <v>CAPEX</v>
      </c>
      <c r="H173" s="45">
        <f t="shared" si="18"/>
        <v>1700</v>
      </c>
      <c r="I173" s="45" t="str">
        <f t="shared" si="18"/>
        <v>[k€/MW]</v>
      </c>
      <c r="J173" s="40"/>
      <c r="K173" s="47"/>
      <c r="L173" s="44" t="str">
        <f t="shared" si="19"/>
        <v>Lifetime</v>
      </c>
      <c r="M173" s="37">
        <f t="shared" si="20"/>
        <v>17</v>
      </c>
      <c r="N173" s="37" t="str">
        <f t="shared" si="21"/>
        <v>[-]</v>
      </c>
      <c r="O173" s="37"/>
    </row>
    <row r="174" spans="6:15" x14ac:dyDescent="0.55000000000000004">
      <c r="F174" s="47"/>
      <c r="G174" s="45" t="str">
        <f t="shared" si="18"/>
        <v>Electrical efficiency</v>
      </c>
      <c r="H174" s="45">
        <f t="shared" si="18"/>
        <v>0.5</v>
      </c>
      <c r="I174" s="45" t="str">
        <f t="shared" si="18"/>
        <v>[-]</v>
      </c>
      <c r="J174" s="40"/>
      <c r="K174" s="47"/>
      <c r="L174" s="44" t="str">
        <f t="shared" si="19"/>
        <v>Driving</v>
      </c>
      <c r="M174" s="37">
        <f t="shared" si="20"/>
        <v>35</v>
      </c>
      <c r="N174" s="37" t="str">
        <f t="shared" si="21"/>
        <v>[kilometer]</v>
      </c>
      <c r="O174" s="37"/>
    </row>
    <row r="175" spans="6:15" x14ac:dyDescent="0.55000000000000004">
      <c r="F175" s="47"/>
      <c r="G175" s="45" t="str">
        <f t="shared" si="18"/>
        <v>Thermal efficiency</v>
      </c>
      <c r="H175" s="45">
        <f t="shared" si="18"/>
        <v>0.34</v>
      </c>
      <c r="I175" s="45" t="str">
        <f t="shared" si="18"/>
        <v>[-]</v>
      </c>
      <c r="J175" s="40"/>
      <c r="K175" s="47"/>
      <c r="L175" s="44" t="str">
        <f t="shared" si="19"/>
        <v>Min charging power</v>
      </c>
      <c r="M175" s="37">
        <f t="shared" si="20"/>
        <v>0</v>
      </c>
      <c r="N175" s="37" t="str">
        <f t="shared" si="21"/>
        <v>[MW]</v>
      </c>
      <c r="O175" s="37"/>
    </row>
    <row r="176" spans="6:15" x14ac:dyDescent="0.55000000000000004">
      <c r="F176" s="47"/>
      <c r="G176" s="45" t="str">
        <f t="shared" si="18"/>
        <v>O\&amp;M</v>
      </c>
      <c r="H176" s="45">
        <f t="shared" si="18"/>
        <v>0.04</v>
      </c>
      <c r="I176" s="45" t="str">
        <f t="shared" si="18"/>
        <v>[-]</v>
      </c>
      <c r="J176" s="40"/>
      <c r="K176" s="47"/>
      <c r="L176" s="44" t="str">
        <f t="shared" si="19"/>
        <v>Max charging power</v>
      </c>
      <c r="M176" s="37">
        <f t="shared" si="20"/>
        <v>5.0000000000000001E-3</v>
      </c>
      <c r="N176" s="37" t="str">
        <f t="shared" si="21"/>
        <v>[MW]</v>
      </c>
      <c r="O176" s="37"/>
    </row>
    <row r="177" spans="6:15" x14ac:dyDescent="0.55000000000000004">
      <c r="F177" s="47"/>
      <c r="G177" s="45" t="str">
        <f t="shared" si="18"/>
        <v>Lifetime</v>
      </c>
      <c r="H177" s="45">
        <f t="shared" si="18"/>
        <v>14</v>
      </c>
      <c r="I177" s="45" t="str">
        <f t="shared" si="18"/>
        <v>[years]</v>
      </c>
      <c r="J177" s="40"/>
      <c r="K177" s="47"/>
      <c r="L177" s="44" t="str">
        <f t="shared" si="19"/>
        <v>Energy consumption</v>
      </c>
      <c r="M177" s="37">
        <f t="shared" si="20"/>
        <v>1.75E-4</v>
      </c>
      <c r="N177" s="37" t="str">
        <f t="shared" si="21"/>
        <v>[MWh/km]</v>
      </c>
      <c r="O177" s="37"/>
    </row>
    <row r="178" spans="6:15" x14ac:dyDescent="0.55000000000000004">
      <c r="F178" s="47" t="s">
        <v>309</v>
      </c>
      <c r="G178" s="45" t="str">
        <f t="shared" si="18"/>
        <v>CAPEX</v>
      </c>
      <c r="H178" s="45">
        <f t="shared" si="18"/>
        <v>10</v>
      </c>
      <c r="I178" s="45" t="str">
        <f t="shared" si="18"/>
        <v>[k€/t H2]</v>
      </c>
      <c r="J178" s="40"/>
      <c r="K178" s="47" t="s">
        <v>317</v>
      </c>
      <c r="L178" s="44" t="str">
        <f t="shared" si="19"/>
        <v>Heat loss</v>
      </c>
      <c r="M178" s="37">
        <f t="shared" si="20"/>
        <v>0.15</v>
      </c>
      <c r="N178" s="37" t="str">
        <f t="shared" si="21"/>
        <v>[MW/K]</v>
      </c>
      <c r="O178" s="37"/>
    </row>
    <row r="179" spans="6:15" x14ac:dyDescent="0.55000000000000004">
      <c r="F179" s="47"/>
      <c r="G179" s="45" t="str">
        <f t="shared" si="18"/>
        <v>O\&amp;M</v>
      </c>
      <c r="H179" s="45">
        <f t="shared" si="18"/>
        <v>0.02</v>
      </c>
      <c r="I179" s="45" t="str">
        <f t="shared" si="18"/>
        <v>[-]</v>
      </c>
      <c r="J179" s="40"/>
      <c r="K179" s="47"/>
      <c r="L179" s="44" t="str">
        <f t="shared" si="19"/>
        <v>Heat threshold</v>
      </c>
      <c r="M179" s="37">
        <f t="shared" si="20"/>
        <v>17</v>
      </c>
      <c r="N179" s="37" t="str">
        <f t="shared" si="21"/>
        <v>[deg C]</v>
      </c>
      <c r="O179" s="37"/>
    </row>
    <row r="180" spans="6:15" x14ac:dyDescent="0.55000000000000004">
      <c r="F180" s="47"/>
      <c r="G180" s="45" t="str">
        <f t="shared" si="18"/>
        <v>Lifetime</v>
      </c>
      <c r="H180" s="45">
        <f t="shared" si="18"/>
        <v>23</v>
      </c>
      <c r="I180" s="45" t="str">
        <f t="shared" si="18"/>
        <v>[years]</v>
      </c>
      <c r="J180" s="40"/>
      <c r="K180" s="47"/>
      <c r="L180" s="44" t="str">
        <f t="shared" si="19"/>
        <v>Cooling threshold</v>
      </c>
      <c r="M180" s="37">
        <f t="shared" si="20"/>
        <v>21</v>
      </c>
      <c r="N180" s="37" t="str">
        <f t="shared" si="21"/>
        <v>[deg C]</v>
      </c>
      <c r="O180" s="37"/>
    </row>
    <row r="181" spans="6:15" x14ac:dyDescent="0.55000000000000004">
      <c r="F181" s="47"/>
      <c r="G181" s="45" t="str">
        <f t="shared" si="18"/>
        <v>Ramp rate</v>
      </c>
      <c r="H181" s="45">
        <f t="shared" si="18"/>
        <v>4</v>
      </c>
      <c r="I181" s="45" t="str">
        <f t="shared" si="18"/>
        <v>[h]</v>
      </c>
      <c r="J181" s="40"/>
      <c r="K181" s="47"/>
      <c r="L181" s="44" t="str">
        <f t="shared" si="19"/>
        <v>Inside temperature</v>
      </c>
      <c r="M181" s="37">
        <f t="shared" si="20"/>
        <v>21</v>
      </c>
      <c r="N181" s="37" t="str">
        <f t="shared" si="21"/>
        <v>[deg C]</v>
      </c>
      <c r="O181" s="37"/>
    </row>
    <row r="182" spans="6:15" x14ac:dyDescent="0.55000000000000004">
      <c r="F182" s="47" t="s">
        <v>310</v>
      </c>
      <c r="G182" s="45" t="str">
        <f t="shared" ref="G182:I185" si="22">G43</f>
        <v>CAPEX</v>
      </c>
      <c r="H182" s="45">
        <f t="shared" si="22"/>
        <v>100</v>
      </c>
      <c r="I182" s="45" t="str">
        <f t="shared" si="22"/>
        <v>[k€/MWh]</v>
      </c>
      <c r="J182" s="40"/>
      <c r="K182" s="47"/>
      <c r="L182" s="44" t="str">
        <f t="shared" si="19"/>
        <v>Transmission loss</v>
      </c>
      <c r="M182" s="37">
        <f t="shared" si="20"/>
        <v>1.08</v>
      </c>
      <c r="N182" s="37" t="str">
        <f t="shared" si="21"/>
        <v>[-]</v>
      </c>
      <c r="O182" s="37"/>
    </row>
    <row r="183" spans="6:15" x14ac:dyDescent="0.55000000000000004">
      <c r="F183" s="47"/>
      <c r="G183" s="45" t="str">
        <f t="shared" si="22"/>
        <v>O\&amp;M</v>
      </c>
      <c r="H183" s="45">
        <f t="shared" si="22"/>
        <v>0.02</v>
      </c>
      <c r="I183" s="45" t="str">
        <f t="shared" si="22"/>
        <v>[-]</v>
      </c>
      <c r="J183" s="40"/>
      <c r="K183" s="47"/>
      <c r="L183" s="44" t="str">
        <f t="shared" si="19"/>
        <v>Residents</v>
      </c>
      <c r="M183" s="37">
        <f t="shared" si="20"/>
        <v>2.1</v>
      </c>
      <c r="N183" s="37" t="str">
        <f t="shared" si="21"/>
        <v>[person]</v>
      </c>
      <c r="O183" s="37"/>
    </row>
    <row r="184" spans="6:15" x14ac:dyDescent="0.55000000000000004">
      <c r="F184" s="47"/>
      <c r="G184" s="45" t="str">
        <f t="shared" si="22"/>
        <v>Lifetime</v>
      </c>
      <c r="H184" s="45">
        <f t="shared" si="22"/>
        <v>24</v>
      </c>
      <c r="I184" s="45" t="str">
        <f t="shared" si="22"/>
        <v>[years]</v>
      </c>
      <c r="J184" s="40"/>
      <c r="K184" s="47" t="s">
        <v>318</v>
      </c>
      <c r="L184" s="44" t="str">
        <f t="shared" si="19"/>
        <v>CAPEX</v>
      </c>
      <c r="M184" s="37">
        <f t="shared" si="20"/>
        <v>1000</v>
      </c>
      <c r="N184" s="37" t="str">
        <f t="shared" si="21"/>
        <v>euro/kW</v>
      </c>
      <c r="O184" s="37"/>
    </row>
    <row r="185" spans="6:15" x14ac:dyDescent="0.55000000000000004">
      <c r="F185" s="47"/>
      <c r="G185" s="45" t="str">
        <f t="shared" si="22"/>
        <v>Standby losses</v>
      </c>
      <c r="H185" s="45">
        <f t="shared" si="22"/>
        <v>7.4999999999999997E-3</v>
      </c>
      <c r="I185" s="45" t="str">
        <f t="shared" si="22"/>
        <v>[-]</v>
      </c>
      <c r="J185" s="40"/>
      <c r="K185" s="47"/>
      <c r="L185" s="44" t="str">
        <f t="shared" si="19"/>
        <v>O\&amp;M</v>
      </c>
      <c r="M185" s="37">
        <f t="shared" si="20"/>
        <v>0</v>
      </c>
      <c r="N185" s="37" t="str">
        <f t="shared" si="21"/>
        <v>[-]</v>
      </c>
      <c r="O185" s="37"/>
    </row>
    <row r="186" spans="6:15" x14ac:dyDescent="0.55000000000000004">
      <c r="F186" s="47"/>
      <c r="G186" s="45" t="str">
        <f t="shared" ref="G186:I186" si="23">G47</f>
        <v>Efficiency</v>
      </c>
      <c r="H186" s="45">
        <f t="shared" si="23"/>
        <v>0.81</v>
      </c>
      <c r="I186" s="45" t="str">
        <f t="shared" si="23"/>
        <v>[-]</v>
      </c>
      <c r="J186" s="40"/>
      <c r="K186" s="47"/>
      <c r="L186" s="44" t="str">
        <f t="shared" si="19"/>
        <v>Efficiency</v>
      </c>
      <c r="M186" s="37">
        <f t="shared" si="20"/>
        <v>1</v>
      </c>
      <c r="N186" s="37" t="str">
        <f t="shared" si="21"/>
        <v>[-]</v>
      </c>
      <c r="O186" s="37"/>
    </row>
    <row r="187" spans="6:15" x14ac:dyDescent="0.55000000000000004">
      <c r="F187" s="47"/>
      <c r="G187" s="45" t="str">
        <f t="shared" ref="G187:I192" si="24">G48</f>
        <v>Discharge efficiency</v>
      </c>
      <c r="H187" s="45">
        <f t="shared" si="24"/>
        <v>0.9</v>
      </c>
      <c r="I187" s="45" t="str">
        <f t="shared" si="24"/>
        <v>[-]</v>
      </c>
      <c r="J187" s="40"/>
      <c r="K187" s="47"/>
      <c r="L187" s="44" t="str">
        <f t="shared" si="19"/>
        <v>Lifetime</v>
      </c>
      <c r="M187" s="37">
        <f t="shared" si="20"/>
        <v>30</v>
      </c>
      <c r="N187" s="37" t="str">
        <f t="shared" si="21"/>
        <v>[years]</v>
      </c>
      <c r="O187" s="37"/>
    </row>
    <row r="188" spans="6:15" x14ac:dyDescent="0.55000000000000004">
      <c r="F188" s="47"/>
      <c r="G188" s="45" t="str">
        <f t="shared" si="24"/>
        <v>Charging efficiency</v>
      </c>
      <c r="H188" s="45">
        <f t="shared" si="24"/>
        <v>0.9</v>
      </c>
      <c r="I188" s="45" t="str">
        <f t="shared" si="24"/>
        <v>[-]</v>
      </c>
      <c r="J188" s="40"/>
      <c r="K188" s="47" t="s">
        <v>319</v>
      </c>
      <c r="L188" s="44" t="str">
        <f t="shared" si="19"/>
        <v>CAPEX</v>
      </c>
      <c r="M188" s="37">
        <f t="shared" si="20"/>
        <v>400</v>
      </c>
      <c r="N188" s="37" t="str">
        <f t="shared" si="21"/>
        <v>[k€/MWth]</v>
      </c>
      <c r="O188" s="37"/>
    </row>
    <row r="189" spans="6:15" x14ac:dyDescent="0.55000000000000004">
      <c r="F189" s="47"/>
      <c r="G189" s="45" t="str">
        <f t="shared" si="24"/>
        <v>State of charge (Min.)</v>
      </c>
      <c r="H189" s="45">
        <f t="shared" si="24"/>
        <v>0</v>
      </c>
      <c r="I189" s="45" t="str">
        <f t="shared" si="24"/>
        <v>[-]</v>
      </c>
      <c r="J189" s="40"/>
      <c r="K189" s="47"/>
      <c r="L189" s="44" t="str">
        <f t="shared" si="19"/>
        <v>O\&amp;M</v>
      </c>
      <c r="M189" s="37">
        <f t="shared" si="20"/>
        <v>1.4999999999999999E-2</v>
      </c>
      <c r="N189" s="37" t="str">
        <f t="shared" si="21"/>
        <v>[-]</v>
      </c>
      <c r="O189" s="37"/>
    </row>
    <row r="190" spans="6:15" x14ac:dyDescent="0.55000000000000004">
      <c r="F190" s="47"/>
      <c r="G190" s="45" t="str">
        <f t="shared" si="24"/>
        <v>State of charge (Max.)</v>
      </c>
      <c r="H190" s="45">
        <f t="shared" si="24"/>
        <v>1</v>
      </c>
      <c r="I190" s="45" t="str">
        <f t="shared" si="24"/>
        <v>[-]</v>
      </c>
      <c r="J190" s="40"/>
      <c r="K190" s="47"/>
      <c r="L190" s="44" t="str">
        <f t="shared" si="19"/>
        <v>Efficiency</v>
      </c>
      <c r="M190" s="37">
        <f t="shared" si="20"/>
        <v>0.9</v>
      </c>
      <c r="N190" s="37" t="str">
        <f t="shared" si="21"/>
        <v>[-]</v>
      </c>
      <c r="O190" s="37"/>
    </row>
    <row r="191" spans="6:15" x14ac:dyDescent="0.55000000000000004">
      <c r="F191" s="47"/>
      <c r="G191" s="45" t="str">
        <f t="shared" si="24"/>
        <v>Minimum temperature</v>
      </c>
      <c r="H191" s="45">
        <f t="shared" si="24"/>
        <v>30</v>
      </c>
      <c r="I191" s="45" t="str">
        <f t="shared" si="24"/>
        <v>[$^\circ$C]</v>
      </c>
      <c r="J191" s="40"/>
      <c r="K191" s="47"/>
      <c r="L191" s="44" t="str">
        <f t="shared" si="19"/>
        <v>Lifetime</v>
      </c>
      <c r="M191" s="37">
        <f t="shared" si="20"/>
        <v>20</v>
      </c>
      <c r="N191" s="37" t="str">
        <f t="shared" si="21"/>
        <v>[years]</v>
      </c>
      <c r="O191" s="37"/>
    </row>
    <row r="192" spans="6:15" x14ac:dyDescent="0.55000000000000004">
      <c r="F192" s="47"/>
      <c r="G192" s="45" t="str">
        <f t="shared" si="24"/>
        <v>Maximum temperature</v>
      </c>
      <c r="H192" s="45">
        <f t="shared" si="24"/>
        <v>55</v>
      </c>
      <c r="I192" s="45" t="str">
        <f t="shared" si="24"/>
        <v>[$^\circ$C]</v>
      </c>
      <c r="J192" s="40"/>
      <c r="K192" s="47" t="s">
        <v>320</v>
      </c>
      <c r="L192" s="44" t="str">
        <f t="shared" si="19"/>
        <v>CAPEX</v>
      </c>
      <c r="M192" s="37">
        <f t="shared" si="20"/>
        <v>100</v>
      </c>
      <c r="N192" s="37" t="str">
        <f t="shared" si="21"/>
        <v>[k€/MWth]</v>
      </c>
      <c r="O192" s="37"/>
    </row>
    <row r="193" spans="6:15" x14ac:dyDescent="0.55000000000000004">
      <c r="F193" s="47"/>
      <c r="G193" s="45" t="str">
        <f t="shared" ref="G193:I193" si="25">G54</f>
        <v>Loss coefficient</v>
      </c>
      <c r="H193" s="45">
        <f t="shared" si="25"/>
        <v>1E-3</v>
      </c>
      <c r="I193" s="45" t="str">
        <f t="shared" si="25"/>
        <v>[-]</v>
      </c>
      <c r="J193" s="40"/>
      <c r="K193" s="47"/>
      <c r="L193" s="44" t="str">
        <f t="shared" si="19"/>
        <v>O\&amp;M</v>
      </c>
      <c r="M193" s="37">
        <f t="shared" si="20"/>
        <v>0.03</v>
      </c>
      <c r="N193" s="37" t="str">
        <f t="shared" si="21"/>
        <v>[-]</v>
      </c>
      <c r="O193" s="37"/>
    </row>
    <row r="194" spans="6:15" x14ac:dyDescent="0.55000000000000004">
      <c r="F194" s="47"/>
      <c r="G194" s="45" t="str">
        <f t="shared" ref="G194:I200" si="26">G55</f>
        <v>Ramp rate</v>
      </c>
      <c r="H194" s="45">
        <f t="shared" si="26"/>
        <v>4</v>
      </c>
      <c r="I194" s="45" t="str">
        <f t="shared" si="26"/>
        <v>[h]</v>
      </c>
      <c r="J194" s="40"/>
      <c r="K194" s="47"/>
      <c r="L194" s="44" t="str">
        <f t="shared" si="19"/>
        <v>Efficiency</v>
      </c>
      <c r="M194" s="37">
        <f t="shared" si="20"/>
        <v>20</v>
      </c>
      <c r="N194" s="37" t="str">
        <f t="shared" si="21"/>
        <v>[years]</v>
      </c>
      <c r="O194" s="37"/>
    </row>
    <row r="195" spans="6:15" x14ac:dyDescent="0.55000000000000004">
      <c r="F195" s="47" t="s">
        <v>126</v>
      </c>
      <c r="G195" s="45" t="str">
        <f t="shared" si="26"/>
        <v>CAPEX</v>
      </c>
      <c r="H195" s="45">
        <f t="shared" si="26"/>
        <v>2000</v>
      </c>
      <c r="I195" s="45" t="str">
        <f t="shared" si="26"/>
        <v>[k€/MW]</v>
      </c>
      <c r="J195" s="40"/>
      <c r="K195" s="47"/>
      <c r="L195" s="44" t="str">
        <f t="shared" si="19"/>
        <v>Lifetime</v>
      </c>
      <c r="M195" s="37">
        <f t="shared" si="20"/>
        <v>0.98</v>
      </c>
      <c r="N195" s="37" t="str">
        <f t="shared" si="21"/>
        <v>[-]</v>
      </c>
      <c r="O195" s="37"/>
    </row>
    <row r="196" spans="6:15" x14ac:dyDescent="0.55000000000000004">
      <c r="F196" s="47"/>
      <c r="G196" s="45" t="str">
        <f t="shared" si="26"/>
        <v>O\&amp;M</v>
      </c>
      <c r="H196" s="45">
        <f t="shared" si="26"/>
        <v>0.03</v>
      </c>
      <c r="I196" s="45" t="str">
        <f t="shared" si="26"/>
        <v>[-]</v>
      </c>
      <c r="J196" s="40"/>
      <c r="K196" s="47" t="s">
        <v>321</v>
      </c>
      <c r="L196" s="44" t="str">
        <f t="shared" si="19"/>
        <v>CAPEX</v>
      </c>
      <c r="M196" s="37">
        <f t="shared" si="20"/>
        <v>350</v>
      </c>
      <c r="N196" s="37" t="str">
        <f t="shared" si="21"/>
        <v>[k€/MWth]</v>
      </c>
      <c r="O196" s="37"/>
    </row>
    <row r="197" spans="6:15" x14ac:dyDescent="0.55000000000000004">
      <c r="F197" s="47"/>
      <c r="G197" s="45" t="str">
        <f t="shared" si="26"/>
        <v>Lifetime</v>
      </c>
      <c r="H197" s="45">
        <f t="shared" si="26"/>
        <v>20</v>
      </c>
      <c r="I197" s="45" t="str">
        <f t="shared" si="26"/>
        <v>[-]</v>
      </c>
      <c r="J197" s="40"/>
      <c r="K197" s="47"/>
      <c r="L197" s="44" t="str">
        <f t="shared" si="19"/>
        <v>O\&amp;M</v>
      </c>
      <c r="M197" s="37">
        <f t="shared" si="20"/>
        <v>0.02</v>
      </c>
      <c r="N197" s="37" t="str">
        <f t="shared" si="21"/>
        <v>[-]</v>
      </c>
      <c r="O197" s="37"/>
    </row>
    <row r="198" spans="6:15" x14ac:dyDescent="0.55000000000000004">
      <c r="F198" s="47"/>
      <c r="G198" s="45" t="str">
        <f t="shared" si="26"/>
        <v>Minimum part load ratio</v>
      </c>
      <c r="H198" s="45">
        <f t="shared" si="26"/>
        <v>0.1</v>
      </c>
      <c r="I198" s="45" t="str">
        <f t="shared" si="26"/>
        <v>[-]</v>
      </c>
      <c r="J198" s="40"/>
      <c r="K198" s="47"/>
      <c r="L198" s="44" t="str">
        <f t="shared" si="19"/>
        <v>Efficiency</v>
      </c>
      <c r="M198" s="37">
        <f t="shared" si="20"/>
        <v>0.85</v>
      </c>
      <c r="N198" s="37" t="str">
        <f t="shared" si="21"/>
        <v>[-]</v>
      </c>
      <c r="O198" s="37"/>
    </row>
    <row r="199" spans="6:15" x14ac:dyDescent="0.55000000000000004">
      <c r="F199" s="47"/>
      <c r="G199" s="45" t="str">
        <f t="shared" si="26"/>
        <v>Efficiency</v>
      </c>
      <c r="H199" s="45">
        <f t="shared" si="26"/>
        <v>0.84</v>
      </c>
      <c r="I199" s="45" t="str">
        <f t="shared" si="26"/>
        <v>[-]</v>
      </c>
      <c r="J199" s="40"/>
      <c r="K199" s="47"/>
      <c r="L199" s="44" t="str">
        <f t="shared" si="19"/>
        <v>Lifetime</v>
      </c>
      <c r="M199" s="37">
        <f t="shared" si="20"/>
        <v>20</v>
      </c>
      <c r="N199" s="37" t="str">
        <f t="shared" si="21"/>
        <v>[years]</v>
      </c>
      <c r="O199" s="37"/>
    </row>
    <row r="200" spans="6:15" x14ac:dyDescent="0.55000000000000004">
      <c r="F200" s="47"/>
      <c r="G200" s="45" t="str">
        <f t="shared" si="26"/>
        <v>Ramp rate</v>
      </c>
      <c r="H200" s="45">
        <f t="shared" si="26"/>
        <v>1</v>
      </c>
      <c r="I200" s="45" t="str">
        <f t="shared" si="26"/>
        <v>[h]</v>
      </c>
      <c r="J200" s="40"/>
      <c r="K200" s="47"/>
      <c r="L200" s="44" t="str">
        <f t="shared" si="19"/>
        <v>Oil price</v>
      </c>
      <c r="M200" s="37">
        <f t="shared" si="20"/>
        <v>0.11</v>
      </c>
      <c r="N200" s="37" t="str">
        <f t="shared" si="21"/>
        <v>euro/kWh</v>
      </c>
      <c r="O200" s="37"/>
    </row>
    <row r="201" spans="6:15" x14ac:dyDescent="0.55000000000000004">
      <c r="F201" s="47"/>
      <c r="G201" s="45" t="str">
        <f t="shared" ref="G201:I201" si="27">G62</f>
        <v>Minimum uptime</v>
      </c>
      <c r="H201" s="45">
        <f t="shared" si="27"/>
        <v>8</v>
      </c>
      <c r="I201" s="45" t="str">
        <f t="shared" si="27"/>
        <v>[h]</v>
      </c>
      <c r="J201" s="40"/>
      <c r="K201" s="58" t="s">
        <v>387</v>
      </c>
      <c r="L201" s="44" t="s">
        <v>235</v>
      </c>
      <c r="M201" s="37">
        <f t="shared" ref="M201:N204" si="28">H133</f>
        <v>120</v>
      </c>
      <c r="N201" s="37" t="str">
        <f t="shared" si="28"/>
        <v>[k€/MWth]</v>
      </c>
      <c r="O201" s="37"/>
    </row>
    <row r="202" spans="6:15" x14ac:dyDescent="0.55000000000000004">
      <c r="F202" s="47"/>
      <c r="G202" s="45" t="str">
        <f t="shared" ref="G202:I207" si="29">G63</f>
        <v>Minimum downtime</v>
      </c>
      <c r="H202" s="45">
        <f t="shared" si="29"/>
        <v>8</v>
      </c>
      <c r="I202" s="45" t="str">
        <f t="shared" si="29"/>
        <v>[h]</v>
      </c>
      <c r="J202" s="40"/>
      <c r="K202" s="59"/>
      <c r="L202" s="44" t="s">
        <v>236</v>
      </c>
      <c r="M202" s="37">
        <f t="shared" si="28"/>
        <v>0.02</v>
      </c>
      <c r="N202" s="37" t="str">
        <f t="shared" si="28"/>
        <v>[-]</v>
      </c>
      <c r="O202" s="37"/>
    </row>
    <row r="203" spans="6:15" x14ac:dyDescent="0.55000000000000004">
      <c r="F203" s="47" t="s">
        <v>311</v>
      </c>
      <c r="G203" s="45" t="str">
        <f t="shared" si="29"/>
        <v>CAPEX</v>
      </c>
      <c r="H203" s="45">
        <f t="shared" si="29"/>
        <v>1500</v>
      </c>
      <c r="I203" s="45" t="str">
        <f t="shared" si="29"/>
        <v>[k€/MWth]</v>
      </c>
      <c r="J203" s="40"/>
      <c r="K203" s="59"/>
      <c r="L203" s="44" t="s">
        <v>237</v>
      </c>
      <c r="M203" s="37">
        <f t="shared" si="28"/>
        <v>0.85</v>
      </c>
      <c r="N203" s="37" t="str">
        <f t="shared" si="28"/>
        <v>[-]</v>
      </c>
      <c r="O203" s="37"/>
    </row>
    <row r="204" spans="6:15" x14ac:dyDescent="0.55000000000000004">
      <c r="F204" s="47"/>
      <c r="G204" s="45" t="str">
        <f t="shared" si="29"/>
        <v>O\&amp;M</v>
      </c>
      <c r="H204" s="45">
        <f t="shared" si="29"/>
        <v>0.01</v>
      </c>
      <c r="I204" s="45" t="str">
        <f t="shared" si="29"/>
        <v>[-]</v>
      </c>
      <c r="J204" s="40"/>
      <c r="K204" s="59"/>
      <c r="L204" s="44" t="s">
        <v>238</v>
      </c>
      <c r="M204" s="37">
        <f t="shared" si="28"/>
        <v>20</v>
      </c>
      <c r="N204" s="37" t="str">
        <f t="shared" si="28"/>
        <v>[years]</v>
      </c>
      <c r="O204" s="37"/>
    </row>
    <row r="205" spans="6:15" x14ac:dyDescent="0.55000000000000004">
      <c r="F205" s="47"/>
      <c r="G205" s="45" t="str">
        <f t="shared" si="29"/>
        <v>Lifetime</v>
      </c>
      <c r="H205" s="45">
        <f t="shared" si="29"/>
        <v>19</v>
      </c>
      <c r="I205" s="45" t="str">
        <f t="shared" si="29"/>
        <v>[years]</v>
      </c>
      <c r="J205" s="40"/>
      <c r="K205" s="59"/>
      <c r="L205" s="44" t="s">
        <v>386</v>
      </c>
      <c r="M205" s="37">
        <f t="shared" ref="M205:N205" si="30">H92</f>
        <v>0.1555</v>
      </c>
      <c r="N205" s="37" t="str">
        <f t="shared" si="30"/>
        <v>[k€/MWh]</v>
      </c>
      <c r="O205" s="37"/>
    </row>
    <row r="206" spans="6:15" x14ac:dyDescent="0.55000000000000004">
      <c r="F206" s="47"/>
      <c r="G206" s="45" t="str">
        <f t="shared" si="29"/>
        <v>Minimum part load ratio</v>
      </c>
      <c r="H206" s="45">
        <f t="shared" si="29"/>
        <v>0</v>
      </c>
      <c r="I206" s="45" t="str">
        <f t="shared" si="29"/>
        <v>[-]</v>
      </c>
      <c r="J206" s="40"/>
    </row>
    <row r="207" spans="6:15" x14ac:dyDescent="0.55000000000000004">
      <c r="F207" s="47"/>
      <c r="G207" s="45" t="str">
        <f t="shared" si="29"/>
        <v>Supply temperature</v>
      </c>
      <c r="H207" s="45">
        <f t="shared" si="29"/>
        <v>55</v>
      </c>
      <c r="I207" s="45" t="str">
        <f t="shared" si="29"/>
        <v>[deg C]</v>
      </c>
      <c r="J207" s="40"/>
    </row>
    <row r="208" spans="6:15" x14ac:dyDescent="0.55000000000000004">
      <c r="F208" s="47" t="s">
        <v>192</v>
      </c>
      <c r="G208" s="44" t="str">
        <f t="shared" ref="G208:I211" si="31">G69</f>
        <v>CAPEX</v>
      </c>
      <c r="H208" s="37">
        <f t="shared" si="31"/>
        <v>4000</v>
      </c>
      <c r="I208" s="37" t="str">
        <f t="shared" si="31"/>
        <v>[k€/ha]</v>
      </c>
      <c r="J208" s="37"/>
    </row>
    <row r="209" spans="6:10" x14ac:dyDescent="0.55000000000000004">
      <c r="F209" s="47"/>
      <c r="G209" s="44" t="str">
        <f t="shared" si="31"/>
        <v>O\&amp;M</v>
      </c>
      <c r="H209" s="37">
        <f t="shared" si="31"/>
        <v>0.02</v>
      </c>
      <c r="I209" s="37" t="str">
        <f t="shared" si="31"/>
        <v>[-]</v>
      </c>
      <c r="J209" s="37"/>
    </row>
    <row r="210" spans="6:10" x14ac:dyDescent="0.55000000000000004">
      <c r="F210" s="47"/>
      <c r="G210" s="44" t="str">
        <f t="shared" si="31"/>
        <v>Lifetime</v>
      </c>
      <c r="H210" s="37">
        <f t="shared" si="31"/>
        <v>25</v>
      </c>
      <c r="I210" s="37" t="str">
        <f t="shared" si="31"/>
        <v>[-]</v>
      </c>
      <c r="J210" s="37"/>
    </row>
    <row r="211" spans="6:10" x14ac:dyDescent="0.55000000000000004">
      <c r="F211" s="47"/>
      <c r="G211" s="44" t="str">
        <f t="shared" si="31"/>
        <v>Efficiency</v>
      </c>
      <c r="H211" s="37">
        <f t="shared" si="31"/>
        <v>0.65</v>
      </c>
      <c r="I211" s="37" t="str">
        <f t="shared" si="31"/>
        <v>[-]</v>
      </c>
      <c r="J211" s="37"/>
    </row>
  </sheetData>
  <mergeCells count="77">
    <mergeCell ref="K201:K205"/>
    <mergeCell ref="F195:F202"/>
    <mergeCell ref="F203:F207"/>
    <mergeCell ref="F208:F211"/>
    <mergeCell ref="K142:K151"/>
    <mergeCell ref="K152:K155"/>
    <mergeCell ref="K156:K159"/>
    <mergeCell ref="K160:K164"/>
    <mergeCell ref="K165:K170"/>
    <mergeCell ref="K171:K177"/>
    <mergeCell ref="K178:K183"/>
    <mergeCell ref="K184:K187"/>
    <mergeCell ref="K188:K191"/>
    <mergeCell ref="K192:K195"/>
    <mergeCell ref="K196:K200"/>
    <mergeCell ref="F166:F169"/>
    <mergeCell ref="F170:F172"/>
    <mergeCell ref="F173:F177"/>
    <mergeCell ref="F178:F181"/>
    <mergeCell ref="F182:F194"/>
    <mergeCell ref="F142:F143"/>
    <mergeCell ref="F144:F146"/>
    <mergeCell ref="F147:F149"/>
    <mergeCell ref="F150:F152"/>
    <mergeCell ref="F153:F165"/>
    <mergeCell ref="E31:E33"/>
    <mergeCell ref="K14:Y14"/>
    <mergeCell ref="K9:Y9"/>
    <mergeCell ref="E69:E72"/>
    <mergeCell ref="E73:E82"/>
    <mergeCell ref="F26:F30"/>
    <mergeCell ref="E26:E30"/>
    <mergeCell ref="F31:F33"/>
    <mergeCell ref="F34:F38"/>
    <mergeCell ref="F39:F42"/>
    <mergeCell ref="F43:F55"/>
    <mergeCell ref="F56:F63"/>
    <mergeCell ref="E34:E38"/>
    <mergeCell ref="E39:E42"/>
    <mergeCell ref="E43:E55"/>
    <mergeCell ref="E56:E63"/>
    <mergeCell ref="E2:E3"/>
    <mergeCell ref="E4:E6"/>
    <mergeCell ref="E7:E9"/>
    <mergeCell ref="E10:E12"/>
    <mergeCell ref="E13:E25"/>
    <mergeCell ref="F2:F3"/>
    <mergeCell ref="F4:F6"/>
    <mergeCell ref="F7:F9"/>
    <mergeCell ref="F10:F12"/>
    <mergeCell ref="F13:F25"/>
    <mergeCell ref="F110:F115"/>
    <mergeCell ref="E133:E136"/>
    <mergeCell ref="F133:F136"/>
    <mergeCell ref="F116:F119"/>
    <mergeCell ref="F120:F123"/>
    <mergeCell ref="F124:F127"/>
    <mergeCell ref="F128:F132"/>
    <mergeCell ref="E128:E132"/>
    <mergeCell ref="E110:E115"/>
    <mergeCell ref="E116:E119"/>
    <mergeCell ref="E120:E123"/>
    <mergeCell ref="E124:E127"/>
    <mergeCell ref="E97:E102"/>
    <mergeCell ref="F91:F96"/>
    <mergeCell ref="F97:F102"/>
    <mergeCell ref="F103:F109"/>
    <mergeCell ref="F64:F68"/>
    <mergeCell ref="F69:F72"/>
    <mergeCell ref="F73:F82"/>
    <mergeCell ref="F83:F86"/>
    <mergeCell ref="F87:F90"/>
    <mergeCell ref="E83:E86"/>
    <mergeCell ref="E87:E90"/>
    <mergeCell ref="E91:E96"/>
    <mergeCell ref="E64:E68"/>
    <mergeCell ref="E103:E109"/>
  </mergeCells>
  <hyperlinks>
    <hyperlink ref="K110" r:id="rId1" xr:uid="{00000000-0004-0000-0000-000001000000}"/>
    <hyperlink ref="K98" r:id="rId2" display="https://www.iea.org/data-and-statistics/charts/price-distribution-of-electric-cars-compared-to-overall-car-market-in-the-european-union-2021-2022" xr:uid="{00000000-0004-0000-0000-000000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Terlouw Tom Mike</dc:creator>
  <cp:lastModifiedBy>Terlouw  Tom Mike</cp:lastModifiedBy>
  <dcterms:created xsi:type="dcterms:W3CDTF">2021-09-15T15:15:29Z</dcterms:created>
  <dcterms:modified xsi:type="dcterms:W3CDTF">2024-04-17T08:37:55Z</dcterms:modified>
</cp:coreProperties>
</file>