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9.xml" ContentType="application/vnd.openxmlformats-officedocument.drawingml.chart+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0" windowWidth="11640" windowHeight="7050" activeTab="6"/>
  </bookViews>
  <sheets>
    <sheet name="Vertices" sheetId="3" r:id="rId1"/>
    <sheet name="Do Not Delete" sheetId="4" state="hidden" r:id="rId2"/>
    <sheet name="Groups" sheetId="5" r:id="rId3"/>
    <sheet name="Group Vertices" sheetId="6" r:id="rId4"/>
    <sheet name="Overall Metrics" sheetId="7" r:id="rId5"/>
    <sheet name="Misc" sheetId="2" state="hidden" r:id="rId6"/>
    <sheet name="Group Edges" sheetId="8"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4525"/>
</workbook>
</file>

<file path=xl/calcChain.xml><?xml version="1.0" encoding="utf-8"?>
<calcChain xmlns="http://schemas.openxmlformats.org/spreadsheetml/2006/main">
  <c r="R208" i="3" l="1"/>
  <c r="R223" i="3"/>
  <c r="R206" i="3"/>
  <c r="R77" i="3"/>
  <c r="R213" i="3"/>
  <c r="R220" i="3"/>
  <c r="R224" i="3"/>
  <c r="R203" i="3"/>
  <c r="R221" i="3"/>
  <c r="R201" i="3"/>
  <c r="R212" i="3"/>
  <c r="R165" i="3"/>
  <c r="R225" i="3"/>
  <c r="R200" i="3"/>
  <c r="R227" i="3"/>
  <c r="R217" i="3"/>
  <c r="R160" i="3"/>
  <c r="R209" i="3"/>
  <c r="R210" i="3"/>
  <c r="R226" i="3"/>
  <c r="R174" i="3"/>
  <c r="R228" i="3"/>
  <c r="R205" i="3"/>
  <c r="R219" i="3"/>
  <c r="R202" i="3"/>
  <c r="R216" i="3"/>
  <c r="R218" i="3"/>
  <c r="R195" i="3"/>
  <c r="R173" i="3"/>
  <c r="R186" i="3"/>
  <c r="R148" i="3"/>
  <c r="R158" i="3"/>
  <c r="R140" i="3"/>
  <c r="R193" i="3"/>
  <c r="R188" i="3"/>
  <c r="R144" i="3"/>
  <c r="R163" i="3"/>
  <c r="R130" i="3"/>
  <c r="R133" i="3"/>
  <c r="R159" i="3"/>
  <c r="R182" i="3"/>
  <c r="R181" i="3"/>
  <c r="R211" i="3"/>
  <c r="R118" i="3"/>
  <c r="R20" i="3"/>
  <c r="R145" i="3"/>
  <c r="R214" i="3"/>
  <c r="R38" i="3"/>
  <c r="R215" i="3"/>
  <c r="R80" i="3"/>
  <c r="R76" i="3"/>
  <c r="R161" i="3"/>
  <c r="R129" i="3"/>
  <c r="R184" i="3"/>
  <c r="R190" i="3"/>
  <c r="R170" i="3"/>
  <c r="R117" i="3"/>
  <c r="R179" i="3"/>
  <c r="R131" i="3"/>
  <c r="R187" i="3"/>
  <c r="R141" i="3"/>
  <c r="R23" i="3"/>
  <c r="R25" i="3"/>
  <c r="R127" i="3"/>
  <c r="R175" i="3"/>
  <c r="R152" i="3"/>
  <c r="R132" i="3"/>
  <c r="R204" i="3"/>
  <c r="R138" i="3"/>
  <c r="R198" i="3"/>
  <c r="R157" i="3"/>
  <c r="R3" i="3"/>
  <c r="R47" i="3"/>
  <c r="R28" i="3"/>
  <c r="R189" i="3"/>
  <c r="R147" i="3"/>
  <c r="R134" i="3"/>
  <c r="R115" i="3"/>
  <c r="R149" i="3"/>
  <c r="R183" i="3"/>
  <c r="R30" i="3"/>
  <c r="R196" i="3"/>
  <c r="R121" i="3"/>
  <c r="R62" i="3"/>
  <c r="R89" i="3"/>
  <c r="R10" i="3"/>
  <c r="R156" i="3"/>
  <c r="R139" i="3"/>
  <c r="R197" i="3"/>
  <c r="R154" i="3"/>
  <c r="R111" i="3"/>
  <c r="R116" i="3"/>
  <c r="R108" i="3"/>
  <c r="R166" i="3"/>
  <c r="R73" i="3"/>
  <c r="R120" i="3"/>
  <c r="R37" i="3"/>
  <c r="R110" i="3"/>
  <c r="R142" i="3"/>
  <c r="R135" i="3"/>
  <c r="R21" i="3"/>
  <c r="R11" i="3"/>
  <c r="R128" i="3"/>
  <c r="R172" i="3"/>
  <c r="R96" i="3"/>
  <c r="R178" i="3"/>
  <c r="R106" i="3"/>
  <c r="R98" i="3"/>
  <c r="R171" i="3"/>
  <c r="R35" i="3"/>
  <c r="R107" i="3"/>
  <c r="R85" i="3"/>
  <c r="R81" i="3"/>
  <c r="R91" i="3"/>
  <c r="R153" i="3"/>
  <c r="R199" i="3"/>
  <c r="R13" i="3"/>
  <c r="R194" i="3"/>
  <c r="R29" i="3"/>
  <c r="R146" i="3"/>
  <c r="R114" i="3"/>
  <c r="R5" i="3"/>
  <c r="R169" i="3"/>
  <c r="R94" i="3"/>
  <c r="R97" i="3"/>
  <c r="R93" i="3"/>
  <c r="R95" i="3"/>
  <c r="R101" i="3"/>
  <c r="R86" i="3"/>
  <c r="R84" i="3"/>
  <c r="R82" i="3"/>
  <c r="R79" i="3"/>
  <c r="R59" i="3"/>
  <c r="R180" i="3"/>
  <c r="R61" i="3"/>
  <c r="R104" i="3"/>
  <c r="R67" i="3"/>
  <c r="R113" i="3"/>
  <c r="R112" i="3"/>
  <c r="R74" i="3"/>
  <c r="R143" i="3"/>
  <c r="R137" i="3"/>
  <c r="R167" i="3"/>
  <c r="R12" i="3"/>
  <c r="R71" i="3"/>
  <c r="R207" i="3"/>
  <c r="R69" i="3"/>
  <c r="R65" i="3"/>
  <c r="R191" i="3"/>
  <c r="R150" i="3"/>
  <c r="R33" i="3"/>
  <c r="R100" i="3"/>
  <c r="R64" i="3"/>
  <c r="R185" i="3"/>
  <c r="R162" i="3"/>
  <c r="R122" i="3"/>
  <c r="R63" i="3"/>
  <c r="R124" i="3"/>
  <c r="R60" i="3"/>
  <c r="R168" i="3"/>
  <c r="R105" i="3"/>
  <c r="R75" i="3"/>
  <c r="R119" i="3"/>
  <c r="R8" i="3"/>
  <c r="R155" i="3"/>
  <c r="R52" i="3"/>
  <c r="R87" i="3"/>
  <c r="R32" i="3"/>
  <c r="R92" i="3"/>
  <c r="R57" i="3"/>
  <c r="R56" i="3"/>
  <c r="R90" i="3"/>
  <c r="R66" i="3"/>
  <c r="R126" i="3"/>
  <c r="R68" i="3"/>
  <c r="R16" i="3"/>
  <c r="R78" i="3"/>
  <c r="R72" i="3"/>
  <c r="R34" i="3"/>
  <c r="R54" i="3"/>
  <c r="R51" i="3"/>
  <c r="R151" i="3"/>
  <c r="R55" i="3"/>
  <c r="R53" i="3"/>
  <c r="R99" i="3"/>
  <c r="R109" i="3"/>
  <c r="R176" i="3"/>
  <c r="R192" i="3"/>
  <c r="R48" i="3"/>
  <c r="R39" i="3"/>
  <c r="R19" i="3"/>
  <c r="R102" i="3"/>
  <c r="R45" i="3"/>
  <c r="R24" i="3"/>
  <c r="R42" i="3"/>
  <c r="R41" i="3"/>
  <c r="R136" i="3"/>
  <c r="R31" i="3"/>
  <c r="R44" i="3"/>
  <c r="R46" i="3"/>
  <c r="R123" i="3"/>
  <c r="R88" i="3"/>
  <c r="R15" i="3"/>
  <c r="R36" i="3"/>
  <c r="R40" i="3"/>
  <c r="R83" i="3"/>
  <c r="R103" i="3"/>
  <c r="R49" i="3"/>
  <c r="R58" i="3"/>
  <c r="R70" i="3"/>
  <c r="R6" i="3"/>
  <c r="R9" i="3"/>
  <c r="R7" i="3"/>
  <c r="R27" i="3"/>
  <c r="R50" i="3"/>
  <c r="R26" i="3"/>
  <c r="R18" i="3"/>
  <c r="R22" i="3"/>
  <c r="R43" i="3"/>
  <c r="R17" i="3"/>
  <c r="R14" i="3"/>
  <c r="R125" i="3"/>
  <c r="R4" i="3"/>
  <c r="R164" i="3"/>
  <c r="R177" i="3"/>
  <c r="R222" i="3"/>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6" i="7"/>
  <c r="B155" i="7"/>
  <c r="R57" i="7"/>
  <c r="S57" i="7" s="1"/>
  <c r="R2" i="7"/>
  <c r="B153" i="7" s="1"/>
  <c r="B128" i="7"/>
  <c r="B127" i="7"/>
  <c r="N57" i="7"/>
  <c r="O57" i="7" s="1"/>
  <c r="N2" i="7"/>
  <c r="B125" i="7" s="1"/>
  <c r="B114" i="7"/>
  <c r="B113" i="7"/>
  <c r="L57" i="7"/>
  <c r="M57" i="7" s="1"/>
  <c r="L2" i="7"/>
  <c r="B111" i="7" s="1"/>
  <c r="B100" i="7"/>
  <c r="B99" i="7"/>
  <c r="J57" i="7"/>
  <c r="K57" i="7" s="1"/>
  <c r="J2" i="7"/>
  <c r="B97" i="7" s="1"/>
  <c r="B86" i="7"/>
  <c r="B85" i="7"/>
  <c r="H57" i="7"/>
  <c r="I57" i="7" s="1"/>
  <c r="H2" i="7"/>
  <c r="B83" i="7" s="1"/>
  <c r="B72" i="7"/>
  <c r="B71" i="7"/>
  <c r="F57" i="7"/>
  <c r="G57" i="7" s="1"/>
  <c r="F2" i="7"/>
  <c r="B69" i="7" s="1"/>
  <c r="B58" i="7"/>
  <c r="B57" i="7"/>
  <c r="T2" i="7"/>
  <c r="T57" i="7"/>
  <c r="B126" i="7" l="1"/>
  <c r="B112" i="7"/>
  <c r="B98" i="7"/>
  <c r="B154" i="7"/>
  <c r="B84" i="7"/>
  <c r="B70"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D2" i="7"/>
  <c r="B55" i="7" s="1"/>
  <c r="U57" i="7"/>
  <c r="E57" i="7" l="1"/>
  <c r="B56" i="7"/>
  <c r="P40" i="7"/>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2.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4.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<sst xmlns="http://schemas.openxmlformats.org/spreadsheetml/2006/main" count="485" uniqueCount="206">
  <si>
    <t>Color</t>
  </si>
  <si>
    <t>Opacity</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</si>
  <si>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</si>
  <si>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</si>
  <si>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</si>
  <si>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</si>
  <si>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</si>
  <si>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</si>
  <si>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</si>
  <si>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</si>
  <si>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</si>
  <si>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</si>
  <si>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</si>
  <si>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</si>
  <si>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</si>
  <si>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</si>
  <si>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</si>
  <si>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</si>
  <si>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</si>
  <si>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</si>
  <si>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</si>
  <si>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</si>
  <si>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</si>
  <si>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</si>
  <si>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</si>
  <si>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</si>
  <si>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</si>
  <si>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</si>
  <si>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</si>
  <si>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</si>
  <si>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</si>
  <si>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</si>
  <si>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</si>
  <si>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</si>
  <si>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</si>
  <si>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</si>
  <si>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</si>
  <si>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</si>
  <si>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</si>
  <si>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</si>
  <si>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</si>
  <si>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</si>
  <si>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</si>
  <si>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</si>
  <si>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</si>
  <si>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</si>
  <si>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</si>
  <si>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</si>
  <si>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</si>
  <si>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</si>
  <si>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</si>
  <si>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</si>
  <si>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</si>
  <si>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</si>
  <si>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</si>
  <si>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</si>
  <si>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</si>
  <si>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</si>
  <si>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</si>
  <si>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</si>
  <si>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</si>
  <si>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</si>
  <si>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</si>
  <si>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</si>
  <si>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</si>
  <si>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</si>
  <si>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</si>
  <si>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</si>
  <si>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</si>
  <si>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</si>
  <si>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</si>
  <si>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</si>
  <si>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</si>
  <si>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</si>
  <si>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</si>
  <si>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</si>
  <si>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</si>
  <si>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</si>
  <si>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</si>
  <si>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</si>
  <si>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</si>
  <si>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</si>
  <si>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</si>
  <si>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</si>
  <si>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</si>
  <si>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</si>
  <si>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</si>
  <si>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</si>
  <si>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</si>
  <si>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</si>
  <si>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</si>
  <si>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</si>
  <si>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</si>
  <si>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</si>
  <si>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</si>
  <si>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</si>
  <si>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</si>
  <si>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</si>
  <si>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</si>
  <si>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</si>
  <si>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</si>
  <si>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</si>
  <si>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</si>
  <si>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</si>
  <si>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</si>
  <si>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</si>
  <si>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</si>
  <si>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</si>
  <si>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</si>
  <si>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</si>
  <si>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</si>
  <si>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</si>
  <si>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</si>
  <si>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</si>
  <si>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</si>
  <si>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</si>
  <si>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</si>
  <si>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</si>
  <si>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</si>
  <si>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</si>
  <si>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</si>
  <si>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</si>
  <si>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</si>
  <si>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</si>
  <si>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</si>
  <si>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</si>
  <si>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</si>
  <si>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</si>
  <si>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</si>
  <si>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</si>
  <si>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</si>
  <si>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</si>
  <si>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</si>
  <si>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</si>
  <si>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</si>
  <si>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</si>
  <si>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</si>
  <si>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</si>
  <si>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</si>
  <si>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</si>
  <si>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</si>
  <si>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</si>
  <si>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</si>
  <si>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</si>
  <si>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</si>
  <si>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</si>
  <si>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</si>
  <si>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</si>
  <si>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</si>
  <si>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</si>
  <si>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</si>
  <si>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</si>
  <si>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Graph Metric</t>
  </si>
  <si>
    <t>Readability Metric</t>
  </si>
  <si>
    <t>Valid Group Shapes</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</si>
  <si>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</si>
  <si>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</si>
  <si>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</si>
  <si>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</si>
  <si>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</si>
  <si>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</si>
  <si>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</si>
  <si>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</si>
  <si>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</si>
  <si>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</si>
  <si>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</si>
  <si>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Followed</t>
  </si>
  <si>
    <t>Followers</t>
  </si>
  <si>
    <t>Tweets</t>
  </si>
  <si>
    <t>Favorites</t>
  </si>
  <si>
    <t>Time Zone UTC Offset (Seconds)</t>
  </si>
  <si>
    <t>Joined Twitter Date (UTC)</t>
  </si>
  <si>
    <t>User of Interest?</t>
  </si>
  <si>
    <t>Directed</t>
  </si>
  <si>
    <t>Graph Type</t>
  </si>
  <si>
    <t>Modularity</t>
  </si>
  <si>
    <t>NodeXL Version</t>
  </si>
  <si>
    <t>Not Applicable</t>
  </si>
  <si>
    <t>1.0.1.386</t>
  </si>
  <si>
    <t>Workbook Settings 2</t>
  </si>
  <si>
    <t>1</t>
  </si>
  <si>
    <t>2</t>
  </si>
  <si>
    <t>3</t>
  </si>
  <si>
    <t>4</t>
  </si>
  <si>
    <t>0, 136, 227</t>
  </si>
  <si>
    <t>GraphSource░TwitterUsers▓GraphTerm░abernethy,ASHScotland,CitizensAdviceD,AceRecycling1,anlanntair,apexscotland,whatsonfife,worldwidecancer,AyrshireHospice,BieldScotland,BlairtummockHA,Caledonia_HA,CarnegieUni,CG_CarrGomm,StMarysCathEdin,CCA_Glasgow,charteredbanker,CbyJ,CABFife,Columba1400,DeafAction,Andrewdestiny,Dovetail1993,AlcDrugsAction,DCAdundee,DunedinCanmore,ELCAP89,EdinDogCatHome,EdSciFest,ESWsculpture,EdinburghWH,EnableGlasgow,enjoy_leisure,CircleScot,edtheatres,FCCTrust,Fife_Golf_Trust,FifeHistoricBT,FindhornFound,FreespaceScot,FrontlineFife,Secsynod,gtcs,glasssheena,SimonCommScot,GWA1973,GALVmed,GrampianHA,nessnortheast,GirlguidingScot,hanoverscotland,hlhsocial,impact_arts,includem2000,InspiringSland,IOMworld,KibblePaisley,kilgraston,LinstoneHousing,LoreburnHA,mndscotland,ManorEstatesHA,McSenceGroup,mha1992,MungoFoundation,MuseumsGalScot,NtlMuseumsScot,suppinmindscot,NYCoScotland,New_Start_High,OYTScotland,partnersforinc,penumbra_scot,PKAVScharity,PITLOCHRYft,PublishScotland,quarriers,robertsontrust,sacro_,HelloSanctuary,ScotMarineInst,CitAdviceScot,scottishautism,scottishbktrust,BITCScotland,SCOmusic,ScotChildmind,Scotmaritime,srpsrailtours,scottishspca,ScotVetRes,syhahostelling,SenseScotland,ShetlandArts,sistemascotland,SGHTcharitysite,spireviewHA,sportaberdeen,StAndrewHospice,strathcarron1,street_work,HSofG,N_T_S,pickyorkney,EdinSickKids,inthepentlands,volactionfund,VANLanarkshire,VolScotland,waverleycare,waverleyhousing,womensaidSL,waspsstudios,bemis_scotland,cvoea,cvsfalkirk,centrepointuk,churchscotland,commlinkssl,dundeevolaction,fifevolaction,highlandtsi,natrecordsscot,scotcharityreg,scvotweet,scotgov,tayrshirect,3rdsectordg,vaerenf,volunteeredi,wdcvs,va_scotland,scvotweet,scotcharityreg,acosvo,evalsupscot,socialvaluelab,biglotteryfund,bigscotland,3rdsectorrc,3rdsectorportal,scotstat,ons,natrecordsscot,scotgov,scotcen,socentscot,senscot,inspiringsland,volscotland,volactionfund,sfha_hq,iofscotland,ioftweets,cfgtweets,istrorg,ukfundraising,justgiving,dsc_charity,adlstweet,jrf_uk,skillseffect,socialent_uk,3rdsechsc,360giving,nfpsynergy,alliancescot,vhscomms,robertsontrust,cisweb,earlyyearsscot,playscotland,soscn,parents_sptc,youthscotland,youthlinkscot,engenderscot,scotwomensaid,agescotland,inclusionscot,arcscot,befriendingnet,carersscotland,ccpscotland,1homelessaction,relscot,palliative_scot,sdfnews,samhtweets,bemis_scotland,interfaithscot,citadvicescot,lgbtscotland,siaa_voice,povertyalliance,archscot,museumsgalscot,scotcivictrust,scda1,vascotland,thebefs,crnscotland,fcfcg,scotsportassoc,abculcus,ctauk1,dtascot,fairtradenation,scottishleague,socialfirmsscot,scotregen,nidosnetwork,scotgov,royalstatsoc,ukdataservice,ukgss,adrc_scotland,adrn_uk,urbanbigdata,scotstat,ukdscensus,statsusernet,ukdsimpact,ukstatsauth,calls_hub,socialstats_rss,farrinstitute,ukdsbigdata,equalitypoverty,ukdataarchive,radicalstats,sgjusticeanalys,sgresas,statisticswales,scotxed,eu_eurostat,nisra,onsgeography,biosscotland,knowfifedataset,housemarkscot▓LayoutAlgorithm░The graph was laid out using the Harel-Koren Fast Multiscale layout algorithm.▓GraphDirectedness░The graph is directed.▓GroupingDescription░The graph's vertices were grouped by group values.</t>
  </si>
  <si>
    <t>Group 1</t>
  </si>
  <si>
    <t>Group 2</t>
  </si>
  <si>
    <t>Edges</t>
  </si>
  <si>
    <t>Workbook Settings 3</t>
  </si>
  <si>
    <t>green</t>
  </si>
  <si>
    <t>purple</t>
  </si>
  <si>
    <t>orange</t>
  </si>
  <si>
    <t>&lt;?xml version="1.0" encoding="utf-8"?&gt;_x000D_
&lt;configuration&gt;_x000D_
  &lt;configSections&gt;_x000D_
    &lt;sectionGroup name="userSettings" type="System.Configuration.UserSettingsGroup, System, Version=2.0.0.0, Culture=neutral, PublicKeyToken=b77a5c561934e089"&gt;_x000D_
      &lt;section name="GraphImageUserSettings2"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&lt;GraphImageUserSettings2&gt;_x000D_
      &lt;setting name="ImageSize" serializeAs="String"&gt;_x000D_
        &lt;value&gt;1500, 1210&lt;/value&gt;_x000D_
      &lt;/setting&gt;_x000D_
      &lt;setting name="UseControlSize" serializeAs="String"&gt;_x000D_
        &lt;value&gt;False&lt;/value&gt;_x000D_
      &lt;/setting&gt;_x000D_
      &lt;setting name="HeaderFooterFont" serializeAs="String"&gt;_x000D_
        &lt;value&gt;Microsoft Sans Serif, 8.25pt&lt;/value&gt;_x000D_
      &lt;/setting&gt;_x000D_
      &lt;setting name="HeaderText" serializeAs="String"&gt;_x000D_
        &lt;value&gt;Social media network connections&lt;/value&gt;_x000D_
      &lt;/setting&gt;_x000D_
      &lt;setting name="IncludeHeader" serializeAs="String"&gt;_x000D_
        &lt;value&gt;False&lt;/value&gt;_x000D_
      &lt;/setting&gt;_x000D_
      &lt;setting name="IncludeFooter" serializeAs="String"&gt;_x000D_
        &lt;value&gt;False&lt;/value&gt;_x000D_
      &lt;/setting&gt;_x000D_
      &lt;setting name="FooterText" serializeAs="String"&gt;_x000D_
        &lt;value&gt;Created with NodeXL Pro (http://nodexl.codeplex.com) from the Social Media Research Foundation (http://www.smrfoundation.org)&lt;/value&gt;_x000D_
      &lt;/setting&gt;_x000D_
    &lt;/GraphImageUserSettings2&gt;_x000D_
    &lt;AutoFillUserSettings3&gt;_x000D_
      &lt;setting name="VertexColorDetails" serializeAs="String"&gt;_x000D_
        &lt;value&gt;False	False	0	10	241, 137, 4	46, 7, 195	False	False	False&lt;/value&gt;_x000D_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 /&gt;_x000D_
      &lt;/setting&gt;_x000D_
      &lt;setting name="VertexRadiusSourceColumnName"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t>
  </si>
  <si>
    <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 /&gt;_x000D_
      &lt;/setting&gt;_x000D_
      &lt;setting name="VertexToolTipSourceColumnName" serializeAs="String"&gt;_x000D_
        &lt;value /&gt;_x000D_
      &lt;/setting&gt;_x000D_
      &lt;setting name="EdgeWidthSourceColumnName" serializeAs="String"&gt;_x000D_
        &lt;value /&gt;_x000D_
      &lt;/setting&gt;_x000D_
      &lt;setting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1	10	1.5	10	False	False&lt;/value&gt;_x000D_
      &lt;/setting&gt;_x000D_
      &lt;setting name="EdgeColorSourceColumnName" serializeAs="String"&gt;_x000D_
        &lt;value /&gt;_x000D_
      &lt;/setting&gt;_x000D_
      &lt;setting name="VertexXDetails" serializeAs="String"&gt;_x000D_
        &lt;value&gt;False	False	0	0	0	9999	False	False&lt;/value&gt;_x000D_
      &lt;/setting&gt;_x000D_
      &lt;setting name="GroupLabelSourceColumnName" serializeAs="String"&gt;_x000D_
        &lt;value /&gt;_x000D_
      &lt;/setting&gt;_x000D_
      &lt;setting name="VertexColorSourceColumnName" serializeAs="String"&gt;_x000D_
        &lt;value /&gt;_x000D_
      &lt;/setting&gt;_x000D_
      &lt;setting name="EdgeAlphaDetails" serializeAs="String"&gt;_x000D_
        &lt;value&gt;False	False	0	100	10	100	False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&lt;MergeDuplicateEdgesUserSettings&gt;_x000D_
      &lt;setting name="ThirdColumnNameForDuplicateDetection" serializeAs="String"&gt;_x000D_
        &lt;value /&gt;_x000D_
      &lt;/setting&gt;_x000D_
      &lt;setting name="DeleteDuplicates" serializeAs="String"&gt;_x000D_
        &lt;value&gt;False&lt;/value&gt;_x000D_
      &lt;/setting&gt;_x000D_
      &lt;setting name="CountDuplicates" serializeAs="String"&gt;_x000D_
        &lt;value&gt;True&lt;/value&gt;_x000D_
      &lt;/setting&gt;_x000D_
    &lt;/MergeDuplicateEdgesUserSettings&gt;_x000D_
    &lt;GroupUserSettings&gt;_x000D_
      &lt;setting name="ReadGroups" serializeAs="String"&gt;_x000D_
        &lt;value&gt;True&lt;/value&gt;_x000D_
      &lt;/setting&gt;_x000D_
    &lt;/GroupUserSettings&gt;_x000D_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OverallMetrics, GroupMetrics, EdgeReciprocation&lt;/value&gt;_x000D_
      &lt;/setting&gt;_x000D_
    &lt;/GraphMetricUserSettings&gt;_x000D_
    &lt;LayoutUserSettings&gt;_x000D_
      &lt;setting name="Layout" serializeAs="String"&gt;_x000D_
        &lt;value&gt;HarelKorenFastMultiscale&lt;/value&gt;_x000D_
      &lt;/setting&gt;_x000D_
    &lt;/LayoutUserSettings&gt;_x000D_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name="EdgeColor" serializeAs="String"&gt;_x000D_
        &lt;value&gt;Gray&lt;/value&gt;_x000D_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
  </si>
  <si>
    <t>tting name="RelativeArrowSize" serializeAs="String"&gt;_x000D_
        &lt;value&gt;3&lt;/value&gt;_x000D_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&lt;value&gt;Red&lt;/value&gt;_x000D_
      &lt;/setting&gt;_x000D_
      &lt;setting name="VertexShape" serializeAs="String"&gt;_x000D_
        &lt;value&gt;Disk&lt;/value&gt;_x000D_
      &lt;/setting&gt;_x000D_
      &lt;setting name="EdgeCurveStyle" serializeAs="String"&gt;_x000D_
        &lt;value&gt;Straight&lt;/value&gt;_x000D_
      &lt;/setting&gt;_x000D_
    &lt;/GeneralUserSettings4&gt;_x000D_
  &lt;/userSettings&gt;_x000D_
&lt;/configuration&gt;</t>
  </si>
  <si>
    <t>Column1</t>
  </si>
  <si>
    <t>Column2</t>
  </si>
  <si>
    <t>Column3</t>
  </si>
  <si>
    <t>Column4</t>
  </si>
  <si>
    <t>Column5</t>
  </si>
  <si>
    <t>Column6</t>
  </si>
  <si>
    <t>Column7</t>
  </si>
  <si>
    <t>Column8</t>
  </si>
  <si>
    <t>Column9</t>
  </si>
  <si>
    <t>Column10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</si>
</sst>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2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0" fontId="0" fillId="5" borderId="1" xfId="4" applyNumberFormat="1" applyFont="1"/>
    <xf numFmtId="49" fontId="6" fillId="6" borderId="1" xfId="6" applyNumberFormat="1"/>
    <xf numFmtId="0"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0" borderId="0" xfId="0" applyAlignment="1"/>
    <xf numFmtId="0" fontId="0" fillId="0" borderId="0" xfId="0" applyFill="1" applyAlignment="1"/>
    <xf numFmtId="1" fontId="11" fillId="4" borderId="1" xfId="5" applyNumberFormat="1" applyFont="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13" fillId="0" borderId="0" xfId="9" applyAlignment="1"/>
    <xf numFmtId="0" fontId="13" fillId="5" borderId="1" xfId="9" applyNumberFormat="1" applyFill="1" applyBorder="1" applyAlignment="1"/>
    <xf numFmtId="0" fontId="13" fillId="5" borderId="11" xfId="9" applyNumberFormat="1" applyFill="1" applyBorder="1" applyAlignment="1"/>
    <xf numFmtId="1" fontId="0" fillId="5" borderId="1" xfId="4" applyNumberFormat="1" applyFont="1" applyBorder="1" applyAlignment="1"/>
    <xf numFmtId="0" fontId="0" fillId="5" borderId="1" xfId="4" applyNumberFormat="1" applyFont="1" applyBorder="1" applyAlignment="1"/>
    <xf numFmtId="0" fontId="0" fillId="0" borderId="0" xfId="0" applyFill="1" applyBorder="1" applyAlignment="1"/>
    <xf numFmtId="0" fontId="5" fillId="5" borderId="1" xfId="8" applyNumberFormat="1" applyAlignment="1"/>
    <xf numFmtId="164" fontId="0" fillId="5" borderId="1" xfId="4" applyNumberFormat="1" applyFont="1" applyBorder="1" applyAlignment="1"/>
    <xf numFmtId="49" fontId="6" fillId="6" borderId="1" xfId="6" applyNumberFormat="1" applyBorder="1" applyAlignment="1"/>
    <xf numFmtId="0" fontId="6" fillId="6" borderId="1" xfId="6" applyNumberFormat="1" applyBorder="1" applyAlignment="1"/>
    <xf numFmtId="164" fontId="0" fillId="3" borderId="1" xfId="7" applyNumberFormat="1" applyFont="1" applyBorder="1" applyAlignment="1"/>
    <xf numFmtId="165" fontId="0" fillId="3" borderId="1" xfId="7" applyNumberFormat="1" applyFont="1" applyBorder="1" applyAlignment="1"/>
    <xf numFmtId="0" fontId="0" fillId="3" borderId="1" xfId="7" applyNumberFormat="1" applyFont="1" applyBorder="1" applyAlignment="1"/>
    <xf numFmtId="166" fontId="0" fillId="3" borderId="1" xfId="7" applyNumberFormat="1" applyFont="1" applyBorder="1" applyAlignment="1"/>
    <xf numFmtId="1" fontId="11" fillId="4" borderId="1" xfId="5" applyNumberFormat="1" applyFont="1" applyBorder="1" applyAlignment="1"/>
    <xf numFmtId="167" fontId="11" fillId="4" borderId="1" xfId="5" applyNumberFormat="1" applyFont="1" applyBorder="1" applyAlignment="1"/>
    <xf numFmtId="167" fontId="5" fillId="4" borderId="1" xfId="5" applyNumberFormat="1" applyBorder="1" applyAlignment="1"/>
    <xf numFmtId="0" fontId="0" fillId="2" borderId="1" xfId="1" applyNumberFormat="1" applyFont="1" applyBorder="1" applyAlignment="1"/>
    <xf numFmtId="0" fontId="11" fillId="5" borderId="1" xfId="4" applyNumberFormat="1" applyFont="1"/>
    <xf numFmtId="0" fontId="0" fillId="3" borderId="11" xfId="7" applyNumberFormat="1" applyFont="1" applyBorder="1"/>
    <xf numFmtId="0" fontId="11" fillId="2" borderId="1" xfId="1" applyNumberFormat="1" applyFont="1"/>
    <xf numFmtId="49" fontId="6" fillId="6" borderId="11" xfId="6" applyNumberFormat="1" applyBorder="1"/>
    <xf numFmtId="0" fontId="0" fillId="5" borderId="11" xfId="4" applyNumberFormat="1" applyFont="1" applyBorder="1"/>
    <xf numFmtId="0" fontId="11" fillId="5" borderId="11" xfId="4" applyNumberFormat="1" applyFont="1" applyBorder="1"/>
    <xf numFmtId="0" fontId="0" fillId="0" borderId="0" xfId="0" applyNumberFormat="1"/>
    <xf numFmtId="49" fontId="0" fillId="0" borderId="0" xfId="3" applyNumberFormat="1" applyFont="1" applyAlignment="1"/>
    <xf numFmtId="49" fontId="0" fillId="0" borderId="0" xfId="3" applyNumberFormat="1" applyFont="1" applyBorder="1" applyAlignment="1"/>
    <xf numFmtId="0" fontId="11" fillId="2" borderId="11" xfId="1" applyNumberFormat="1" applyFont="1" applyBorder="1"/>
    <xf numFmtId="0" fontId="0" fillId="2" borderId="11" xfId="1" applyNumberFormat="1" applyFont="1" applyBorder="1"/>
    <xf numFmtId="0" fontId="0" fillId="0" borderId="0" xfId="0" quotePrefix="1" applyAlignment="1"/>
    <xf numFmtId="0" fontId="0" fillId="0" borderId="0" xfId="3" applyFont="1" applyAlignment="1"/>
    <xf numFmtId="0" fontId="0" fillId="0" borderId="0" xfId="3" applyFont="1" applyAlignment="1">
      <alignment wrapText="1"/>
    </xf>
    <xf numFmtId="0" fontId="5" fillId="4" borderId="1" xfId="5" applyNumberFormat="1" applyAlignment="1">
      <alignment wrapText="1"/>
    </xf>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03">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border outline="0">
        <left style="thin">
          <color theme="0"/>
        </left>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02"/>
      <tableStyleElement type="headerRow" dxfId="101"/>
    </tableStyle>
    <tableStyle name="NodeXL Table" pivot="0" count="1">
      <tableStyleElement type="headerRow" dxfId="10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35</c:v>
                </c:pt>
              </c:strCache>
            </c:strRef>
          </c:tx>
          <c:spPr>
            <a:solidFill>
              <a:schemeClr val="accent1"/>
            </a:solidFill>
          </c:spPr>
          <c:invertIfNegative val="0"/>
          <c:cat>
            <c:numRef>
              <c:f>'Overall Metrics'!$D$2:$D$57</c:f>
              <c:numCache>
                <c:formatCode>#,##0.00</c:formatCode>
                <c:ptCount val="56"/>
                <c:pt idx="0">
                  <c:v>0</c:v>
                </c:pt>
                <c:pt idx="1">
                  <c:v>2.1818181818181817</c:v>
                </c:pt>
                <c:pt idx="2">
                  <c:v>4.3636363636363633</c:v>
                </c:pt>
                <c:pt idx="3">
                  <c:v>6.545454545454545</c:v>
                </c:pt>
                <c:pt idx="4">
                  <c:v>8.7272727272727266</c:v>
                </c:pt>
                <c:pt idx="5">
                  <c:v>10.909090909090908</c:v>
                </c:pt>
                <c:pt idx="6">
                  <c:v>13.09090909090909</c:v>
                </c:pt>
                <c:pt idx="7">
                  <c:v>15.272727272727272</c:v>
                </c:pt>
                <c:pt idx="8">
                  <c:v>17.454545454545453</c:v>
                </c:pt>
                <c:pt idx="9">
                  <c:v>19.636363636363633</c:v>
                </c:pt>
                <c:pt idx="10">
                  <c:v>21.818181818181813</c:v>
                </c:pt>
                <c:pt idx="11">
                  <c:v>23.999999999999993</c:v>
                </c:pt>
                <c:pt idx="12">
                  <c:v>26.181818181818173</c:v>
                </c:pt>
                <c:pt idx="13">
                  <c:v>28.363636363636353</c:v>
                </c:pt>
                <c:pt idx="14">
                  <c:v>30.545454545454533</c:v>
                </c:pt>
                <c:pt idx="15">
                  <c:v>32.727272727272712</c:v>
                </c:pt>
                <c:pt idx="16">
                  <c:v>34.909090909090892</c:v>
                </c:pt>
                <c:pt idx="17">
                  <c:v>37.090909090909072</c:v>
                </c:pt>
                <c:pt idx="18">
                  <c:v>39.272727272727252</c:v>
                </c:pt>
                <c:pt idx="19">
                  <c:v>41.454545454545432</c:v>
                </c:pt>
                <c:pt idx="20">
                  <c:v>43.636363636363612</c:v>
                </c:pt>
                <c:pt idx="21">
                  <c:v>45.818181818181792</c:v>
                </c:pt>
                <c:pt idx="22">
                  <c:v>47.999999999999972</c:v>
                </c:pt>
                <c:pt idx="23">
                  <c:v>50.181818181818151</c:v>
                </c:pt>
                <c:pt idx="24">
                  <c:v>52.363636363636331</c:v>
                </c:pt>
                <c:pt idx="26">
                  <c:v>54.545454545454511</c:v>
                </c:pt>
                <c:pt idx="38">
                  <c:v>56.727272727272691</c:v>
                </c:pt>
                <c:pt idx="39">
                  <c:v>58.909090909090871</c:v>
                </c:pt>
                <c:pt idx="40">
                  <c:v>61.090909090909051</c:v>
                </c:pt>
                <c:pt idx="41">
                  <c:v>63.272727272727231</c:v>
                </c:pt>
                <c:pt idx="42">
                  <c:v>65.454545454545411</c:v>
                </c:pt>
                <c:pt idx="43">
                  <c:v>67.636363636363598</c:v>
                </c:pt>
                <c:pt idx="44">
                  <c:v>69.818181818181785</c:v>
                </c:pt>
                <c:pt idx="45">
                  <c:v>71.999999999999972</c:v>
                </c:pt>
                <c:pt idx="46">
                  <c:v>74.181818181818159</c:v>
                </c:pt>
                <c:pt idx="47">
                  <c:v>76.363636363636346</c:v>
                </c:pt>
                <c:pt idx="48">
                  <c:v>78.545454545454533</c:v>
                </c:pt>
                <c:pt idx="49">
                  <c:v>80.72727272727272</c:v>
                </c:pt>
                <c:pt idx="50">
                  <c:v>82.909090909090907</c:v>
                </c:pt>
                <c:pt idx="51">
                  <c:v>85.090909090909093</c:v>
                </c:pt>
                <c:pt idx="52">
                  <c:v>87.27272727272728</c:v>
                </c:pt>
                <c:pt idx="53">
                  <c:v>89.454545454545467</c:v>
                </c:pt>
                <c:pt idx="54">
                  <c:v>91.636363636363654</c:v>
                </c:pt>
                <c:pt idx="55">
                  <c:v>120</c:v>
                </c:pt>
              </c:numCache>
            </c:numRef>
          </c:cat>
          <c:val>
            <c:numRef>
              <c:f>'Overall Metrics'!$E$2:$E$57</c:f>
              <c:numCache>
                <c:formatCode>General</c:formatCode>
                <c:ptCount val="56"/>
                <c:pt idx="0">
                  <c:v>35</c:v>
                </c:pt>
                <c:pt idx="1">
                  <c:v>21</c:v>
                </c:pt>
                <c:pt idx="2">
                  <c:v>18</c:v>
                </c:pt>
                <c:pt idx="3">
                  <c:v>10</c:v>
                </c:pt>
                <c:pt idx="4">
                  <c:v>12</c:v>
                </c:pt>
                <c:pt idx="5">
                  <c:v>15</c:v>
                </c:pt>
                <c:pt idx="6">
                  <c:v>8</c:v>
                </c:pt>
                <c:pt idx="7">
                  <c:v>9</c:v>
                </c:pt>
                <c:pt idx="8">
                  <c:v>13</c:v>
                </c:pt>
                <c:pt idx="9">
                  <c:v>7</c:v>
                </c:pt>
                <c:pt idx="10">
                  <c:v>9</c:v>
                </c:pt>
                <c:pt idx="11">
                  <c:v>8</c:v>
                </c:pt>
                <c:pt idx="12">
                  <c:v>6</c:v>
                </c:pt>
                <c:pt idx="13">
                  <c:v>6</c:v>
                </c:pt>
                <c:pt idx="14">
                  <c:v>3</c:v>
                </c:pt>
                <c:pt idx="15">
                  <c:v>4</c:v>
                </c:pt>
                <c:pt idx="16">
                  <c:v>3</c:v>
                </c:pt>
                <c:pt idx="17">
                  <c:v>3</c:v>
                </c:pt>
                <c:pt idx="18">
                  <c:v>5</c:v>
                </c:pt>
                <c:pt idx="19">
                  <c:v>3</c:v>
                </c:pt>
                <c:pt idx="20">
                  <c:v>3</c:v>
                </c:pt>
                <c:pt idx="21">
                  <c:v>3</c:v>
                </c:pt>
                <c:pt idx="22">
                  <c:v>2</c:v>
                </c:pt>
                <c:pt idx="23">
                  <c:v>0</c:v>
                </c:pt>
                <c:pt idx="24">
                  <c:v>2</c:v>
                </c:pt>
                <c:pt idx="25">
                  <c:v>-18</c:v>
                </c:pt>
                <c:pt idx="26">
                  <c:v>4</c:v>
                </c:pt>
                <c:pt idx="27">
                  <c:v>0</c:v>
                </c:pt>
                <c:pt idx="28">
                  <c:v>0</c:v>
                </c:pt>
                <c:pt idx="29">
                  <c:v>0</c:v>
                </c:pt>
                <c:pt idx="30">
                  <c:v>0</c:v>
                </c:pt>
                <c:pt idx="31">
                  <c:v>0</c:v>
                </c:pt>
                <c:pt idx="32">
                  <c:v>0</c:v>
                </c:pt>
                <c:pt idx="33">
                  <c:v>0</c:v>
                </c:pt>
                <c:pt idx="34">
                  <c:v>0</c:v>
                </c:pt>
                <c:pt idx="35">
                  <c:v>0</c:v>
                </c:pt>
                <c:pt idx="36">
                  <c:v>-14</c:v>
                </c:pt>
                <c:pt idx="37">
                  <c:v>-14</c:v>
                </c:pt>
                <c:pt idx="38">
                  <c:v>2</c:v>
                </c:pt>
                <c:pt idx="39">
                  <c:v>3</c:v>
                </c:pt>
                <c:pt idx="40">
                  <c:v>0</c:v>
                </c:pt>
                <c:pt idx="41">
                  <c:v>0</c:v>
                </c:pt>
                <c:pt idx="42">
                  <c:v>0</c:v>
                </c:pt>
                <c:pt idx="43">
                  <c:v>0</c:v>
                </c:pt>
                <c:pt idx="44">
                  <c:v>0</c:v>
                </c:pt>
                <c:pt idx="45">
                  <c:v>1</c:v>
                </c:pt>
                <c:pt idx="46">
                  <c:v>1</c:v>
                </c:pt>
                <c:pt idx="47">
                  <c:v>0</c:v>
                </c:pt>
                <c:pt idx="48">
                  <c:v>0</c:v>
                </c:pt>
                <c:pt idx="49">
                  <c:v>1</c:v>
                </c:pt>
                <c:pt idx="50">
                  <c:v>0</c:v>
                </c:pt>
                <c:pt idx="51">
                  <c:v>0</c:v>
                </c:pt>
                <c:pt idx="52">
                  <c:v>1</c:v>
                </c:pt>
                <c:pt idx="53">
                  <c:v>1</c:v>
                </c:pt>
                <c:pt idx="54">
                  <c:v>3</c:v>
                </c:pt>
                <c:pt idx="55">
                  <c:v>1</c:v>
                </c:pt>
              </c:numCache>
            </c:numRef>
          </c:val>
        </c:ser>
        <c:dLbls>
          <c:showLegendKey val="0"/>
          <c:showVal val="0"/>
          <c:showCatName val="0"/>
          <c:showSerName val="0"/>
          <c:showPercent val="0"/>
          <c:showBubbleSize val="0"/>
        </c:dLbls>
        <c:gapWidth val="0"/>
        <c:axId val="176121344"/>
        <c:axId val="727448320"/>
      </c:barChart>
      <c:catAx>
        <c:axId val="176121344"/>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727448320"/>
        <c:crosses val="autoZero"/>
        <c:auto val="1"/>
        <c:lblAlgn val="ctr"/>
        <c:lblOffset val="100"/>
        <c:noMultiLvlLbl val="0"/>
      </c:catAx>
      <c:valAx>
        <c:axId val="7274483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1213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43</c:v>
                </c:pt>
              </c:strCache>
            </c:strRef>
          </c:tx>
          <c:spPr>
            <a:solidFill>
              <a:schemeClr val="accent1"/>
            </a:solidFill>
          </c:spPr>
          <c:invertIfNegative val="0"/>
          <c:cat>
            <c:numRef>
              <c:f>'Overall Metrics'!$F$2:$F$57</c:f>
              <c:numCache>
                <c:formatCode>#,##0.00</c:formatCode>
                <c:ptCount val="56"/>
                <c:pt idx="0">
                  <c:v>0</c:v>
                </c:pt>
                <c:pt idx="1">
                  <c:v>2.0363636363636362</c:v>
                </c:pt>
                <c:pt idx="2">
                  <c:v>4.0727272727272723</c:v>
                </c:pt>
                <c:pt idx="3">
                  <c:v>6.1090909090909085</c:v>
                </c:pt>
                <c:pt idx="4">
                  <c:v>8.1454545454545446</c:v>
                </c:pt>
                <c:pt idx="5">
                  <c:v>10.18181818181818</c:v>
                </c:pt>
                <c:pt idx="6">
                  <c:v>12.218181818181815</c:v>
                </c:pt>
                <c:pt idx="7">
                  <c:v>14.25454545454545</c:v>
                </c:pt>
                <c:pt idx="8">
                  <c:v>16.290909090909086</c:v>
                </c:pt>
                <c:pt idx="9">
                  <c:v>18.327272727272721</c:v>
                </c:pt>
                <c:pt idx="10">
                  <c:v>20.363636363636356</c:v>
                </c:pt>
                <c:pt idx="11">
                  <c:v>22.399999999999991</c:v>
                </c:pt>
                <c:pt idx="12">
                  <c:v>24.436363636363627</c:v>
                </c:pt>
                <c:pt idx="13">
                  <c:v>26.472727272727262</c:v>
                </c:pt>
                <c:pt idx="14">
                  <c:v>28.509090909090897</c:v>
                </c:pt>
                <c:pt idx="15">
                  <c:v>30.545454545454533</c:v>
                </c:pt>
                <c:pt idx="16">
                  <c:v>32.581818181818171</c:v>
                </c:pt>
                <c:pt idx="17">
                  <c:v>34.61818181818181</c:v>
                </c:pt>
                <c:pt idx="18">
                  <c:v>36.654545454545449</c:v>
                </c:pt>
                <c:pt idx="19">
                  <c:v>38.690909090909088</c:v>
                </c:pt>
                <c:pt idx="20">
                  <c:v>40.727272727272727</c:v>
                </c:pt>
                <c:pt idx="21">
                  <c:v>42.763636363636365</c:v>
                </c:pt>
                <c:pt idx="22">
                  <c:v>44.800000000000004</c:v>
                </c:pt>
                <c:pt idx="23">
                  <c:v>46.836363636363643</c:v>
                </c:pt>
                <c:pt idx="24">
                  <c:v>48.872727272727282</c:v>
                </c:pt>
                <c:pt idx="26">
                  <c:v>50.909090909090921</c:v>
                </c:pt>
                <c:pt idx="38">
                  <c:v>52.94545454545456</c:v>
                </c:pt>
                <c:pt idx="39">
                  <c:v>54.981818181818198</c:v>
                </c:pt>
                <c:pt idx="40">
                  <c:v>57.018181818181837</c:v>
                </c:pt>
                <c:pt idx="41">
                  <c:v>59.054545454545476</c:v>
                </c:pt>
                <c:pt idx="42">
                  <c:v>61.090909090909115</c:v>
                </c:pt>
                <c:pt idx="43">
                  <c:v>63.127272727272754</c:v>
                </c:pt>
                <c:pt idx="44">
                  <c:v>65.163636363636385</c:v>
                </c:pt>
                <c:pt idx="45">
                  <c:v>67.200000000000017</c:v>
                </c:pt>
                <c:pt idx="46">
                  <c:v>69.236363636363649</c:v>
                </c:pt>
                <c:pt idx="47">
                  <c:v>71.27272727272728</c:v>
                </c:pt>
                <c:pt idx="48">
                  <c:v>73.309090909090912</c:v>
                </c:pt>
                <c:pt idx="49">
                  <c:v>75.345454545454544</c:v>
                </c:pt>
                <c:pt idx="50">
                  <c:v>77.381818181818176</c:v>
                </c:pt>
                <c:pt idx="51">
                  <c:v>79.418181818181807</c:v>
                </c:pt>
                <c:pt idx="52">
                  <c:v>81.454545454545439</c:v>
                </c:pt>
                <c:pt idx="53">
                  <c:v>83.490909090909071</c:v>
                </c:pt>
                <c:pt idx="54">
                  <c:v>85.527272727272702</c:v>
                </c:pt>
                <c:pt idx="55">
                  <c:v>112</c:v>
                </c:pt>
              </c:numCache>
            </c:numRef>
          </c:cat>
          <c:val>
            <c:numRef>
              <c:f>'Overall Metrics'!$G$2:$G$57</c:f>
              <c:numCache>
                <c:formatCode>General</c:formatCode>
                <c:ptCount val="56"/>
                <c:pt idx="0">
                  <c:v>43</c:v>
                </c:pt>
                <c:pt idx="1">
                  <c:v>27</c:v>
                </c:pt>
                <c:pt idx="2">
                  <c:v>33</c:v>
                </c:pt>
                <c:pt idx="3">
                  <c:v>22</c:v>
                </c:pt>
                <c:pt idx="4">
                  <c:v>16</c:v>
                </c:pt>
                <c:pt idx="5">
                  <c:v>7</c:v>
                </c:pt>
                <c:pt idx="6">
                  <c:v>12</c:v>
                </c:pt>
                <c:pt idx="7">
                  <c:v>6</c:v>
                </c:pt>
                <c:pt idx="8">
                  <c:v>5</c:v>
                </c:pt>
                <c:pt idx="9">
                  <c:v>8</c:v>
                </c:pt>
                <c:pt idx="10">
                  <c:v>6</c:v>
                </c:pt>
                <c:pt idx="11">
                  <c:v>2</c:v>
                </c:pt>
                <c:pt idx="12">
                  <c:v>5</c:v>
                </c:pt>
                <c:pt idx="13">
                  <c:v>4</c:v>
                </c:pt>
                <c:pt idx="14">
                  <c:v>1</c:v>
                </c:pt>
                <c:pt idx="15">
                  <c:v>1</c:v>
                </c:pt>
                <c:pt idx="16">
                  <c:v>1</c:v>
                </c:pt>
                <c:pt idx="17">
                  <c:v>4</c:v>
                </c:pt>
                <c:pt idx="18">
                  <c:v>2</c:v>
                </c:pt>
                <c:pt idx="19">
                  <c:v>2</c:v>
                </c:pt>
                <c:pt idx="20">
                  <c:v>0</c:v>
                </c:pt>
                <c:pt idx="21">
                  <c:v>0</c:v>
                </c:pt>
                <c:pt idx="22">
                  <c:v>1</c:v>
                </c:pt>
                <c:pt idx="23">
                  <c:v>0</c:v>
                </c:pt>
                <c:pt idx="24">
                  <c:v>0</c:v>
                </c:pt>
                <c:pt idx="25">
                  <c:v>-3</c:v>
                </c:pt>
                <c:pt idx="26">
                  <c:v>0</c:v>
                </c:pt>
                <c:pt idx="27">
                  <c:v>0</c:v>
                </c:pt>
                <c:pt idx="28">
                  <c:v>0</c:v>
                </c:pt>
                <c:pt idx="29">
                  <c:v>0</c:v>
                </c:pt>
                <c:pt idx="30">
                  <c:v>0</c:v>
                </c:pt>
                <c:pt idx="31">
                  <c:v>0</c:v>
                </c:pt>
                <c:pt idx="32">
                  <c:v>0</c:v>
                </c:pt>
                <c:pt idx="33">
                  <c:v>0</c:v>
                </c:pt>
                <c:pt idx="34">
                  <c:v>0</c:v>
                </c:pt>
                <c:pt idx="35">
                  <c:v>0</c:v>
                </c:pt>
                <c:pt idx="36">
                  <c:v>-3</c:v>
                </c:pt>
                <c:pt idx="37">
                  <c:v>-3</c:v>
                </c:pt>
                <c:pt idx="38">
                  <c:v>0</c:v>
                </c:pt>
                <c:pt idx="39">
                  <c:v>1</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1</c:v>
                </c:pt>
              </c:numCache>
            </c:numRef>
          </c:val>
        </c:ser>
        <c:dLbls>
          <c:showLegendKey val="0"/>
          <c:showVal val="0"/>
          <c:showCatName val="0"/>
          <c:showSerName val="0"/>
          <c:showPercent val="0"/>
          <c:showBubbleSize val="0"/>
        </c:dLbls>
        <c:gapWidth val="0"/>
        <c:axId val="176122368"/>
        <c:axId val="175972928"/>
      </c:barChart>
      <c:catAx>
        <c:axId val="17612236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75972928"/>
        <c:crosses val="autoZero"/>
        <c:auto val="1"/>
        <c:lblAlgn val="ctr"/>
        <c:lblOffset val="100"/>
        <c:noMultiLvlLbl val="0"/>
      </c:catAx>
      <c:valAx>
        <c:axId val="1759729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1223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41</c:v>
                </c:pt>
              </c:strCache>
            </c:strRef>
          </c:tx>
          <c:spPr>
            <a:solidFill>
              <a:schemeClr val="accent1"/>
            </a:solidFill>
          </c:spPr>
          <c:invertIfNegative val="0"/>
          <c:cat>
            <c:numRef>
              <c:f>'Overall Metrics'!$H$2:$H$57</c:f>
              <c:numCache>
                <c:formatCode>#,##0.00</c:formatCode>
                <c:ptCount val="56"/>
                <c:pt idx="0">
                  <c:v>0</c:v>
                </c:pt>
                <c:pt idx="1">
                  <c:v>1.2545454545454546</c:v>
                </c:pt>
                <c:pt idx="2">
                  <c:v>2.5090909090909093</c:v>
                </c:pt>
                <c:pt idx="3">
                  <c:v>3.7636363636363637</c:v>
                </c:pt>
                <c:pt idx="4">
                  <c:v>5.0181818181818185</c:v>
                </c:pt>
                <c:pt idx="5">
                  <c:v>6.2727272727272734</c:v>
                </c:pt>
                <c:pt idx="6">
                  <c:v>7.5272727272727282</c:v>
                </c:pt>
                <c:pt idx="7">
                  <c:v>8.7818181818181831</c:v>
                </c:pt>
                <c:pt idx="8">
                  <c:v>10.036363636363637</c:v>
                </c:pt>
                <c:pt idx="9">
                  <c:v>11.290909090909091</c:v>
                </c:pt>
                <c:pt idx="10">
                  <c:v>12.545454545454545</c:v>
                </c:pt>
                <c:pt idx="11">
                  <c:v>13.799999999999999</c:v>
                </c:pt>
                <c:pt idx="12">
                  <c:v>15.054545454545453</c:v>
                </c:pt>
                <c:pt idx="13">
                  <c:v>16.309090909090909</c:v>
                </c:pt>
                <c:pt idx="14">
                  <c:v>17.563636363636363</c:v>
                </c:pt>
                <c:pt idx="15">
                  <c:v>18.818181818181817</c:v>
                </c:pt>
                <c:pt idx="16">
                  <c:v>20.072727272727271</c:v>
                </c:pt>
                <c:pt idx="17">
                  <c:v>21.327272727272724</c:v>
                </c:pt>
                <c:pt idx="18">
                  <c:v>22.581818181818178</c:v>
                </c:pt>
                <c:pt idx="19">
                  <c:v>23.836363636363632</c:v>
                </c:pt>
                <c:pt idx="20">
                  <c:v>25.090909090909086</c:v>
                </c:pt>
                <c:pt idx="21">
                  <c:v>26.34545454545454</c:v>
                </c:pt>
                <c:pt idx="22">
                  <c:v>27.599999999999994</c:v>
                </c:pt>
                <c:pt idx="23">
                  <c:v>28.854545454545448</c:v>
                </c:pt>
                <c:pt idx="24">
                  <c:v>30.109090909090902</c:v>
                </c:pt>
                <c:pt idx="26">
                  <c:v>31.363636363636356</c:v>
                </c:pt>
                <c:pt idx="38">
                  <c:v>32.61818181818181</c:v>
                </c:pt>
                <c:pt idx="39">
                  <c:v>33.872727272727268</c:v>
                </c:pt>
                <c:pt idx="40">
                  <c:v>35.127272727272725</c:v>
                </c:pt>
                <c:pt idx="41">
                  <c:v>36.381818181818183</c:v>
                </c:pt>
                <c:pt idx="42">
                  <c:v>37.63636363636364</c:v>
                </c:pt>
                <c:pt idx="43">
                  <c:v>38.890909090909098</c:v>
                </c:pt>
                <c:pt idx="44">
                  <c:v>40.145454545454555</c:v>
                </c:pt>
                <c:pt idx="45">
                  <c:v>41.400000000000013</c:v>
                </c:pt>
                <c:pt idx="46">
                  <c:v>42.65454545454547</c:v>
                </c:pt>
                <c:pt idx="47">
                  <c:v>43.909090909090928</c:v>
                </c:pt>
                <c:pt idx="48">
                  <c:v>45.163636363636385</c:v>
                </c:pt>
                <c:pt idx="49">
                  <c:v>46.418181818181843</c:v>
                </c:pt>
                <c:pt idx="50">
                  <c:v>47.6727272727273</c:v>
                </c:pt>
                <c:pt idx="51">
                  <c:v>48.927272727272758</c:v>
                </c:pt>
                <c:pt idx="52">
                  <c:v>50.181818181818215</c:v>
                </c:pt>
                <c:pt idx="53">
                  <c:v>51.436363636363673</c:v>
                </c:pt>
                <c:pt idx="54">
                  <c:v>52.69090909090913</c:v>
                </c:pt>
                <c:pt idx="55">
                  <c:v>69</c:v>
                </c:pt>
              </c:numCache>
            </c:numRef>
          </c:cat>
          <c:val>
            <c:numRef>
              <c:f>'Overall Metrics'!$I$2:$I$57</c:f>
              <c:numCache>
                <c:formatCode>General</c:formatCode>
                <c:ptCount val="56"/>
                <c:pt idx="0">
                  <c:v>41</c:v>
                </c:pt>
                <c:pt idx="1">
                  <c:v>15</c:v>
                </c:pt>
                <c:pt idx="2">
                  <c:v>12</c:v>
                </c:pt>
                <c:pt idx="3">
                  <c:v>25</c:v>
                </c:pt>
                <c:pt idx="4">
                  <c:v>5</c:v>
                </c:pt>
                <c:pt idx="5">
                  <c:v>9</c:v>
                </c:pt>
                <c:pt idx="6">
                  <c:v>8</c:v>
                </c:pt>
                <c:pt idx="7">
                  <c:v>11</c:v>
                </c:pt>
                <c:pt idx="8">
                  <c:v>6</c:v>
                </c:pt>
                <c:pt idx="9">
                  <c:v>9</c:v>
                </c:pt>
                <c:pt idx="10">
                  <c:v>5</c:v>
                </c:pt>
                <c:pt idx="11">
                  <c:v>7</c:v>
                </c:pt>
                <c:pt idx="12">
                  <c:v>9</c:v>
                </c:pt>
                <c:pt idx="13">
                  <c:v>4</c:v>
                </c:pt>
                <c:pt idx="14">
                  <c:v>4</c:v>
                </c:pt>
                <c:pt idx="15">
                  <c:v>4</c:v>
                </c:pt>
                <c:pt idx="16">
                  <c:v>3</c:v>
                </c:pt>
                <c:pt idx="17">
                  <c:v>3</c:v>
                </c:pt>
                <c:pt idx="18">
                  <c:v>7</c:v>
                </c:pt>
                <c:pt idx="19">
                  <c:v>4</c:v>
                </c:pt>
                <c:pt idx="20">
                  <c:v>2</c:v>
                </c:pt>
                <c:pt idx="21">
                  <c:v>1</c:v>
                </c:pt>
                <c:pt idx="22">
                  <c:v>2</c:v>
                </c:pt>
                <c:pt idx="23">
                  <c:v>2</c:v>
                </c:pt>
                <c:pt idx="24">
                  <c:v>0</c:v>
                </c:pt>
                <c:pt idx="25">
                  <c:v>-13</c:v>
                </c:pt>
                <c:pt idx="26">
                  <c:v>1</c:v>
                </c:pt>
                <c:pt idx="27">
                  <c:v>0</c:v>
                </c:pt>
                <c:pt idx="28">
                  <c:v>0</c:v>
                </c:pt>
                <c:pt idx="29">
                  <c:v>0</c:v>
                </c:pt>
                <c:pt idx="30">
                  <c:v>0</c:v>
                </c:pt>
                <c:pt idx="31">
                  <c:v>0</c:v>
                </c:pt>
                <c:pt idx="32">
                  <c:v>0</c:v>
                </c:pt>
                <c:pt idx="33">
                  <c:v>0</c:v>
                </c:pt>
                <c:pt idx="34">
                  <c:v>0</c:v>
                </c:pt>
                <c:pt idx="35">
                  <c:v>0</c:v>
                </c:pt>
                <c:pt idx="36">
                  <c:v>-12</c:v>
                </c:pt>
                <c:pt idx="37">
                  <c:v>-12</c:v>
                </c:pt>
                <c:pt idx="38">
                  <c:v>1</c:v>
                </c:pt>
                <c:pt idx="39">
                  <c:v>4</c:v>
                </c:pt>
                <c:pt idx="40">
                  <c:v>1</c:v>
                </c:pt>
                <c:pt idx="41">
                  <c:v>1</c:v>
                </c:pt>
                <c:pt idx="42">
                  <c:v>0</c:v>
                </c:pt>
                <c:pt idx="43">
                  <c:v>0</c:v>
                </c:pt>
                <c:pt idx="44">
                  <c:v>1</c:v>
                </c:pt>
                <c:pt idx="45">
                  <c:v>0</c:v>
                </c:pt>
                <c:pt idx="46">
                  <c:v>0</c:v>
                </c:pt>
                <c:pt idx="47">
                  <c:v>0</c:v>
                </c:pt>
                <c:pt idx="48">
                  <c:v>0</c:v>
                </c:pt>
                <c:pt idx="49">
                  <c:v>0</c:v>
                </c:pt>
                <c:pt idx="50">
                  <c:v>0</c:v>
                </c:pt>
                <c:pt idx="51">
                  <c:v>1</c:v>
                </c:pt>
                <c:pt idx="52">
                  <c:v>0</c:v>
                </c:pt>
                <c:pt idx="53">
                  <c:v>0</c:v>
                </c:pt>
                <c:pt idx="54">
                  <c:v>2</c:v>
                </c:pt>
                <c:pt idx="55">
                  <c:v>1</c:v>
                </c:pt>
              </c:numCache>
            </c:numRef>
          </c:val>
        </c:ser>
        <c:dLbls>
          <c:showLegendKey val="0"/>
          <c:showVal val="0"/>
          <c:showCatName val="0"/>
          <c:showSerName val="0"/>
          <c:showPercent val="0"/>
          <c:showBubbleSize val="0"/>
        </c:dLbls>
        <c:gapWidth val="0"/>
        <c:axId val="176123392"/>
        <c:axId val="175974656"/>
      </c:barChart>
      <c:catAx>
        <c:axId val="17612339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75974656"/>
        <c:crosses val="autoZero"/>
        <c:auto val="1"/>
        <c:lblAlgn val="ctr"/>
        <c:lblOffset val="100"/>
        <c:noMultiLvlLbl val="0"/>
      </c:catAx>
      <c:valAx>
        <c:axId val="1759746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1233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140</c:v>
                </c:pt>
              </c:strCache>
            </c:strRef>
          </c:tx>
          <c:spPr>
            <a:solidFill>
              <a:schemeClr val="accent1"/>
            </a:solidFill>
          </c:spPr>
          <c:invertIfNegative val="0"/>
          <c:cat>
            <c:numRef>
              <c:f>'Overall Metrics'!$J$2:$J$57</c:f>
              <c:numCache>
                <c:formatCode>#,##0.00</c:formatCode>
                <c:ptCount val="56"/>
                <c:pt idx="0">
                  <c:v>0</c:v>
                </c:pt>
                <c:pt idx="1">
                  <c:v>172.84708139999998</c:v>
                </c:pt>
                <c:pt idx="2">
                  <c:v>345.69416279999996</c:v>
                </c:pt>
                <c:pt idx="3">
                  <c:v>518.54124419999994</c:v>
                </c:pt>
                <c:pt idx="4">
                  <c:v>691.38832559999992</c:v>
                </c:pt>
                <c:pt idx="5">
                  <c:v>864.2354069999999</c:v>
                </c:pt>
                <c:pt idx="6">
                  <c:v>1037.0824883999999</c:v>
                </c:pt>
                <c:pt idx="7">
                  <c:v>1209.9295697999999</c:v>
                </c:pt>
                <c:pt idx="8">
                  <c:v>1382.7766511999998</c:v>
                </c:pt>
                <c:pt idx="9">
                  <c:v>1555.6237325999998</c:v>
                </c:pt>
                <c:pt idx="10">
                  <c:v>1728.4708139999998</c:v>
                </c:pt>
                <c:pt idx="11">
                  <c:v>1901.3178953999998</c:v>
                </c:pt>
                <c:pt idx="12">
                  <c:v>2074.1649767999997</c:v>
                </c:pt>
                <c:pt idx="13">
                  <c:v>2247.0120582</c:v>
                </c:pt>
                <c:pt idx="14">
                  <c:v>2419.8591396000002</c:v>
                </c:pt>
                <c:pt idx="15">
                  <c:v>2592.7062210000004</c:v>
                </c:pt>
                <c:pt idx="16">
                  <c:v>2765.5533024000006</c:v>
                </c:pt>
                <c:pt idx="17">
                  <c:v>2938.4003838000008</c:v>
                </c:pt>
                <c:pt idx="18">
                  <c:v>3111.247465200001</c:v>
                </c:pt>
                <c:pt idx="19">
                  <c:v>3284.0945466000012</c:v>
                </c:pt>
                <c:pt idx="20">
                  <c:v>3456.9416280000014</c:v>
                </c:pt>
                <c:pt idx="21">
                  <c:v>3629.7887094000016</c:v>
                </c:pt>
                <c:pt idx="22">
                  <c:v>3802.6357908000018</c:v>
                </c:pt>
                <c:pt idx="23">
                  <c:v>3975.482872200002</c:v>
                </c:pt>
                <c:pt idx="24">
                  <c:v>4148.3299536000022</c:v>
                </c:pt>
                <c:pt idx="26">
                  <c:v>4321.1770350000024</c:v>
                </c:pt>
                <c:pt idx="38">
                  <c:v>4494.0241164000026</c:v>
                </c:pt>
                <c:pt idx="39">
                  <c:v>4666.8711978000028</c:v>
                </c:pt>
                <c:pt idx="40">
                  <c:v>4839.7182792000031</c:v>
                </c:pt>
                <c:pt idx="41">
                  <c:v>5012.5653606000033</c:v>
                </c:pt>
                <c:pt idx="42">
                  <c:v>5185.4124420000035</c:v>
                </c:pt>
                <c:pt idx="43">
                  <c:v>5358.2595234000037</c:v>
                </c:pt>
                <c:pt idx="44">
                  <c:v>5531.1066048000039</c:v>
                </c:pt>
                <c:pt idx="45">
                  <c:v>5703.9536862000041</c:v>
                </c:pt>
                <c:pt idx="46">
                  <c:v>5876.8007676000043</c:v>
                </c:pt>
                <c:pt idx="47">
                  <c:v>6049.6478490000045</c:v>
                </c:pt>
                <c:pt idx="48">
                  <c:v>6222.4949304000047</c:v>
                </c:pt>
                <c:pt idx="49">
                  <c:v>6395.3420118000049</c:v>
                </c:pt>
                <c:pt idx="50">
                  <c:v>6568.1890932000051</c:v>
                </c:pt>
                <c:pt idx="51">
                  <c:v>6741.0361746000053</c:v>
                </c:pt>
                <c:pt idx="52">
                  <c:v>6913.8832560000055</c:v>
                </c:pt>
                <c:pt idx="53">
                  <c:v>7086.7303374000057</c:v>
                </c:pt>
                <c:pt idx="54">
                  <c:v>7259.5774188000059</c:v>
                </c:pt>
                <c:pt idx="55">
                  <c:v>9506.5894769999995</c:v>
                </c:pt>
              </c:numCache>
            </c:numRef>
          </c:cat>
          <c:val>
            <c:numRef>
              <c:f>'Overall Metrics'!$K$2:$K$57</c:f>
              <c:numCache>
                <c:formatCode>General</c:formatCode>
                <c:ptCount val="56"/>
                <c:pt idx="0">
                  <c:v>140</c:v>
                </c:pt>
                <c:pt idx="1">
                  <c:v>22</c:v>
                </c:pt>
                <c:pt idx="2">
                  <c:v>18</c:v>
                </c:pt>
                <c:pt idx="3">
                  <c:v>11</c:v>
                </c:pt>
                <c:pt idx="4">
                  <c:v>5</c:v>
                </c:pt>
                <c:pt idx="5">
                  <c:v>4</c:v>
                </c:pt>
                <c:pt idx="6">
                  <c:v>0</c:v>
                </c:pt>
                <c:pt idx="7">
                  <c:v>5</c:v>
                </c:pt>
                <c:pt idx="8">
                  <c:v>1</c:v>
                </c:pt>
                <c:pt idx="9">
                  <c:v>0</c:v>
                </c:pt>
                <c:pt idx="10">
                  <c:v>0</c:v>
                </c:pt>
                <c:pt idx="11">
                  <c:v>0</c:v>
                </c:pt>
                <c:pt idx="12">
                  <c:v>0</c:v>
                </c:pt>
                <c:pt idx="13">
                  <c:v>2</c:v>
                </c:pt>
                <c:pt idx="14">
                  <c:v>0</c:v>
                </c:pt>
                <c:pt idx="15">
                  <c:v>1</c:v>
                </c:pt>
                <c:pt idx="16">
                  <c:v>0</c:v>
                </c:pt>
                <c:pt idx="17">
                  <c:v>0</c:v>
                </c:pt>
                <c:pt idx="18">
                  <c:v>0</c:v>
                </c:pt>
                <c:pt idx="19">
                  <c:v>0</c:v>
                </c:pt>
                <c:pt idx="20">
                  <c:v>0</c:v>
                </c:pt>
                <c:pt idx="21">
                  <c:v>0</c:v>
                </c:pt>
                <c:pt idx="22">
                  <c:v>1</c:v>
                </c:pt>
                <c:pt idx="23">
                  <c:v>0</c:v>
                </c:pt>
                <c:pt idx="24">
                  <c:v>0</c:v>
                </c:pt>
                <c:pt idx="25">
                  <c:v>-1</c:v>
                </c:pt>
                <c:pt idx="26">
                  <c:v>0</c:v>
                </c:pt>
                <c:pt idx="27">
                  <c:v>0</c:v>
                </c:pt>
                <c:pt idx="28">
                  <c:v>0</c:v>
                </c:pt>
                <c:pt idx="29">
                  <c:v>0</c:v>
                </c:pt>
                <c:pt idx="30">
                  <c:v>0</c:v>
                </c:pt>
                <c:pt idx="31">
                  <c:v>0</c:v>
                </c:pt>
                <c:pt idx="32">
                  <c:v>0</c:v>
                </c:pt>
                <c:pt idx="33">
                  <c:v>0</c:v>
                </c:pt>
                <c:pt idx="34">
                  <c:v>0</c:v>
                </c:pt>
                <c:pt idx="35">
                  <c:v>0</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numCache>
            </c:numRef>
          </c:val>
        </c:ser>
        <c:dLbls>
          <c:showLegendKey val="0"/>
          <c:showVal val="0"/>
          <c:showCatName val="0"/>
          <c:showSerName val="0"/>
          <c:showPercent val="0"/>
          <c:showBubbleSize val="0"/>
        </c:dLbls>
        <c:gapWidth val="0"/>
        <c:axId val="730677248"/>
        <c:axId val="175976384"/>
      </c:barChart>
      <c:catAx>
        <c:axId val="73067724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75976384"/>
        <c:crosses val="autoZero"/>
        <c:auto val="1"/>
        <c:lblAlgn val="ctr"/>
        <c:lblOffset val="100"/>
        <c:noMultiLvlLbl val="0"/>
      </c:catAx>
      <c:valAx>
        <c:axId val="1759763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3067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2</c:v>
                </c:pt>
              </c:strCache>
            </c:strRef>
          </c:tx>
          <c:spPr>
            <a:solidFill>
              <a:schemeClr val="accent1"/>
            </a:solidFill>
          </c:spPr>
          <c:invertIfNegative val="0"/>
          <c:cat>
            <c:numRef>
              <c:f>'Overall Metrics'!$L$2:$L$57</c:f>
              <c:numCache>
                <c:formatCode>#,##0.00</c:formatCode>
                <c:ptCount val="56"/>
                <c:pt idx="0">
                  <c:v>1.335E-3</c:v>
                </c:pt>
                <c:pt idx="1">
                  <c:v>1.3691818181818182E-3</c:v>
                </c:pt>
                <c:pt idx="2">
                  <c:v>1.4033636363636364E-3</c:v>
                </c:pt>
                <c:pt idx="3">
                  <c:v>1.4375454545454546E-3</c:v>
                </c:pt>
                <c:pt idx="4">
                  <c:v>1.4717272727272728E-3</c:v>
                </c:pt>
                <c:pt idx="5">
                  <c:v>1.505909090909091E-3</c:v>
                </c:pt>
                <c:pt idx="6">
                  <c:v>1.5400909090909091E-3</c:v>
                </c:pt>
                <c:pt idx="7">
                  <c:v>1.5742727272727273E-3</c:v>
                </c:pt>
                <c:pt idx="8">
                  <c:v>1.6084545454545455E-3</c:v>
                </c:pt>
                <c:pt idx="9">
                  <c:v>1.6426363636363637E-3</c:v>
                </c:pt>
                <c:pt idx="10">
                  <c:v>1.6768181818181819E-3</c:v>
                </c:pt>
                <c:pt idx="11">
                  <c:v>1.7110000000000001E-3</c:v>
                </c:pt>
                <c:pt idx="12">
                  <c:v>1.7451818181818182E-3</c:v>
                </c:pt>
                <c:pt idx="13">
                  <c:v>1.7793636363636364E-3</c:v>
                </c:pt>
                <c:pt idx="14">
                  <c:v>1.8135454545454546E-3</c:v>
                </c:pt>
                <c:pt idx="15">
                  <c:v>1.8477272727272728E-3</c:v>
                </c:pt>
                <c:pt idx="16">
                  <c:v>1.881909090909091E-3</c:v>
                </c:pt>
                <c:pt idx="17">
                  <c:v>1.9160909090909092E-3</c:v>
                </c:pt>
                <c:pt idx="18">
                  <c:v>1.9502727272727274E-3</c:v>
                </c:pt>
                <c:pt idx="19">
                  <c:v>1.9844545454545453E-3</c:v>
                </c:pt>
                <c:pt idx="20">
                  <c:v>2.0186363636363635E-3</c:v>
                </c:pt>
                <c:pt idx="21">
                  <c:v>2.0528181818181817E-3</c:v>
                </c:pt>
                <c:pt idx="22">
                  <c:v>2.0869999999999999E-3</c:v>
                </c:pt>
                <c:pt idx="23">
                  <c:v>2.1211818181818181E-3</c:v>
                </c:pt>
                <c:pt idx="24">
                  <c:v>2.1553636363636362E-3</c:v>
                </c:pt>
                <c:pt idx="26">
                  <c:v>2.1895454545454544E-3</c:v>
                </c:pt>
                <c:pt idx="38">
                  <c:v>2.2237272727272726E-3</c:v>
                </c:pt>
                <c:pt idx="39">
                  <c:v>2.2579090909090908E-3</c:v>
                </c:pt>
                <c:pt idx="40">
                  <c:v>2.292090909090909E-3</c:v>
                </c:pt>
                <c:pt idx="41">
                  <c:v>2.3262727272727272E-3</c:v>
                </c:pt>
                <c:pt idx="42">
                  <c:v>2.3604545454545454E-3</c:v>
                </c:pt>
                <c:pt idx="43">
                  <c:v>2.3946363636363635E-3</c:v>
                </c:pt>
                <c:pt idx="44">
                  <c:v>2.4288181818181817E-3</c:v>
                </c:pt>
                <c:pt idx="45">
                  <c:v>2.4629999999999999E-3</c:v>
                </c:pt>
                <c:pt idx="46">
                  <c:v>2.4971818181818181E-3</c:v>
                </c:pt>
                <c:pt idx="47">
                  <c:v>2.5313636363636363E-3</c:v>
                </c:pt>
                <c:pt idx="48">
                  <c:v>2.5655454545454545E-3</c:v>
                </c:pt>
                <c:pt idx="49">
                  <c:v>2.5997272727272727E-3</c:v>
                </c:pt>
                <c:pt idx="50">
                  <c:v>2.6339090909090908E-3</c:v>
                </c:pt>
                <c:pt idx="51">
                  <c:v>2.668090909090909E-3</c:v>
                </c:pt>
                <c:pt idx="52">
                  <c:v>2.7022727272727272E-3</c:v>
                </c:pt>
                <c:pt idx="53">
                  <c:v>2.7364545454545454E-3</c:v>
                </c:pt>
                <c:pt idx="54">
                  <c:v>2.7706363636363636E-3</c:v>
                </c:pt>
                <c:pt idx="55">
                  <c:v>3.215E-3</c:v>
                </c:pt>
              </c:numCache>
            </c:numRef>
          </c:cat>
          <c:val>
            <c:numRef>
              <c:f>'Overall Metrics'!$M$2:$M$57</c:f>
              <c:numCache>
                <c:formatCode>General</c:formatCode>
                <c:ptCount val="56"/>
                <c:pt idx="0">
                  <c:v>2</c:v>
                </c:pt>
                <c:pt idx="1">
                  <c:v>0</c:v>
                </c:pt>
                <c:pt idx="2">
                  <c:v>0</c:v>
                </c:pt>
                <c:pt idx="3">
                  <c:v>2</c:v>
                </c:pt>
                <c:pt idx="4">
                  <c:v>5</c:v>
                </c:pt>
                <c:pt idx="5">
                  <c:v>4</c:v>
                </c:pt>
                <c:pt idx="6">
                  <c:v>0</c:v>
                </c:pt>
                <c:pt idx="7">
                  <c:v>5</c:v>
                </c:pt>
                <c:pt idx="8">
                  <c:v>3</c:v>
                </c:pt>
                <c:pt idx="9">
                  <c:v>3</c:v>
                </c:pt>
                <c:pt idx="10">
                  <c:v>10</c:v>
                </c:pt>
                <c:pt idx="11">
                  <c:v>5</c:v>
                </c:pt>
                <c:pt idx="12">
                  <c:v>4</c:v>
                </c:pt>
                <c:pt idx="13">
                  <c:v>5</c:v>
                </c:pt>
                <c:pt idx="14">
                  <c:v>7</c:v>
                </c:pt>
                <c:pt idx="15">
                  <c:v>6</c:v>
                </c:pt>
                <c:pt idx="16">
                  <c:v>6</c:v>
                </c:pt>
                <c:pt idx="17">
                  <c:v>4</c:v>
                </c:pt>
                <c:pt idx="18">
                  <c:v>6</c:v>
                </c:pt>
                <c:pt idx="19">
                  <c:v>7</c:v>
                </c:pt>
                <c:pt idx="20">
                  <c:v>9</c:v>
                </c:pt>
                <c:pt idx="21">
                  <c:v>11</c:v>
                </c:pt>
                <c:pt idx="22">
                  <c:v>16</c:v>
                </c:pt>
                <c:pt idx="23">
                  <c:v>9</c:v>
                </c:pt>
                <c:pt idx="24">
                  <c:v>9</c:v>
                </c:pt>
                <c:pt idx="25">
                  <c:v>-73</c:v>
                </c:pt>
                <c:pt idx="26">
                  <c:v>10</c:v>
                </c:pt>
                <c:pt idx="27">
                  <c:v>0</c:v>
                </c:pt>
                <c:pt idx="28">
                  <c:v>0</c:v>
                </c:pt>
                <c:pt idx="29">
                  <c:v>0</c:v>
                </c:pt>
                <c:pt idx="30">
                  <c:v>0</c:v>
                </c:pt>
                <c:pt idx="31">
                  <c:v>0</c:v>
                </c:pt>
                <c:pt idx="32">
                  <c:v>0</c:v>
                </c:pt>
                <c:pt idx="33">
                  <c:v>0</c:v>
                </c:pt>
                <c:pt idx="34">
                  <c:v>0</c:v>
                </c:pt>
                <c:pt idx="35">
                  <c:v>0</c:v>
                </c:pt>
                <c:pt idx="36">
                  <c:v>-63</c:v>
                </c:pt>
                <c:pt idx="37">
                  <c:v>-63</c:v>
                </c:pt>
                <c:pt idx="38">
                  <c:v>10</c:v>
                </c:pt>
                <c:pt idx="39">
                  <c:v>7</c:v>
                </c:pt>
                <c:pt idx="40">
                  <c:v>10</c:v>
                </c:pt>
                <c:pt idx="41">
                  <c:v>5</c:v>
                </c:pt>
                <c:pt idx="42">
                  <c:v>7</c:v>
                </c:pt>
                <c:pt idx="43">
                  <c:v>7</c:v>
                </c:pt>
                <c:pt idx="44">
                  <c:v>5</c:v>
                </c:pt>
                <c:pt idx="45">
                  <c:v>1</c:v>
                </c:pt>
                <c:pt idx="46">
                  <c:v>2</c:v>
                </c:pt>
                <c:pt idx="47">
                  <c:v>3</c:v>
                </c:pt>
                <c:pt idx="48">
                  <c:v>0</c:v>
                </c:pt>
                <c:pt idx="49">
                  <c:v>0</c:v>
                </c:pt>
                <c:pt idx="50">
                  <c:v>1</c:v>
                </c:pt>
                <c:pt idx="51">
                  <c:v>0</c:v>
                </c:pt>
                <c:pt idx="52">
                  <c:v>3</c:v>
                </c:pt>
                <c:pt idx="53">
                  <c:v>0</c:v>
                </c:pt>
                <c:pt idx="54">
                  <c:v>1</c:v>
                </c:pt>
                <c:pt idx="55">
                  <c:v>1</c:v>
                </c:pt>
              </c:numCache>
            </c:numRef>
          </c:val>
        </c:ser>
        <c:dLbls>
          <c:showLegendKey val="0"/>
          <c:showVal val="0"/>
          <c:showCatName val="0"/>
          <c:showSerName val="0"/>
          <c:showPercent val="0"/>
          <c:showBubbleSize val="0"/>
        </c:dLbls>
        <c:gapWidth val="0"/>
        <c:axId val="730677760"/>
        <c:axId val="175978112"/>
      </c:barChart>
      <c:catAx>
        <c:axId val="73067776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75978112"/>
        <c:crosses val="autoZero"/>
        <c:auto val="1"/>
        <c:lblAlgn val="ctr"/>
        <c:lblOffset val="100"/>
        <c:noMultiLvlLbl val="0"/>
      </c:catAx>
      <c:valAx>
        <c:axId val="17597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306777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20</c:v>
                </c:pt>
              </c:strCache>
            </c:strRef>
          </c:tx>
          <c:spPr>
            <a:solidFill>
              <a:schemeClr val="accent1"/>
            </a:solidFill>
          </c:spPr>
          <c:invertIfNegative val="0"/>
          <c:cat>
            <c:numRef>
              <c:f>'Overall Metrics'!$N$2:$N$57</c:f>
              <c:numCache>
                <c:formatCode>#,##0.00</c:formatCode>
                <c:ptCount val="56"/>
                <c:pt idx="0">
                  <c:v>5.1999999999999997E-5</c:v>
                </c:pt>
                <c:pt idx="1">
                  <c:v>5.156545454545454E-4</c:v>
                </c:pt>
                <c:pt idx="2">
                  <c:v>9.7930909090909084E-4</c:v>
                </c:pt>
                <c:pt idx="3">
                  <c:v>1.4429636363636363E-3</c:v>
                </c:pt>
                <c:pt idx="4">
                  <c:v>1.9066181818181817E-3</c:v>
                </c:pt>
                <c:pt idx="5">
                  <c:v>2.3702727272727269E-3</c:v>
                </c:pt>
                <c:pt idx="6">
                  <c:v>2.8339272727272722E-3</c:v>
                </c:pt>
                <c:pt idx="7">
                  <c:v>3.2975818181818174E-3</c:v>
                </c:pt>
                <c:pt idx="8">
                  <c:v>3.7612363636363626E-3</c:v>
                </c:pt>
                <c:pt idx="9">
                  <c:v>4.2248909090909078E-3</c:v>
                </c:pt>
                <c:pt idx="10">
                  <c:v>4.6885454545454531E-3</c:v>
                </c:pt>
                <c:pt idx="11">
                  <c:v>5.1521999999999983E-3</c:v>
                </c:pt>
                <c:pt idx="12">
                  <c:v>5.6158545454545435E-3</c:v>
                </c:pt>
                <c:pt idx="13">
                  <c:v>6.0795090909090887E-3</c:v>
                </c:pt>
                <c:pt idx="14">
                  <c:v>6.5431636363636339E-3</c:v>
                </c:pt>
                <c:pt idx="15">
                  <c:v>7.0068181818181792E-3</c:v>
                </c:pt>
                <c:pt idx="16">
                  <c:v>7.4704727272727244E-3</c:v>
                </c:pt>
                <c:pt idx="17">
                  <c:v>7.9341272727272705E-3</c:v>
                </c:pt>
                <c:pt idx="18">
                  <c:v>8.3977818181818157E-3</c:v>
                </c:pt>
                <c:pt idx="19">
                  <c:v>8.8614363636363609E-3</c:v>
                </c:pt>
                <c:pt idx="20">
                  <c:v>9.3250909090909061E-3</c:v>
                </c:pt>
                <c:pt idx="21">
                  <c:v>9.7887454545454514E-3</c:v>
                </c:pt>
                <c:pt idx="22">
                  <c:v>1.0252399999999997E-2</c:v>
                </c:pt>
                <c:pt idx="23">
                  <c:v>1.0716054545454542E-2</c:v>
                </c:pt>
                <c:pt idx="24">
                  <c:v>1.1179709090909087E-2</c:v>
                </c:pt>
                <c:pt idx="26">
                  <c:v>1.1643363636363632E-2</c:v>
                </c:pt>
                <c:pt idx="38">
                  <c:v>1.2107018181818177E-2</c:v>
                </c:pt>
                <c:pt idx="39">
                  <c:v>1.2570672727272723E-2</c:v>
                </c:pt>
                <c:pt idx="40">
                  <c:v>1.3034327272727268E-2</c:v>
                </c:pt>
                <c:pt idx="41">
                  <c:v>1.3497981818181813E-2</c:v>
                </c:pt>
                <c:pt idx="42">
                  <c:v>1.3961636363636358E-2</c:v>
                </c:pt>
                <c:pt idx="43">
                  <c:v>1.4425290909090904E-2</c:v>
                </c:pt>
                <c:pt idx="44">
                  <c:v>1.4888945454545449E-2</c:v>
                </c:pt>
                <c:pt idx="45">
                  <c:v>1.5352599999999994E-2</c:v>
                </c:pt>
                <c:pt idx="46">
                  <c:v>1.5816254545454541E-2</c:v>
                </c:pt>
                <c:pt idx="47">
                  <c:v>1.6279909090909088E-2</c:v>
                </c:pt>
                <c:pt idx="48">
                  <c:v>1.6743563636363635E-2</c:v>
                </c:pt>
                <c:pt idx="49">
                  <c:v>1.7207218181818182E-2</c:v>
                </c:pt>
                <c:pt idx="50">
                  <c:v>1.7670872727272729E-2</c:v>
                </c:pt>
                <c:pt idx="51">
                  <c:v>1.8134527272727276E-2</c:v>
                </c:pt>
                <c:pt idx="52">
                  <c:v>1.8598181818181823E-2</c:v>
                </c:pt>
                <c:pt idx="53">
                  <c:v>1.906183636363637E-2</c:v>
                </c:pt>
                <c:pt idx="54">
                  <c:v>1.9525490909090917E-2</c:v>
                </c:pt>
                <c:pt idx="55">
                  <c:v>2.5552999999999999E-2</c:v>
                </c:pt>
              </c:numCache>
            </c:numRef>
          </c:cat>
          <c:val>
            <c:numRef>
              <c:f>'Overall Metrics'!$O$2:$O$57</c:f>
              <c:numCache>
                <c:formatCode>General</c:formatCode>
                <c:ptCount val="56"/>
                <c:pt idx="0">
                  <c:v>20</c:v>
                </c:pt>
                <c:pt idx="1">
                  <c:v>24</c:v>
                </c:pt>
                <c:pt idx="2">
                  <c:v>15</c:v>
                </c:pt>
                <c:pt idx="3">
                  <c:v>14</c:v>
                </c:pt>
                <c:pt idx="4">
                  <c:v>22</c:v>
                </c:pt>
                <c:pt idx="5">
                  <c:v>7</c:v>
                </c:pt>
                <c:pt idx="6">
                  <c:v>6</c:v>
                </c:pt>
                <c:pt idx="7">
                  <c:v>4</c:v>
                </c:pt>
                <c:pt idx="8">
                  <c:v>10</c:v>
                </c:pt>
                <c:pt idx="9">
                  <c:v>8</c:v>
                </c:pt>
                <c:pt idx="10">
                  <c:v>8</c:v>
                </c:pt>
                <c:pt idx="11">
                  <c:v>6</c:v>
                </c:pt>
                <c:pt idx="12">
                  <c:v>4</c:v>
                </c:pt>
                <c:pt idx="13">
                  <c:v>7</c:v>
                </c:pt>
                <c:pt idx="14">
                  <c:v>3</c:v>
                </c:pt>
                <c:pt idx="15">
                  <c:v>4</c:v>
                </c:pt>
                <c:pt idx="16">
                  <c:v>5</c:v>
                </c:pt>
                <c:pt idx="17">
                  <c:v>6</c:v>
                </c:pt>
                <c:pt idx="18">
                  <c:v>2</c:v>
                </c:pt>
                <c:pt idx="19">
                  <c:v>2</c:v>
                </c:pt>
                <c:pt idx="20">
                  <c:v>3</c:v>
                </c:pt>
                <c:pt idx="21">
                  <c:v>5</c:v>
                </c:pt>
                <c:pt idx="22">
                  <c:v>1</c:v>
                </c:pt>
                <c:pt idx="23">
                  <c:v>1</c:v>
                </c:pt>
                <c:pt idx="24">
                  <c:v>2</c:v>
                </c:pt>
                <c:pt idx="25">
                  <c:v>-22</c:v>
                </c:pt>
                <c:pt idx="26">
                  <c:v>4</c:v>
                </c:pt>
                <c:pt idx="27">
                  <c:v>0</c:v>
                </c:pt>
                <c:pt idx="28">
                  <c:v>0</c:v>
                </c:pt>
                <c:pt idx="29">
                  <c:v>0</c:v>
                </c:pt>
                <c:pt idx="30">
                  <c:v>0</c:v>
                </c:pt>
                <c:pt idx="31">
                  <c:v>0</c:v>
                </c:pt>
                <c:pt idx="32">
                  <c:v>0</c:v>
                </c:pt>
                <c:pt idx="33">
                  <c:v>0</c:v>
                </c:pt>
                <c:pt idx="34">
                  <c:v>0</c:v>
                </c:pt>
                <c:pt idx="35">
                  <c:v>0</c:v>
                </c:pt>
                <c:pt idx="36">
                  <c:v>-18</c:v>
                </c:pt>
                <c:pt idx="37">
                  <c:v>-18</c:v>
                </c:pt>
                <c:pt idx="38">
                  <c:v>3</c:v>
                </c:pt>
                <c:pt idx="39">
                  <c:v>3</c:v>
                </c:pt>
                <c:pt idx="40">
                  <c:v>1</c:v>
                </c:pt>
                <c:pt idx="41">
                  <c:v>1</c:v>
                </c:pt>
                <c:pt idx="42">
                  <c:v>1</c:v>
                </c:pt>
                <c:pt idx="43">
                  <c:v>1</c:v>
                </c:pt>
                <c:pt idx="44">
                  <c:v>0</c:v>
                </c:pt>
                <c:pt idx="45">
                  <c:v>1</c:v>
                </c:pt>
                <c:pt idx="46">
                  <c:v>1</c:v>
                </c:pt>
                <c:pt idx="47">
                  <c:v>1</c:v>
                </c:pt>
                <c:pt idx="48">
                  <c:v>0</c:v>
                </c:pt>
                <c:pt idx="49">
                  <c:v>0</c:v>
                </c:pt>
                <c:pt idx="50">
                  <c:v>0</c:v>
                </c:pt>
                <c:pt idx="51">
                  <c:v>2</c:v>
                </c:pt>
                <c:pt idx="52">
                  <c:v>0</c:v>
                </c:pt>
                <c:pt idx="53">
                  <c:v>0</c:v>
                </c:pt>
                <c:pt idx="54">
                  <c:v>2</c:v>
                </c:pt>
                <c:pt idx="55">
                  <c:v>1</c:v>
                </c:pt>
              </c:numCache>
            </c:numRef>
          </c:val>
        </c:ser>
        <c:dLbls>
          <c:showLegendKey val="0"/>
          <c:showVal val="0"/>
          <c:showCatName val="0"/>
          <c:showSerName val="0"/>
          <c:showPercent val="0"/>
          <c:showBubbleSize val="0"/>
        </c:dLbls>
        <c:gapWidth val="0"/>
        <c:axId val="730678272"/>
        <c:axId val="175979840"/>
      </c:barChart>
      <c:catAx>
        <c:axId val="73067827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75979840"/>
        <c:crosses val="autoZero"/>
        <c:auto val="1"/>
        <c:lblAlgn val="ctr"/>
        <c:lblOffset val="100"/>
        <c:noMultiLvlLbl val="0"/>
      </c:catAx>
      <c:valAx>
        <c:axId val="1759798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306782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19</c:v>
                </c:pt>
              </c:strCache>
            </c:strRef>
          </c:tx>
          <c:spPr>
            <a:solidFill>
              <a:schemeClr val="accent1"/>
            </a:solidFill>
          </c:spPr>
          <c:invertIfNegative val="0"/>
          <c:cat>
            <c:numRef>
              <c:f>'Overall Metrics'!$R$2:$R$57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Metrics'!$S$2:$S$57</c:f>
              <c:numCache>
                <c:formatCode>General</c:formatCode>
                <c:ptCount val="56"/>
                <c:pt idx="0">
                  <c:v>19</c:v>
                </c:pt>
                <c:pt idx="1">
                  <c:v>0</c:v>
                </c:pt>
                <c:pt idx="2">
                  <c:v>0</c:v>
                </c:pt>
                <c:pt idx="3">
                  <c:v>0</c:v>
                </c:pt>
                <c:pt idx="4">
                  <c:v>0</c:v>
                </c:pt>
                <c:pt idx="5">
                  <c:v>1</c:v>
                </c:pt>
                <c:pt idx="6">
                  <c:v>1</c:v>
                </c:pt>
                <c:pt idx="7">
                  <c:v>3</c:v>
                </c:pt>
                <c:pt idx="8">
                  <c:v>8</c:v>
                </c:pt>
                <c:pt idx="9">
                  <c:v>12</c:v>
                </c:pt>
                <c:pt idx="10">
                  <c:v>5</c:v>
                </c:pt>
                <c:pt idx="11">
                  <c:v>9</c:v>
                </c:pt>
                <c:pt idx="12">
                  <c:v>10</c:v>
                </c:pt>
                <c:pt idx="13">
                  <c:v>10</c:v>
                </c:pt>
                <c:pt idx="14">
                  <c:v>15</c:v>
                </c:pt>
                <c:pt idx="15">
                  <c:v>11</c:v>
                </c:pt>
                <c:pt idx="16">
                  <c:v>11</c:v>
                </c:pt>
                <c:pt idx="17">
                  <c:v>4</c:v>
                </c:pt>
                <c:pt idx="18">
                  <c:v>15</c:v>
                </c:pt>
                <c:pt idx="19">
                  <c:v>13</c:v>
                </c:pt>
                <c:pt idx="20">
                  <c:v>5</c:v>
                </c:pt>
                <c:pt idx="21">
                  <c:v>6</c:v>
                </c:pt>
                <c:pt idx="22">
                  <c:v>8</c:v>
                </c:pt>
                <c:pt idx="23">
                  <c:v>3</c:v>
                </c:pt>
                <c:pt idx="24">
                  <c:v>6</c:v>
                </c:pt>
                <c:pt idx="25">
                  <c:v>-36</c:v>
                </c:pt>
                <c:pt idx="26">
                  <c:v>5</c:v>
                </c:pt>
                <c:pt idx="27">
                  <c:v>0</c:v>
                </c:pt>
                <c:pt idx="28">
                  <c:v>0</c:v>
                </c:pt>
                <c:pt idx="29">
                  <c:v>0</c:v>
                </c:pt>
                <c:pt idx="30">
                  <c:v>0</c:v>
                </c:pt>
                <c:pt idx="31">
                  <c:v>0</c:v>
                </c:pt>
                <c:pt idx="32">
                  <c:v>0</c:v>
                </c:pt>
                <c:pt idx="33">
                  <c:v>0</c:v>
                </c:pt>
                <c:pt idx="34">
                  <c:v>0</c:v>
                </c:pt>
                <c:pt idx="35">
                  <c:v>0</c:v>
                </c:pt>
                <c:pt idx="36">
                  <c:v>-31</c:v>
                </c:pt>
                <c:pt idx="37">
                  <c:v>-31</c:v>
                </c:pt>
                <c:pt idx="38">
                  <c:v>0</c:v>
                </c:pt>
                <c:pt idx="39">
                  <c:v>8</c:v>
                </c:pt>
                <c:pt idx="40">
                  <c:v>0</c:v>
                </c:pt>
                <c:pt idx="41">
                  <c:v>4</c:v>
                </c:pt>
                <c:pt idx="42">
                  <c:v>2</c:v>
                </c:pt>
                <c:pt idx="43">
                  <c:v>0</c:v>
                </c:pt>
                <c:pt idx="44">
                  <c:v>0</c:v>
                </c:pt>
                <c:pt idx="45">
                  <c:v>1</c:v>
                </c:pt>
                <c:pt idx="46">
                  <c:v>3</c:v>
                </c:pt>
                <c:pt idx="47">
                  <c:v>2</c:v>
                </c:pt>
                <c:pt idx="48">
                  <c:v>3</c:v>
                </c:pt>
                <c:pt idx="49">
                  <c:v>0</c:v>
                </c:pt>
                <c:pt idx="50">
                  <c:v>0</c:v>
                </c:pt>
                <c:pt idx="51">
                  <c:v>0</c:v>
                </c:pt>
                <c:pt idx="52">
                  <c:v>0</c:v>
                </c:pt>
                <c:pt idx="53">
                  <c:v>1</c:v>
                </c:pt>
                <c:pt idx="54">
                  <c:v>2</c:v>
                </c:pt>
                <c:pt idx="55">
                  <c:v>5</c:v>
                </c:pt>
              </c:numCache>
            </c:numRef>
          </c:val>
        </c:ser>
        <c:dLbls>
          <c:showLegendKey val="0"/>
          <c:showVal val="0"/>
          <c:showCatName val="0"/>
          <c:showSerName val="0"/>
          <c:showPercent val="0"/>
          <c:showBubbleSize val="0"/>
        </c:dLbls>
        <c:gapWidth val="0"/>
        <c:axId val="730678784"/>
        <c:axId val="829121664"/>
      </c:barChart>
      <c:catAx>
        <c:axId val="73067878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829121664"/>
        <c:crosses val="autoZero"/>
        <c:auto val="1"/>
        <c:lblAlgn val="ctr"/>
        <c:lblOffset val="100"/>
        <c:noMultiLvlLbl val="0"/>
      </c:catAx>
      <c:valAx>
        <c:axId val="8291216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306787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-211</c:v>
                </c:pt>
                <c:pt idx="26">
                  <c:v>0</c:v>
                </c:pt>
                <c:pt idx="27">
                  <c:v>0</c:v>
                </c:pt>
                <c:pt idx="28">
                  <c:v>0</c:v>
                </c:pt>
                <c:pt idx="29">
                  <c:v>0</c:v>
                </c:pt>
                <c:pt idx="30">
                  <c:v>0</c:v>
                </c:pt>
                <c:pt idx="31">
                  <c:v>0</c:v>
                </c:pt>
                <c:pt idx="32">
                  <c:v>0</c:v>
                </c:pt>
                <c:pt idx="33">
                  <c:v>0</c:v>
                </c:pt>
                <c:pt idx="34">
                  <c:v>0</c:v>
                </c:pt>
                <c:pt idx="35">
                  <c:v>0</c:v>
                </c:pt>
                <c:pt idx="36">
                  <c:v>-211</c:v>
                </c:pt>
                <c:pt idx="37">
                  <c:v>-211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er>
        <c:dLbls>
          <c:showLegendKey val="0"/>
          <c:showVal val="0"/>
          <c:showCatName val="0"/>
          <c:showSerName val="0"/>
          <c:showPercent val="0"/>
          <c:showBubbleSize val="0"/>
        </c:dLbls>
        <c:gapWidth val="0"/>
        <c:axId val="730679296"/>
        <c:axId val="829123392"/>
      </c:barChart>
      <c:catAx>
        <c:axId val="7306792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829123392"/>
        <c:crosses val="autoZero"/>
        <c:auto val="1"/>
        <c:lblAlgn val="ctr"/>
        <c:lblOffset val="100"/>
        <c:noMultiLvlLbl val="0"/>
      </c:catAx>
      <c:valAx>
        <c:axId val="8291233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306792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er>
        <c:dLbls>
          <c:showLegendKey val="0"/>
          <c:showVal val="0"/>
          <c:showCatName val="0"/>
          <c:showSerName val="0"/>
          <c:showPercent val="0"/>
          <c:showBubbleSize val="0"/>
        </c:dLbls>
        <c:gapWidth val="0"/>
        <c:axId val="730679808"/>
        <c:axId val="829126272"/>
      </c:barChart>
      <c:catAx>
        <c:axId val="730679808"/>
        <c:scaling>
          <c:orientation val="minMax"/>
        </c:scaling>
        <c:delete val="1"/>
        <c:axPos val="b"/>
        <c:numFmt formatCode="#,##0.00" sourceLinked="1"/>
        <c:majorTickMark val="out"/>
        <c:minorTickMark val="none"/>
        <c:tickLblPos val="none"/>
        <c:crossAx val="829126272"/>
        <c:crosses val="autoZero"/>
        <c:auto val="1"/>
        <c:lblAlgn val="ctr"/>
        <c:lblOffset val="100"/>
        <c:noMultiLvlLbl val="0"/>
      </c:catAx>
      <c:valAx>
        <c:axId val="829126272"/>
        <c:scaling>
          <c:orientation val="minMax"/>
        </c:scaling>
        <c:delete val="1"/>
        <c:axPos val="l"/>
        <c:numFmt formatCode="General" sourceLinked="1"/>
        <c:majorTickMark val="out"/>
        <c:minorTickMark val="none"/>
        <c:tickLblPos val="none"/>
        <c:crossAx val="73067980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Vertices" displayName="Vertices" ref="A2:AR228" totalsRowShown="0" headerRowDxfId="99" dataDxfId="98">
  <autoFilter ref="A2:AR228"/>
  <sortState ref="A3:AR228">
    <sortCondition ref="AC2:AC228"/>
  </sortState>
  <tableColumns count="44">
    <tableColumn id="1" name="Column1" dataDxfId="97" dataCellStyle="NodeXL Required"/>
    <tableColumn id="2" name="Color" dataDxfId="96" dataCellStyle="NodeXL Visual Property"/>
    <tableColumn id="5" name="Shape" dataDxfId="95" dataCellStyle="NodeXL Visual Property"/>
    <tableColumn id="6" name="Size" dataDxfId="94" dataCellStyle="NodeXL Visual Property"/>
    <tableColumn id="4" name="Opacity" dataDxfId="93" dataCellStyle="NodeXL Visual Property"/>
    <tableColumn id="7" name="Column2" dataDxfId="92" dataCellStyle="NodeXL Visual Property"/>
    <tableColumn id="3" name="Visibility" dataDxfId="91" dataCellStyle="NodeXL Visual Property"/>
    <tableColumn id="10" name="Label" dataDxfId="90" dataCellStyle="NodeXL Label"/>
    <tableColumn id="16" name="Label Fill Color" dataDxfId="89" dataCellStyle="NodeXL Label"/>
    <tableColumn id="9" name="Label Position" dataDxfId="88" dataCellStyle="NodeXL Label"/>
    <tableColumn id="8" name="Tooltip" dataDxfId="87" dataCellStyle="NodeXL Label"/>
    <tableColumn id="18" name="Layout Order" dataDxfId="86" dataCellStyle="NodeXL Layout"/>
    <tableColumn id="13" name="X" dataDxfId="85" dataCellStyle="NodeXL Layout"/>
    <tableColumn id="14" name="Y" dataDxfId="84" dataCellStyle="NodeXL Layout"/>
    <tableColumn id="12" name="Locked?" dataDxfId="83" dataCellStyle="NodeXL Layout"/>
    <tableColumn id="19" name="Polar R" dataDxfId="82" dataCellStyle="NodeXL Layout"/>
    <tableColumn id="20" name="Polar Angle" dataDxfId="81" dataCellStyle="NodeXL Layout"/>
    <tableColumn id="21" name="Degree" dataDxfId="80" dataCellStyle="NodeXL Graph Metric">
      <calculatedColumnFormula>S3+T3</calculatedColumnFormula>
    </tableColumn>
    <tableColumn id="22" name="In-Degree" dataDxfId="79" dataCellStyle="NodeXL Graph Metric"/>
    <tableColumn id="23" name="Out-Degree" dataDxfId="78" dataCellStyle="NodeXL Graph Metric"/>
    <tableColumn id="24" name="Betweenness Centrality" dataDxfId="77" dataCellStyle="NodeXL Graph Metric"/>
    <tableColumn id="25" name="Closeness Centrality" dataDxfId="76" dataCellStyle="NodeXL Graph Metric"/>
    <tableColumn id="26" name="Eigenvector Centrality" dataDxfId="75" dataCellStyle="NodeXL Graph Metric"/>
    <tableColumn id="15" name="PageRank" dataDxfId="74" dataCellStyle="NodeXL Graph Metric"/>
    <tableColumn id="27" name="Clustering Coefficient" dataDxfId="73" dataCellStyle="NodeXL Graph Metric"/>
    <tableColumn id="29" name="Reciprocated Vertex Pair Ratio" dataDxfId="72" dataCellStyle="NodeXL Graph Metric"/>
    <tableColumn id="11" name="ID" dataDxfId="71" dataCellStyle="NodeXL Do Not Edit"/>
    <tableColumn id="28" name="Dynamic Filter" dataDxfId="70" dataCellStyle="NodeXL Do Not Edit"/>
    <tableColumn id="17" name="Group" dataDxfId="69" dataCellStyle="NodeXL Other Column"/>
    <tableColumn id="30" name="Column3" dataDxfId="68" dataCellStyle="Normal"/>
    <tableColumn id="31" name="Followed" dataDxfId="67" dataCellStyle="Normal"/>
    <tableColumn id="32" name="Followers" dataDxfId="66" dataCellStyle="Normal"/>
    <tableColumn id="33" name="Tweets" dataDxfId="65" dataCellStyle="Normal"/>
    <tableColumn id="34" name="Favorites" dataDxfId="64" dataCellStyle="Normal"/>
    <tableColumn id="35" name="Time Zone UTC Offset (Seconds)" dataDxfId="63" dataCellStyle="Normal"/>
    <tableColumn id="36" name="Column4" dataDxfId="62" dataCellStyle="Normal"/>
    <tableColumn id="37" name="Column5" dataDxfId="61" dataCellStyle="Normal"/>
    <tableColumn id="38" name="Column6" dataDxfId="60" dataCellStyle="Normal"/>
    <tableColumn id="39" name="Column7" dataDxfId="59" dataCellStyle="Normal"/>
    <tableColumn id="40" name="Joined Twitter Date (UTC)" dataDxfId="58" dataCellStyle="Normal"/>
    <tableColumn id="41" name="User of Interest?" dataDxfId="57" dataCellStyle="Normal"/>
    <tableColumn id="42" name="Column8" dataDxfId="56" dataCellStyle="Normal"/>
    <tableColumn id="43" name="Column9" dataDxfId="55" dataCellStyle="Normal"/>
    <tableColumn id="44" name="Column10" dataDxfId="54" dataCellStyle="Normal"/>
  </tableColumns>
  <tableStyleInfo name="NodeXL Table" showFirstColumn="0" showLastColumn="0" showRowStripes="0" showColumnStripes="0"/>
</table>
</file>

<file path=xl/tables/table10.xml><?xml version="1.0" encoding="utf-8"?>
<table xmlns="http://schemas.openxmlformats.org/spreadsheetml/2006/main" id="10" name="GroupEdges" displayName="GroupEdges" ref="A2:C16" totalsRowShown="0" headerRowDxfId="4" dataDxfId="3" dataCellStyle="NodeXL Required">
  <autoFilter ref="A2:C16"/>
  <tableColumns count="3">
    <tableColumn id="1" name="Group 1" dataDxfId="2" dataCellStyle="NodeXL Required"/>
    <tableColumn id="2" name="Group 2" dataDxfId="1" dataCellStyle="NodeXL Required"/>
    <tableColumn id="3" name="Edges" dataDxfId="0" dataCellStyle="NodeXL Graph Metric"/>
  </tableColumns>
  <tableStyleInfo name="NodeXL Table" showFirstColumn="0" showLastColumn="0" showRowStripes="1" showColumnStripes="0"/>
</table>
</file>

<file path=xl/tables/table2.xml><?xml version="1.0" encoding="utf-8"?>
<table xmlns="http://schemas.openxmlformats.org/spreadsheetml/2006/main" id="4" name="Groups" displayName="Groups" ref="A2:X6" totalsRowShown="0" headerRowDxfId="53">
  <autoFilter ref="A2:X6"/>
  <tableColumns count="24">
    <tableColumn id="1" name="Group" dataDxfId="52" dataCellStyle="NodeXL Required"/>
    <tableColumn id="2" name="Vertex Color" dataDxfId="51" dataCellStyle="NodeXL Visual Property"/>
    <tableColumn id="3" name="Vertex Shape" dataDxfId="50" dataCellStyle="NodeXL Visual Property"/>
    <tableColumn id="22" name="Visibility" dataDxfId="49" dataCellStyle="NodeXL Visual Property"/>
    <tableColumn id="4" name="Collapsed?" dataCellStyle="NodeXL Visual Property"/>
    <tableColumn id="18" name="Label" dataDxfId="48" dataCellStyle="NodeXL Label"/>
    <tableColumn id="20" name="Collapsed X" dataCellStyle="NodeXL Layout"/>
    <tableColumn id="21" name="Collapsed Y" dataCellStyle="NodeXL Layout"/>
    <tableColumn id="6" name="ID" dataDxfId="47" dataCellStyle="NodeXL Do Not Edit"/>
    <tableColumn id="19" name="Collapsed Properties" dataDxfId="46" dataCellStyle="NodeXL Do Not Edit"/>
    <tableColumn id="5" name="Vertices" dataDxfId="45" dataCellStyle="NodeXL Graph Metric"/>
    <tableColumn id="7" name="Unique Edges" dataDxfId="44" dataCellStyle="NodeXL Graph Metric"/>
    <tableColumn id="8" name="Edges With Duplicates" dataDxfId="43" dataCellStyle="NodeXL Graph Metric"/>
    <tableColumn id="9" name="Total Edges" dataDxfId="42" dataCellStyle="NodeXL Graph Metric"/>
    <tableColumn id="10" name="Self-Loops" dataDxfId="41" dataCellStyle="NodeXL Graph Metric"/>
    <tableColumn id="24" name="Reciprocated Vertex Pair Ratio" dataDxfId="40" dataCellStyle="NodeXL Graph Metric"/>
    <tableColumn id="25" name="Reciprocated Edge Ratio" dataDxfId="39" dataCellStyle="NodeXL Graph Metric"/>
    <tableColumn id="11" name="Connected Components" dataDxfId="38" dataCellStyle="NodeXL Graph Metric"/>
    <tableColumn id="12" name="Single-Vertex Connected Components" dataDxfId="37" dataCellStyle="NodeXL Graph Metric"/>
    <tableColumn id="13" name="Maximum Vertices in a Connected Component" dataDxfId="36" dataCellStyle="NodeXL Graph Metric"/>
    <tableColumn id="14" name="Maximum Edges in a Connected Component" dataDxfId="35" dataCellStyle="NodeXL Graph Metric"/>
    <tableColumn id="15" name="Maximum Geodesic Distance (Diameter)" dataDxfId="34" dataCellStyle="NodeXL Graph Metric"/>
    <tableColumn id="16" name="Average Geodesic Distance" dataDxfId="33" dataCellStyle="NodeXL Graph Metric"/>
    <tableColumn id="17" name="Graph Density" dataDxfId="32" dataCellStyle="NodeXL Graph Metric"/>
  </tableColumns>
  <tableStyleInfo name="NodeXL Table" showFirstColumn="0" showLastColumn="0" showRowStripes="1" showColumnStripes="0"/>
</table>
</file>

<file path=xl/tables/table3.xml><?xml version="1.0" encoding="utf-8"?>
<table xmlns="http://schemas.openxmlformats.org/spreadsheetml/2006/main" id="5" name="GroupVertices" displayName="GroupVertices" ref="A1:C212" totalsRowShown="0" headerRowDxfId="31" dataDxfId="30">
  <autoFilter ref="A1:C212"/>
  <tableColumns count="3">
    <tableColumn id="1" name="Group" dataDxfId="29" dataCellStyle="Normal"/>
    <tableColumn id="2" name="Column1" dataDxfId="28" dataCellStyle="Normal"/>
    <tableColumn id="3" name="Column2" dataDxfId="27" dataCellStyle="Normal"/>
  </tableColumns>
  <tableStyleInfo name="TableStyleMedium9" showFirstColumn="0" showLastColumn="0" showRowStripes="1" showColumnStripes="0"/>
</table>
</file>

<file path=xl/tables/table4.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6" dataCellStyle="NodeXL Graph Metric"/>
    <tableColumn id="2" name="Value" dataDxfId="25" dataCellStyle="NodeXL Graph Metric"/>
  </tableColumns>
  <tableStyleInfo name="TableStyleMedium9" showFirstColumn="0" showLastColumn="0" showRowStripes="1" showColumnStripes="0"/>
</table>
</file>

<file path=xl/tables/table5.xml><?xml version="1.0" encoding="utf-8"?>
<table xmlns="http://schemas.openxmlformats.org/spreadsheetml/2006/main" id="3" name="HistogramBins" displayName="HistogramBins" ref="D1:U57" totalsRowShown="0">
  <autoFilter ref="D1:U57"/>
  <tableColumns count="18">
    <tableColumn id="1" name="Degree Bin" dataDxfId="24"/>
    <tableColumn id="2" name="Degree Frequency" dataDxfId="23">
      <calculatedColumnFormula>COUNTIF(Vertices[Degree], "&gt;= " &amp; D2) - COUNTIF(Vertices[Degree], "&gt;=" &amp; D3)</calculatedColumnFormula>
    </tableColumn>
    <tableColumn id="3" name="In-Degree Bin" dataDxfId="22"/>
    <tableColumn id="4" name="In-Degree Frequency" dataDxfId="21">
      <calculatedColumnFormula>COUNTIF(Vertices[In-Degree], "&gt;= " &amp; F2) - COUNTIF(Vertices[In-Degree], "&gt;=" &amp; F3)</calculatedColumnFormula>
    </tableColumn>
    <tableColumn id="5" name="Out-Degree Bin" dataDxfId="20"/>
    <tableColumn id="6" name="Out-Degree Frequency" dataDxfId="19">
      <calculatedColumnFormula>COUNTIF(Vertices[Out-Degree], "&gt;= " &amp; H2) - COUNTIF(Vertices[Out-Degree], "&gt;=" &amp; H3)</calculatedColumnFormula>
    </tableColumn>
    <tableColumn id="7" name="Betweenness Centrality Bin" dataDxfId="18"/>
    <tableColumn id="8" name="Betweenness Centrality Frequency" dataDxfId="17">
      <calculatedColumnFormula>COUNTIF(Vertices[Betweenness Centrality], "&gt;= " &amp; J2) - COUNTIF(Vertices[Betweenness Centrality], "&gt;=" &amp; J3)</calculatedColumnFormula>
    </tableColumn>
    <tableColumn id="9" name="Closeness Centrality Bin" dataDxfId="16"/>
    <tableColumn id="10" name="Closeness Centrality Frequency" dataDxfId="15">
      <calculatedColumnFormula>COUNTIF(Vertices[Closeness Centrality], "&gt;= " &amp; L2) - COUNTIF(Vertices[Closeness Centrality], "&gt;=" &amp; L3)</calculatedColumnFormula>
    </tableColumn>
    <tableColumn id="11" name="Eigenvector Centrality Bin" dataDxfId="14"/>
    <tableColumn id="12" name="Eigenvector Centrality Frequency" dataDxfId="13">
      <calculatedColumnFormula>COUNTIF(Vertices[Eigenvector Centrality], "&gt;= " &amp; N2) - COUNTIF(Vertices[Eigenvector Centrality], "&gt;=" &amp; N3)</calculatedColumnFormula>
    </tableColumn>
    <tableColumn id="18" name="PageRank Bin" dataDxfId="12"/>
    <tableColumn id="17" name="PageRank Frequency" dataDxfId="11">
      <calculatedColumnFormula>COUNTIF(Vertices[Eigenvector Centrality], "&gt;= " &amp; P2) - COUNTIF(Vertices[Eigenvector Centrality], "&gt;=" &amp; P3)</calculatedColumnFormula>
    </tableColumn>
    <tableColumn id="13" name="Clustering Coefficient Bin" dataDxfId="10"/>
    <tableColumn id="14" name="Clustering Coefficient Frequency" dataDxfId="9">
      <calculatedColumnFormula>COUNTIF(Vertices[Clustering Coefficient], "&gt;= " &amp; R2) - COUNTIF(Vertices[Clustering Coefficient], "&gt;=" &amp; R3)</calculatedColumnFormula>
    </tableColumn>
    <tableColumn id="15" name="Dynamic Filter Bin" dataDxfId="8"/>
    <tableColumn id="16" name="Dynamic Filter Frequency" dataDxfId="7">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6.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7.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8.xml><?xml version="1.0" encoding="utf-8"?>
<table xmlns="http://schemas.openxmlformats.org/spreadsheetml/2006/main" id="7" name="PerWorkbookSettings" displayName="PerWorkbookSettings" ref="J1:K10" totalsRowShown="0" headerRowDxfId="6">
  <autoFilter ref="J1:K10"/>
  <tableColumns count="2">
    <tableColumn id="1" name="Per-Workbook Setting"/>
    <tableColumn id="2" name="Value"/>
  </tableColumns>
  <tableStyleInfo name="TableStyleMedium9" showFirstColumn="0" showLastColumn="0" showRowStripes="1" showColumnStripes="0"/>
</table>
</file>

<file path=xl/tables/table9.xml><?xml version="1.0" encoding="utf-8"?>
<table xmlns="http://schemas.openxmlformats.org/spreadsheetml/2006/main" id="8" name="DynamicFilterSettings" displayName="DynamicFilterSettings" ref="M1:P2" totalsRowShown="0" headerRowDxfId="5">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vmlDrawing" Target="../drawings/vmlDrawing4.vml"/><Relationship Id="rId7"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W228"/>
  <sheetViews>
    <sheetView workbookViewId="0">
      <pane xSplit="1" ySplit="2" topLeftCell="AC3" activePane="bottomRight" state="frozen"/>
      <selection pane="topRight" activeCell="B1" sqref="B1"/>
      <selection pane="bottomLeft" activeCell="A3" sqref="A3"/>
      <selection pane="bottomRight" activeCell="AK13" sqref="AK1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8.5703125" style="2" bestFit="1" customWidth="1"/>
    <col min="31" max="31" width="11.5703125" style="3" bestFit="1" customWidth="1"/>
    <col min="32" max="32" width="12" style="3" bestFit="1" customWidth="1"/>
    <col min="33" max="33" width="9.7109375" style="3" bestFit="1" customWidth="1"/>
    <col min="34" max="34" width="11.42578125" style="3" bestFit="1" customWidth="1"/>
    <col min="35" max="35" width="18.140625" bestFit="1" customWidth="1"/>
    <col min="36" max="36" width="13.42578125" bestFit="1" customWidth="1"/>
    <col min="37" max="37" width="10.7109375" bestFit="1" customWidth="1"/>
    <col min="38" max="38" width="7.42578125" bestFit="1" customWidth="1"/>
    <col min="39" max="39" width="8.140625" bestFit="1" customWidth="1"/>
    <col min="40" max="40" width="16.5703125" bestFit="1" customWidth="1"/>
    <col min="41" max="41" width="11.28515625" bestFit="1" customWidth="1"/>
    <col min="42" max="43" width="16.140625" bestFit="1" customWidth="1"/>
    <col min="44" max="44" width="9.28515625" bestFit="1" customWidth="1"/>
  </cols>
  <sheetData>
    <row r="1" spans="1:49" x14ac:dyDescent="0.25">
      <c r="B1" s="22" t="s">
        <v>34</v>
      </c>
      <c r="C1" s="16"/>
      <c r="D1" s="16"/>
      <c r="E1" s="16"/>
      <c r="F1" s="16"/>
      <c r="G1" s="16"/>
      <c r="H1" s="24" t="s">
        <v>38</v>
      </c>
      <c r="I1" s="23"/>
      <c r="J1" s="23"/>
      <c r="K1" s="23"/>
      <c r="L1" s="26" t="s">
        <v>39</v>
      </c>
      <c r="M1" s="25"/>
      <c r="N1" s="25"/>
      <c r="O1" s="25"/>
      <c r="P1" s="25"/>
      <c r="Q1" s="25"/>
      <c r="R1" s="21" t="s">
        <v>37</v>
      </c>
      <c r="S1" s="18"/>
      <c r="T1" s="19"/>
      <c r="U1" s="20"/>
      <c r="V1" s="18"/>
      <c r="W1" s="18"/>
      <c r="X1" s="18"/>
      <c r="Y1" s="18"/>
      <c r="Z1" s="18"/>
      <c r="AA1" s="27" t="s">
        <v>35</v>
      </c>
      <c r="AB1" s="17"/>
      <c r="AC1" s="28" t="s">
        <v>36</v>
      </c>
      <c r="AD1"/>
      <c r="AE1"/>
      <c r="AF1"/>
      <c r="AG1"/>
      <c r="AH1"/>
    </row>
    <row r="2" spans="1:49" ht="30" customHeight="1" x14ac:dyDescent="0.25">
      <c r="A2" s="11" t="s">
        <v>196</v>
      </c>
      <c r="B2" s="8" t="s">
        <v>0</v>
      </c>
      <c r="C2" s="8" t="s">
        <v>4</v>
      </c>
      <c r="D2" s="9" t="s">
        <v>40</v>
      </c>
      <c r="E2" s="10" t="s">
        <v>1</v>
      </c>
      <c r="F2" s="8" t="s">
        <v>197</v>
      </c>
      <c r="G2" s="8" t="s">
        <v>7</v>
      </c>
      <c r="H2" s="8" t="s">
        <v>41</v>
      </c>
      <c r="I2" s="8" t="s">
        <v>42</v>
      </c>
      <c r="J2" s="8" t="s">
        <v>71</v>
      </c>
      <c r="K2" s="8" t="s">
        <v>6</v>
      </c>
      <c r="L2" s="8" t="s">
        <v>22</v>
      </c>
      <c r="M2" s="8" t="s">
        <v>11</v>
      </c>
      <c r="N2" s="8" t="s">
        <v>12</v>
      </c>
      <c r="O2" s="8" t="s">
        <v>9</v>
      </c>
      <c r="P2" s="8" t="s">
        <v>23</v>
      </c>
      <c r="Q2" s="8" t="s">
        <v>24</v>
      </c>
      <c r="R2" s="13" t="s">
        <v>26</v>
      </c>
      <c r="S2" s="13" t="s">
        <v>27</v>
      </c>
      <c r="T2" s="13" t="s">
        <v>28</v>
      </c>
      <c r="U2" s="13" t="s">
        <v>29</v>
      </c>
      <c r="V2" s="13" t="s">
        <v>30</v>
      </c>
      <c r="W2" s="13" t="s">
        <v>31</v>
      </c>
      <c r="X2" s="13" t="s">
        <v>130</v>
      </c>
      <c r="Y2" s="13" t="s">
        <v>32</v>
      </c>
      <c r="Z2" s="13" t="s">
        <v>159</v>
      </c>
      <c r="AA2" s="11" t="s">
        <v>8</v>
      </c>
      <c r="AB2" s="11" t="s">
        <v>33</v>
      </c>
      <c r="AC2" s="8" t="s">
        <v>137</v>
      </c>
      <c r="AD2" s="13" t="s">
        <v>198</v>
      </c>
      <c r="AE2" s="13" t="s">
        <v>166</v>
      </c>
      <c r="AF2" s="13" t="s">
        <v>167</v>
      </c>
      <c r="AG2" s="13" t="s">
        <v>168</v>
      </c>
      <c r="AH2" s="13" t="s">
        <v>169</v>
      </c>
      <c r="AI2" s="13" t="s">
        <v>170</v>
      </c>
      <c r="AJ2" s="13" t="s">
        <v>199</v>
      </c>
      <c r="AK2" s="13" t="s">
        <v>200</v>
      </c>
      <c r="AL2" s="13" t="s">
        <v>201</v>
      </c>
      <c r="AM2" s="13" t="s">
        <v>202</v>
      </c>
      <c r="AN2" s="13" t="s">
        <v>171</v>
      </c>
      <c r="AO2" s="13" t="s">
        <v>172</v>
      </c>
      <c r="AP2" s="13" t="s">
        <v>203</v>
      </c>
      <c r="AQ2" s="13" t="s">
        <v>204</v>
      </c>
      <c r="AR2" s="13" t="s">
        <v>205</v>
      </c>
      <c r="AS2" s="3"/>
      <c r="AT2" s="3"/>
    </row>
    <row r="3" spans="1:49" ht="15" customHeight="1" x14ac:dyDescent="0.25">
      <c r="A3" s="65"/>
      <c r="B3" s="66"/>
      <c r="C3" s="66"/>
      <c r="D3" s="67"/>
      <c r="E3" s="68"/>
      <c r="F3" s="93"/>
      <c r="G3" s="66"/>
      <c r="H3" s="69"/>
      <c r="I3" s="70"/>
      <c r="J3" s="70"/>
      <c r="K3" s="69"/>
      <c r="L3" s="72"/>
      <c r="M3" s="73">
        <v>7756.9736328125</v>
      </c>
      <c r="N3" s="73">
        <v>3994.302001953125</v>
      </c>
      <c r="O3" s="74"/>
      <c r="P3" s="75"/>
      <c r="Q3" s="75"/>
      <c r="R3" s="78">
        <f t="shared" ref="R3:R66" si="0">S3+T3</f>
        <v>19</v>
      </c>
      <c r="S3" s="47">
        <v>7</v>
      </c>
      <c r="T3" s="47">
        <v>12</v>
      </c>
      <c r="U3" s="48">
        <v>18.817796999999999</v>
      </c>
      <c r="V3" s="48">
        <v>2.0699999999999998E-3</v>
      </c>
      <c r="W3" s="48">
        <v>5.0419999999999996E-3</v>
      </c>
      <c r="X3" s="49"/>
      <c r="Y3" s="48">
        <v>0.46153846153846156</v>
      </c>
      <c r="Z3" s="48"/>
      <c r="AA3" s="71">
        <v>3</v>
      </c>
      <c r="AB3" s="71"/>
      <c r="AC3" s="116">
        <v>1</v>
      </c>
      <c r="AD3" s="76"/>
      <c r="AE3" s="76">
        <v>478</v>
      </c>
      <c r="AF3" s="76">
        <v>732</v>
      </c>
      <c r="AG3" s="76">
        <v>1047</v>
      </c>
      <c r="AH3" s="76">
        <v>287</v>
      </c>
      <c r="AI3" s="76">
        <v>3600</v>
      </c>
      <c r="AJ3" s="76"/>
      <c r="AK3" s="76"/>
      <c r="AL3" s="92"/>
      <c r="AM3" s="76"/>
      <c r="AN3" s="76">
        <v>41583.847824074073</v>
      </c>
      <c r="AO3" s="76" t="s">
        <v>60</v>
      </c>
      <c r="AP3" s="76"/>
      <c r="AQ3" s="92"/>
      <c r="AR3" s="76"/>
      <c r="AS3" s="3"/>
      <c r="AT3" s="3"/>
    </row>
    <row r="4" spans="1:49" x14ac:dyDescent="0.25">
      <c r="A4" s="118"/>
      <c r="B4" s="66"/>
      <c r="C4" s="96"/>
      <c r="D4" s="99"/>
      <c r="E4" s="95"/>
      <c r="F4" s="93"/>
      <c r="G4" s="96"/>
      <c r="H4" s="100"/>
      <c r="I4" s="101"/>
      <c r="J4" s="101"/>
      <c r="K4" s="100"/>
      <c r="L4" s="102"/>
      <c r="M4" s="103">
        <v>1921.3330078125</v>
      </c>
      <c r="N4" s="103">
        <v>8974.314453125</v>
      </c>
      <c r="O4" s="104"/>
      <c r="P4" s="105"/>
      <c r="Q4" s="105"/>
      <c r="R4" s="106">
        <f t="shared" si="0"/>
        <v>1</v>
      </c>
      <c r="S4" s="47">
        <v>0</v>
      </c>
      <c r="T4" s="47">
        <v>1</v>
      </c>
      <c r="U4" s="48">
        <v>0</v>
      </c>
      <c r="V4" s="48">
        <v>1.477E-3</v>
      </c>
      <c r="W4" s="48">
        <v>1.2400000000000001E-4</v>
      </c>
      <c r="X4" s="107"/>
      <c r="Y4" s="48">
        <v>0</v>
      </c>
      <c r="Z4" s="108"/>
      <c r="AA4" s="109">
        <v>4</v>
      </c>
      <c r="AB4" s="109"/>
      <c r="AC4" s="116">
        <v>1</v>
      </c>
      <c r="AD4" s="76"/>
      <c r="AE4" s="76">
        <v>784</v>
      </c>
      <c r="AF4" s="76">
        <v>861</v>
      </c>
      <c r="AG4" s="76">
        <v>1830</v>
      </c>
      <c r="AH4" s="76">
        <v>549</v>
      </c>
      <c r="AI4" s="76">
        <v>3600</v>
      </c>
      <c r="AJ4" s="76"/>
      <c r="AK4" s="76"/>
      <c r="AL4" s="92"/>
      <c r="AM4" s="76"/>
      <c r="AN4" s="76">
        <v>39856.712754629632</v>
      </c>
      <c r="AO4" s="76" t="s">
        <v>60</v>
      </c>
      <c r="AP4" s="76"/>
      <c r="AQ4" s="92"/>
      <c r="AR4" s="76"/>
      <c r="AS4" s="2"/>
      <c r="AT4" s="3"/>
      <c r="AU4" s="3"/>
      <c r="AV4" s="3"/>
      <c r="AW4" s="3"/>
    </row>
    <row r="5" spans="1:49" x14ac:dyDescent="0.25">
      <c r="A5" s="65"/>
      <c r="B5" s="66"/>
      <c r="C5" s="66"/>
      <c r="D5" s="67"/>
      <c r="E5" s="68"/>
      <c r="F5" s="93"/>
      <c r="G5" s="66"/>
      <c r="H5" s="69"/>
      <c r="I5" s="70"/>
      <c r="J5" s="70"/>
      <c r="K5" s="69"/>
      <c r="L5" s="72"/>
      <c r="M5" s="73">
        <v>8985.349609375</v>
      </c>
      <c r="N5" s="73">
        <v>3504.08984375</v>
      </c>
      <c r="O5" s="74"/>
      <c r="P5" s="75"/>
      <c r="Q5" s="75"/>
      <c r="R5" s="78">
        <f t="shared" si="0"/>
        <v>2</v>
      </c>
      <c r="S5" s="47">
        <v>2</v>
      </c>
      <c r="T5" s="47">
        <v>0</v>
      </c>
      <c r="U5" s="48">
        <v>0</v>
      </c>
      <c r="V5" s="48">
        <v>1.748E-3</v>
      </c>
      <c r="W5" s="48">
        <v>7.4100000000000001E-4</v>
      </c>
      <c r="X5" s="49"/>
      <c r="Y5" s="48">
        <v>1</v>
      </c>
      <c r="Z5" s="48"/>
      <c r="AA5" s="71">
        <v>5</v>
      </c>
      <c r="AB5" s="71"/>
      <c r="AC5" s="116">
        <v>1</v>
      </c>
      <c r="AD5" s="76"/>
      <c r="AE5" s="76">
        <v>284</v>
      </c>
      <c r="AF5" s="76">
        <v>461</v>
      </c>
      <c r="AG5" s="76">
        <v>1344</v>
      </c>
      <c r="AH5" s="76">
        <v>1</v>
      </c>
      <c r="AI5" s="76">
        <v>3600</v>
      </c>
      <c r="AJ5" s="76"/>
      <c r="AK5" s="76"/>
      <c r="AL5" s="92"/>
      <c r="AM5" s="76"/>
      <c r="AN5" s="76">
        <v>41009.674340277779</v>
      </c>
      <c r="AO5" s="76" t="s">
        <v>60</v>
      </c>
      <c r="AP5" s="76"/>
      <c r="AQ5" s="92"/>
      <c r="AR5" s="76"/>
      <c r="AS5" s="2"/>
      <c r="AT5" s="3"/>
      <c r="AU5" s="3"/>
      <c r="AV5" s="3"/>
      <c r="AW5" s="3"/>
    </row>
    <row r="6" spans="1:49" x14ac:dyDescent="0.25">
      <c r="A6" s="65"/>
      <c r="B6" s="66"/>
      <c r="C6" s="66"/>
      <c r="D6" s="67"/>
      <c r="E6" s="68"/>
      <c r="F6" s="93"/>
      <c r="G6" s="66"/>
      <c r="H6" s="69"/>
      <c r="I6" s="70"/>
      <c r="J6" s="70"/>
      <c r="K6" s="69"/>
      <c r="L6" s="72"/>
      <c r="M6" s="73">
        <v>7485.337890625</v>
      </c>
      <c r="N6" s="73">
        <v>7218.53564453125</v>
      </c>
      <c r="O6" s="74"/>
      <c r="P6" s="75"/>
      <c r="Q6" s="75"/>
      <c r="R6" s="78">
        <f t="shared" si="0"/>
        <v>11</v>
      </c>
      <c r="S6" s="47">
        <v>6</v>
      </c>
      <c r="T6" s="47">
        <v>5</v>
      </c>
      <c r="U6" s="48">
        <v>7.8012560000000004</v>
      </c>
      <c r="V6" s="48">
        <v>1.8450000000000001E-3</v>
      </c>
      <c r="W6" s="48">
        <v>2.137E-3</v>
      </c>
      <c r="X6" s="49"/>
      <c r="Y6" s="48">
        <v>0.375</v>
      </c>
      <c r="Z6" s="48"/>
      <c r="AA6" s="71">
        <v>6</v>
      </c>
      <c r="AB6" s="71"/>
      <c r="AC6" s="116">
        <v>1</v>
      </c>
      <c r="AD6" s="76"/>
      <c r="AE6" s="76">
        <v>273</v>
      </c>
      <c r="AF6" s="76">
        <v>881</v>
      </c>
      <c r="AG6" s="76">
        <v>2090</v>
      </c>
      <c r="AH6" s="76">
        <v>514</v>
      </c>
      <c r="AI6" s="76">
        <v>3600</v>
      </c>
      <c r="AJ6" s="76"/>
      <c r="AK6" s="76"/>
      <c r="AL6" s="92"/>
      <c r="AM6" s="76"/>
      <c r="AN6" s="76">
        <v>41073.474618055552</v>
      </c>
      <c r="AO6" s="76" t="s">
        <v>60</v>
      </c>
      <c r="AP6" s="76"/>
      <c r="AQ6" s="92"/>
      <c r="AR6" s="76"/>
      <c r="AS6" s="2"/>
      <c r="AT6" s="3"/>
      <c r="AU6" s="3"/>
      <c r="AV6" s="3"/>
      <c r="AW6" s="3"/>
    </row>
    <row r="7" spans="1:49" x14ac:dyDescent="0.25">
      <c r="A7" s="65"/>
      <c r="B7" s="66"/>
      <c r="C7" s="66"/>
      <c r="D7" s="67"/>
      <c r="E7" s="68"/>
      <c r="F7" s="93"/>
      <c r="G7" s="66"/>
      <c r="H7" s="69"/>
      <c r="I7" s="70"/>
      <c r="J7" s="70"/>
      <c r="K7" s="69"/>
      <c r="L7" s="72"/>
      <c r="M7" s="73"/>
      <c r="N7" s="73"/>
      <c r="O7" s="74"/>
      <c r="P7" s="75"/>
      <c r="Q7" s="75"/>
      <c r="R7" s="78">
        <f t="shared" si="0"/>
        <v>0</v>
      </c>
      <c r="S7" s="47"/>
      <c r="T7" s="47"/>
      <c r="U7" s="48"/>
      <c r="V7" s="48"/>
      <c r="W7" s="48"/>
      <c r="X7" s="49"/>
      <c r="Y7" s="48"/>
      <c r="Z7" s="48"/>
      <c r="AA7" s="71">
        <v>7</v>
      </c>
      <c r="AB7" s="71"/>
      <c r="AC7" s="116">
        <v>1</v>
      </c>
      <c r="AD7" s="76"/>
      <c r="AE7" s="76">
        <v>531</v>
      </c>
      <c r="AF7" s="76">
        <v>1640</v>
      </c>
      <c r="AG7" s="76">
        <v>5375</v>
      </c>
      <c r="AH7" s="76">
        <v>883</v>
      </c>
      <c r="AI7" s="76">
        <v>3600</v>
      </c>
      <c r="AJ7" s="76"/>
      <c r="AK7" s="76"/>
      <c r="AL7" s="92"/>
      <c r="AM7" s="76"/>
      <c r="AN7" s="76">
        <v>41060.44226851852</v>
      </c>
      <c r="AO7" s="76" t="s">
        <v>60</v>
      </c>
      <c r="AP7" s="76"/>
      <c r="AQ7" s="92"/>
      <c r="AR7" s="76"/>
      <c r="AS7" s="2"/>
      <c r="AT7" s="3"/>
      <c r="AU7" s="3"/>
      <c r="AV7" s="3"/>
      <c r="AW7" s="3"/>
    </row>
    <row r="8" spans="1:49" x14ac:dyDescent="0.25">
      <c r="A8" s="65"/>
      <c r="B8" s="66"/>
      <c r="C8" s="66"/>
      <c r="D8" s="67"/>
      <c r="E8" s="68"/>
      <c r="F8" s="93"/>
      <c r="G8" s="66"/>
      <c r="H8" s="69"/>
      <c r="I8" s="70"/>
      <c r="J8" s="70"/>
      <c r="K8" s="69"/>
      <c r="L8" s="72"/>
      <c r="M8" s="73">
        <v>4412.35205078125</v>
      </c>
      <c r="N8" s="73">
        <v>7595.01904296875</v>
      </c>
      <c r="O8" s="74"/>
      <c r="P8" s="75"/>
      <c r="Q8" s="75"/>
      <c r="R8" s="78">
        <f t="shared" si="0"/>
        <v>8</v>
      </c>
      <c r="S8" s="47">
        <v>5</v>
      </c>
      <c r="T8" s="47">
        <v>3</v>
      </c>
      <c r="U8" s="48">
        <v>68.211583000000005</v>
      </c>
      <c r="V8" s="48">
        <v>2.0830000000000002E-3</v>
      </c>
      <c r="W8" s="48">
        <v>2.2680000000000001E-3</v>
      </c>
      <c r="X8" s="49"/>
      <c r="Y8" s="48">
        <v>0.46666666666666667</v>
      </c>
      <c r="Z8" s="48"/>
      <c r="AA8" s="71">
        <v>8</v>
      </c>
      <c r="AB8" s="71"/>
      <c r="AC8" s="116">
        <v>1</v>
      </c>
      <c r="AD8" s="76"/>
      <c r="AE8" s="76">
        <v>1690</v>
      </c>
      <c r="AF8" s="76">
        <v>4196</v>
      </c>
      <c r="AG8" s="76">
        <v>2567</v>
      </c>
      <c r="AH8" s="76">
        <v>1647</v>
      </c>
      <c r="AI8" s="76">
        <v>3600</v>
      </c>
      <c r="AJ8" s="76"/>
      <c r="AK8" s="76"/>
      <c r="AL8" s="92"/>
      <c r="AM8" s="76"/>
      <c r="AN8" s="76">
        <v>40653.51734953704</v>
      </c>
      <c r="AO8" s="76" t="s">
        <v>60</v>
      </c>
      <c r="AP8" s="76"/>
      <c r="AQ8" s="92"/>
      <c r="AR8" s="76"/>
      <c r="AS8" s="2"/>
      <c r="AT8" s="3"/>
      <c r="AU8" s="3"/>
      <c r="AV8" s="3"/>
      <c r="AW8" s="3"/>
    </row>
    <row r="9" spans="1:49" x14ac:dyDescent="0.25">
      <c r="A9" s="65"/>
      <c r="B9" s="66"/>
      <c r="C9" s="66"/>
      <c r="D9" s="67"/>
      <c r="E9" s="68"/>
      <c r="F9" s="93"/>
      <c r="G9" s="66"/>
      <c r="H9" s="69"/>
      <c r="I9" s="70"/>
      <c r="J9" s="70"/>
      <c r="K9" s="69"/>
      <c r="L9" s="72"/>
      <c r="M9" s="73">
        <v>6125.64501953125</v>
      </c>
      <c r="N9" s="73">
        <v>2957.814208984375</v>
      </c>
      <c r="O9" s="74"/>
      <c r="P9" s="75"/>
      <c r="Q9" s="75"/>
      <c r="R9" s="78">
        <f t="shared" si="0"/>
        <v>14</v>
      </c>
      <c r="S9" s="47">
        <v>7</v>
      </c>
      <c r="T9" s="47">
        <v>7</v>
      </c>
      <c r="U9" s="48">
        <v>29.528299000000001</v>
      </c>
      <c r="V9" s="48">
        <v>2.137E-3</v>
      </c>
      <c r="W9" s="48">
        <v>4.0020000000000003E-3</v>
      </c>
      <c r="X9" s="49"/>
      <c r="Y9" s="48">
        <v>0.43333333333333335</v>
      </c>
      <c r="Z9" s="48"/>
      <c r="AA9" s="71">
        <v>9</v>
      </c>
      <c r="AB9" s="71"/>
      <c r="AC9" s="116">
        <v>1</v>
      </c>
      <c r="AD9" s="76"/>
      <c r="AE9" s="76">
        <v>289</v>
      </c>
      <c r="AF9" s="76">
        <v>1076</v>
      </c>
      <c r="AG9" s="76">
        <v>985</v>
      </c>
      <c r="AH9" s="76">
        <v>123</v>
      </c>
      <c r="AI9" s="76">
        <v>3600</v>
      </c>
      <c r="AJ9" s="76"/>
      <c r="AK9" s="76"/>
      <c r="AL9" s="92"/>
      <c r="AM9" s="76"/>
      <c r="AN9" s="76">
        <v>40079.689386574071</v>
      </c>
      <c r="AO9" s="76" t="s">
        <v>60</v>
      </c>
      <c r="AP9" s="76"/>
      <c r="AQ9" s="92"/>
      <c r="AR9" s="76"/>
      <c r="AS9" s="2"/>
      <c r="AT9" s="3"/>
      <c r="AU9" s="3"/>
      <c r="AV9" s="3"/>
      <c r="AW9" s="3"/>
    </row>
    <row r="10" spans="1:49" x14ac:dyDescent="0.25">
      <c r="A10" s="117"/>
      <c r="B10" s="66"/>
      <c r="C10" s="66"/>
      <c r="D10" s="67"/>
      <c r="E10" s="68"/>
      <c r="F10" s="93"/>
      <c r="G10" s="66"/>
      <c r="H10" s="69"/>
      <c r="I10" s="70"/>
      <c r="J10" s="70"/>
      <c r="K10" s="69"/>
      <c r="L10" s="72"/>
      <c r="M10" s="73">
        <v>4660.6201171875</v>
      </c>
      <c r="N10" s="73">
        <v>3620.431640625</v>
      </c>
      <c r="O10" s="74"/>
      <c r="P10" s="75"/>
      <c r="Q10" s="75"/>
      <c r="R10" s="78">
        <f t="shared" si="0"/>
        <v>39</v>
      </c>
      <c r="S10" s="47">
        <v>20</v>
      </c>
      <c r="T10" s="47">
        <v>19</v>
      </c>
      <c r="U10" s="48">
        <v>336.70859000000002</v>
      </c>
      <c r="V10" s="48">
        <v>2.3470000000000001E-3</v>
      </c>
      <c r="W10" s="48">
        <v>8.6409999999999994E-3</v>
      </c>
      <c r="X10" s="49"/>
      <c r="Y10" s="48">
        <v>0.26</v>
      </c>
      <c r="Z10" s="48"/>
      <c r="AA10" s="71">
        <v>10</v>
      </c>
      <c r="AB10" s="71"/>
      <c r="AC10" s="116">
        <v>1</v>
      </c>
      <c r="AD10" s="76"/>
      <c r="AE10" s="76">
        <v>461</v>
      </c>
      <c r="AF10" s="76">
        <v>2578</v>
      </c>
      <c r="AG10" s="76">
        <v>5858</v>
      </c>
      <c r="AH10" s="76">
        <v>162</v>
      </c>
      <c r="AI10" s="76">
        <v>3600</v>
      </c>
      <c r="AJ10" s="76"/>
      <c r="AK10" s="76"/>
      <c r="AL10" s="92"/>
      <c r="AM10" s="76"/>
      <c r="AN10" s="76">
        <v>40442.623611111114</v>
      </c>
      <c r="AO10" s="76" t="s">
        <v>60</v>
      </c>
      <c r="AP10" s="76"/>
      <c r="AQ10" s="92"/>
      <c r="AR10" s="76"/>
      <c r="AS10" s="2"/>
      <c r="AT10" s="3"/>
      <c r="AU10" s="3"/>
      <c r="AV10" s="3"/>
      <c r="AW10" s="3"/>
    </row>
    <row r="11" spans="1:49" x14ac:dyDescent="0.25">
      <c r="A11" s="65"/>
      <c r="B11" s="66"/>
      <c r="C11" s="66"/>
      <c r="D11" s="67"/>
      <c r="E11" s="68"/>
      <c r="F11" s="93"/>
      <c r="G11" s="66"/>
      <c r="H11" s="69"/>
      <c r="I11" s="70"/>
      <c r="J11" s="70"/>
      <c r="K11" s="69"/>
      <c r="L11" s="72"/>
      <c r="M11" s="73">
        <v>7052.8115234375</v>
      </c>
      <c r="N11" s="73">
        <v>8884.517578125</v>
      </c>
      <c r="O11" s="74"/>
      <c r="P11" s="75"/>
      <c r="Q11" s="75"/>
      <c r="R11" s="78">
        <f t="shared" si="0"/>
        <v>4</v>
      </c>
      <c r="S11" s="47">
        <v>3</v>
      </c>
      <c r="T11" s="47">
        <v>1</v>
      </c>
      <c r="U11" s="48">
        <v>3.119084</v>
      </c>
      <c r="V11" s="48">
        <v>1.634E-3</v>
      </c>
      <c r="W11" s="48">
        <v>5.0299999999999997E-4</v>
      </c>
      <c r="X11" s="49"/>
      <c r="Y11" s="48">
        <v>0</v>
      </c>
      <c r="Z11" s="48"/>
      <c r="AA11" s="71">
        <v>11</v>
      </c>
      <c r="AB11" s="71"/>
      <c r="AC11" s="116">
        <v>1</v>
      </c>
      <c r="AD11" s="76"/>
      <c r="AE11" s="76">
        <v>192</v>
      </c>
      <c r="AF11" s="76">
        <v>1688</v>
      </c>
      <c r="AG11" s="76">
        <v>2047</v>
      </c>
      <c r="AH11" s="76">
        <v>96</v>
      </c>
      <c r="AI11" s="76">
        <v>3600</v>
      </c>
      <c r="AJ11" s="76"/>
      <c r="AK11" s="76"/>
      <c r="AL11" s="92"/>
      <c r="AM11" s="76"/>
      <c r="AN11" s="76">
        <v>41314.418935185182</v>
      </c>
      <c r="AO11" s="76" t="s">
        <v>60</v>
      </c>
      <c r="AP11" s="76"/>
      <c r="AQ11" s="92"/>
      <c r="AR11" s="76"/>
      <c r="AS11" s="2"/>
      <c r="AT11" s="3"/>
      <c r="AU11" s="3"/>
      <c r="AV11" s="3"/>
      <c r="AW11" s="3"/>
    </row>
    <row r="12" spans="1:49" x14ac:dyDescent="0.25">
      <c r="A12" s="65"/>
      <c r="B12" s="66"/>
      <c r="C12" s="66"/>
      <c r="D12" s="67"/>
      <c r="E12" s="68"/>
      <c r="F12" s="93"/>
      <c r="G12" s="66"/>
      <c r="H12" s="69"/>
      <c r="I12" s="70"/>
      <c r="J12" s="70"/>
      <c r="K12" s="69"/>
      <c r="L12" s="72"/>
      <c r="M12" s="73">
        <v>6915.4375</v>
      </c>
      <c r="N12" s="73">
        <v>1893.7940673828125</v>
      </c>
      <c r="O12" s="74"/>
      <c r="P12" s="75"/>
      <c r="Q12" s="75"/>
      <c r="R12" s="78">
        <f t="shared" si="0"/>
        <v>8</v>
      </c>
      <c r="S12" s="47">
        <v>6</v>
      </c>
      <c r="T12" s="47">
        <v>2</v>
      </c>
      <c r="U12" s="48">
        <v>6.052073</v>
      </c>
      <c r="V12" s="48">
        <v>1.916E-3</v>
      </c>
      <c r="W12" s="48">
        <v>1.946E-3</v>
      </c>
      <c r="X12" s="49"/>
      <c r="Y12" s="48">
        <v>0.23333333333333334</v>
      </c>
      <c r="Z12" s="48"/>
      <c r="AA12" s="71">
        <v>12</v>
      </c>
      <c r="AB12" s="71"/>
      <c r="AC12" s="116">
        <v>1</v>
      </c>
      <c r="AD12" s="76"/>
      <c r="AE12" s="76">
        <v>422</v>
      </c>
      <c r="AF12" s="76">
        <v>872</v>
      </c>
      <c r="AG12" s="76">
        <v>3525</v>
      </c>
      <c r="AH12" s="76">
        <v>454</v>
      </c>
      <c r="AI12" s="76"/>
      <c r="AJ12" s="76"/>
      <c r="AK12" s="76"/>
      <c r="AL12" s="92"/>
      <c r="AM12" s="76"/>
      <c r="AN12" s="76">
        <v>41781.660763888889</v>
      </c>
      <c r="AO12" s="76" t="s">
        <v>60</v>
      </c>
      <c r="AP12" s="76"/>
      <c r="AQ12" s="92"/>
      <c r="AR12" s="76"/>
      <c r="AS12" s="2"/>
      <c r="AT12" s="3"/>
      <c r="AU12" s="3"/>
      <c r="AV12" s="3"/>
      <c r="AW12" s="3"/>
    </row>
    <row r="13" spans="1:49" x14ac:dyDescent="0.25">
      <c r="A13" s="65"/>
      <c r="B13" s="66"/>
      <c r="C13" s="66"/>
      <c r="D13" s="67"/>
      <c r="E13" s="68"/>
      <c r="F13" s="93"/>
      <c r="G13" s="66"/>
      <c r="H13" s="69"/>
      <c r="I13" s="70"/>
      <c r="J13" s="70"/>
      <c r="K13" s="69"/>
      <c r="L13" s="72"/>
      <c r="M13" s="73">
        <v>6609.61328125</v>
      </c>
      <c r="N13" s="73">
        <v>6206.52490234375</v>
      </c>
      <c r="O13" s="74"/>
      <c r="P13" s="75"/>
      <c r="Q13" s="75"/>
      <c r="R13" s="78">
        <f t="shared" si="0"/>
        <v>21</v>
      </c>
      <c r="S13" s="47">
        <v>7</v>
      </c>
      <c r="T13" s="47">
        <v>14</v>
      </c>
      <c r="U13" s="48">
        <v>474.245746</v>
      </c>
      <c r="V13" s="48">
        <v>2.2469999999999999E-3</v>
      </c>
      <c r="W13" s="48">
        <v>6.2649999999999997E-3</v>
      </c>
      <c r="X13" s="49"/>
      <c r="Y13" s="48">
        <v>0.39010989010989011</v>
      </c>
      <c r="Z13" s="48"/>
      <c r="AA13" s="71">
        <v>13</v>
      </c>
      <c r="AB13" s="71"/>
      <c r="AC13" s="116">
        <v>1</v>
      </c>
      <c r="AD13" s="76"/>
      <c r="AE13" s="76">
        <v>2211</v>
      </c>
      <c r="AF13" s="76">
        <v>2494</v>
      </c>
      <c r="AG13" s="76">
        <v>4101</v>
      </c>
      <c r="AH13" s="76">
        <v>922</v>
      </c>
      <c r="AI13" s="76">
        <v>3600</v>
      </c>
      <c r="AJ13" s="76"/>
      <c r="AK13" s="76"/>
      <c r="AL13" s="92"/>
      <c r="AM13" s="76"/>
      <c r="AN13" s="76">
        <v>40500.578206018516</v>
      </c>
      <c r="AO13" s="76" t="s">
        <v>60</v>
      </c>
      <c r="AP13" s="76"/>
      <c r="AQ13" s="92"/>
      <c r="AR13" s="76"/>
      <c r="AS13" s="2"/>
      <c r="AT13" s="3"/>
      <c r="AU13" s="3"/>
      <c r="AV13" s="3"/>
      <c r="AW13" s="3"/>
    </row>
    <row r="14" spans="1:49" x14ac:dyDescent="0.25">
      <c r="A14" s="65"/>
      <c r="B14" s="66"/>
      <c r="C14" s="66"/>
      <c r="D14" s="67"/>
      <c r="E14" s="68"/>
      <c r="F14" s="93"/>
      <c r="G14" s="66"/>
      <c r="H14" s="69"/>
      <c r="I14" s="70"/>
      <c r="J14" s="70"/>
      <c r="K14" s="69"/>
      <c r="L14" s="72"/>
      <c r="M14" s="73">
        <v>8752.5693359375</v>
      </c>
      <c r="N14" s="73">
        <v>2850.69775390625</v>
      </c>
      <c r="O14" s="74"/>
      <c r="P14" s="75"/>
      <c r="Q14" s="75"/>
      <c r="R14" s="78">
        <f t="shared" si="0"/>
        <v>2</v>
      </c>
      <c r="S14" s="47">
        <v>2</v>
      </c>
      <c r="T14" s="47">
        <v>0</v>
      </c>
      <c r="U14" s="48">
        <v>0</v>
      </c>
      <c r="V14" s="48">
        <v>1.7420000000000001E-3</v>
      </c>
      <c r="W14" s="48">
        <v>6.5300000000000004E-4</v>
      </c>
      <c r="X14" s="49"/>
      <c r="Y14" s="48">
        <v>0.5</v>
      </c>
      <c r="Z14" s="48"/>
      <c r="AA14" s="71">
        <v>14</v>
      </c>
      <c r="AB14" s="71"/>
      <c r="AC14" s="116">
        <v>1</v>
      </c>
      <c r="AD14" s="76"/>
      <c r="AE14" s="76">
        <v>87</v>
      </c>
      <c r="AF14" s="76">
        <v>353</v>
      </c>
      <c r="AG14" s="76">
        <v>129</v>
      </c>
      <c r="AH14" s="76">
        <v>36</v>
      </c>
      <c r="AI14" s="76"/>
      <c r="AJ14" s="76"/>
      <c r="AK14" s="76"/>
      <c r="AL14" s="76"/>
      <c r="AM14" s="76"/>
      <c r="AN14" s="76">
        <v>42114.621863425928</v>
      </c>
      <c r="AO14" s="76" t="s">
        <v>60</v>
      </c>
      <c r="AP14" s="76"/>
      <c r="AQ14" s="92"/>
      <c r="AR14" s="76"/>
      <c r="AS14" s="2"/>
      <c r="AT14" s="3"/>
      <c r="AU14" s="3"/>
      <c r="AV14" s="3"/>
      <c r="AW14" s="3"/>
    </row>
    <row r="15" spans="1:49" x14ac:dyDescent="0.25">
      <c r="A15" s="65"/>
      <c r="B15" s="66"/>
      <c r="C15" s="66"/>
      <c r="D15" s="67"/>
      <c r="E15" s="68"/>
      <c r="F15" s="93"/>
      <c r="G15" s="66"/>
      <c r="H15" s="69"/>
      <c r="I15" s="70"/>
      <c r="J15" s="70"/>
      <c r="K15" s="69"/>
      <c r="L15" s="72"/>
      <c r="M15" s="73">
        <v>4655.8125</v>
      </c>
      <c r="N15" s="73">
        <v>7230.6171875</v>
      </c>
      <c r="O15" s="74"/>
      <c r="P15" s="75"/>
      <c r="Q15" s="75"/>
      <c r="R15" s="78">
        <f t="shared" si="0"/>
        <v>22</v>
      </c>
      <c r="S15" s="47">
        <v>9</v>
      </c>
      <c r="T15" s="47">
        <v>13</v>
      </c>
      <c r="U15" s="48">
        <v>608.04265599999997</v>
      </c>
      <c r="V15" s="48">
        <v>2.183E-3</v>
      </c>
      <c r="W15" s="48">
        <v>4.6670000000000001E-3</v>
      </c>
      <c r="X15" s="49"/>
      <c r="Y15" s="48">
        <v>0.21249999999999999</v>
      </c>
      <c r="Z15" s="48"/>
      <c r="AA15" s="71">
        <v>15</v>
      </c>
      <c r="AB15" s="71"/>
      <c r="AC15" s="116">
        <v>1</v>
      </c>
      <c r="AD15" s="76"/>
      <c r="AE15" s="76">
        <v>141</v>
      </c>
      <c r="AF15" s="76">
        <v>849</v>
      </c>
      <c r="AG15" s="76">
        <v>2931</v>
      </c>
      <c r="AH15" s="76">
        <v>372</v>
      </c>
      <c r="AI15" s="76">
        <v>3600</v>
      </c>
      <c r="AJ15" s="76"/>
      <c r="AK15" s="76"/>
      <c r="AL15" s="92"/>
      <c r="AM15" s="76"/>
      <c r="AN15" s="76">
        <v>41002.596238425926</v>
      </c>
      <c r="AO15" s="76" t="s">
        <v>60</v>
      </c>
      <c r="AP15" s="76"/>
      <c r="AQ15" s="92"/>
      <c r="AR15" s="76"/>
      <c r="AS15" s="2"/>
      <c r="AT15" s="3"/>
      <c r="AU15" s="3"/>
      <c r="AV15" s="3"/>
      <c r="AW15" s="3"/>
    </row>
    <row r="16" spans="1:49" x14ac:dyDescent="0.25">
      <c r="A16" s="65"/>
      <c r="B16" s="66"/>
      <c r="C16" s="66"/>
      <c r="D16" s="67"/>
      <c r="E16" s="68"/>
      <c r="F16" s="93"/>
      <c r="G16" s="66"/>
      <c r="H16" s="69"/>
      <c r="I16" s="70"/>
      <c r="J16" s="70"/>
      <c r="K16" s="69"/>
      <c r="L16" s="72"/>
      <c r="M16" s="73">
        <v>7494.31689453125</v>
      </c>
      <c r="N16" s="73">
        <v>2907.674560546875</v>
      </c>
      <c r="O16" s="74"/>
      <c r="P16" s="75"/>
      <c r="Q16" s="75"/>
      <c r="R16" s="78">
        <f t="shared" si="0"/>
        <v>8</v>
      </c>
      <c r="S16" s="47">
        <v>7</v>
      </c>
      <c r="T16" s="47">
        <v>1</v>
      </c>
      <c r="U16" s="48">
        <v>13.603744000000001</v>
      </c>
      <c r="V16" s="48">
        <v>1.9689999999999998E-3</v>
      </c>
      <c r="W16" s="48">
        <v>2.3530000000000001E-3</v>
      </c>
      <c r="X16" s="49"/>
      <c r="Y16" s="48">
        <v>0.2857142857142857</v>
      </c>
      <c r="Z16" s="48"/>
      <c r="AA16" s="71">
        <v>16</v>
      </c>
      <c r="AB16" s="71"/>
      <c r="AC16" s="116">
        <v>1</v>
      </c>
      <c r="AD16" s="76"/>
      <c r="AE16" s="76">
        <v>61</v>
      </c>
      <c r="AF16" s="76">
        <v>1274</v>
      </c>
      <c r="AG16" s="76">
        <v>445</v>
      </c>
      <c r="AH16" s="76">
        <v>232</v>
      </c>
      <c r="AI16" s="76">
        <v>3600</v>
      </c>
      <c r="AJ16" s="76"/>
      <c r="AK16" s="76"/>
      <c r="AL16" s="92"/>
      <c r="AM16" s="76"/>
      <c r="AN16" s="76">
        <v>41004.456250000003</v>
      </c>
      <c r="AO16" s="76" t="s">
        <v>60</v>
      </c>
      <c r="AP16" s="76"/>
      <c r="AQ16" s="92"/>
      <c r="AR16" s="76"/>
      <c r="AS16" s="2"/>
      <c r="AT16" s="3"/>
      <c r="AU16" s="3"/>
      <c r="AV16" s="3"/>
      <c r="AW16" s="3"/>
    </row>
    <row r="17" spans="1:49" x14ac:dyDescent="0.25">
      <c r="A17" s="65"/>
      <c r="B17" s="66"/>
      <c r="C17" s="66"/>
      <c r="D17" s="67"/>
      <c r="E17" s="68"/>
      <c r="F17" s="93"/>
      <c r="G17" s="66"/>
      <c r="H17" s="69"/>
      <c r="I17" s="70"/>
      <c r="J17" s="70"/>
      <c r="K17" s="69"/>
      <c r="L17" s="72"/>
      <c r="M17" s="73">
        <v>2454.36279296875</v>
      </c>
      <c r="N17" s="73">
        <v>6456.10205078125</v>
      </c>
      <c r="O17" s="74"/>
      <c r="P17" s="75"/>
      <c r="Q17" s="75"/>
      <c r="R17" s="78">
        <f t="shared" si="0"/>
        <v>2</v>
      </c>
      <c r="S17" s="47">
        <v>0</v>
      </c>
      <c r="T17" s="47">
        <v>2</v>
      </c>
      <c r="U17" s="48">
        <v>0</v>
      </c>
      <c r="V17" s="48">
        <v>1.9610000000000001E-3</v>
      </c>
      <c r="W17" s="48">
        <v>1.291E-3</v>
      </c>
      <c r="X17" s="49"/>
      <c r="Y17" s="48">
        <v>0.5</v>
      </c>
      <c r="Z17" s="48"/>
      <c r="AA17" s="71">
        <v>17</v>
      </c>
      <c r="AB17" s="71"/>
      <c r="AC17" s="116">
        <v>1</v>
      </c>
      <c r="AD17" s="76"/>
      <c r="AE17" s="76">
        <v>496</v>
      </c>
      <c r="AF17" s="76">
        <v>863</v>
      </c>
      <c r="AG17" s="76">
        <v>951</v>
      </c>
      <c r="AH17" s="76">
        <v>280</v>
      </c>
      <c r="AI17" s="76">
        <v>3600</v>
      </c>
      <c r="AJ17" s="76"/>
      <c r="AK17" s="76"/>
      <c r="AL17" s="92"/>
      <c r="AM17" s="76"/>
      <c r="AN17" s="76">
        <v>41464.466585648152</v>
      </c>
      <c r="AO17" s="76" t="s">
        <v>60</v>
      </c>
      <c r="AP17" s="76"/>
      <c r="AQ17" s="92"/>
      <c r="AR17" s="76"/>
      <c r="AS17" s="2"/>
      <c r="AT17" s="3"/>
      <c r="AU17" s="3"/>
      <c r="AV17" s="3"/>
      <c r="AW17" s="3"/>
    </row>
    <row r="18" spans="1:49" x14ac:dyDescent="0.25">
      <c r="A18" s="65"/>
      <c r="B18" s="66"/>
      <c r="C18" s="96"/>
      <c r="D18" s="99"/>
      <c r="E18" s="95"/>
      <c r="F18" s="93"/>
      <c r="G18" s="96"/>
      <c r="H18" s="100"/>
      <c r="I18" s="101"/>
      <c r="J18" s="101"/>
      <c r="K18" s="100"/>
      <c r="L18" s="102"/>
      <c r="M18" s="103"/>
      <c r="N18" s="103"/>
      <c r="O18" s="104"/>
      <c r="P18" s="105"/>
      <c r="Q18" s="105"/>
      <c r="R18" s="106">
        <f t="shared" si="0"/>
        <v>0</v>
      </c>
      <c r="S18" s="47"/>
      <c r="T18" s="47"/>
      <c r="U18" s="48"/>
      <c r="V18" s="48"/>
      <c r="W18" s="48"/>
      <c r="X18" s="107"/>
      <c r="Y18" s="48"/>
      <c r="Z18" s="108"/>
      <c r="AA18" s="109">
        <v>18</v>
      </c>
      <c r="AB18" s="109"/>
      <c r="AC18" s="116">
        <v>1</v>
      </c>
      <c r="AD18" s="76"/>
      <c r="AE18" s="76">
        <v>511</v>
      </c>
      <c r="AF18" s="76">
        <v>23818</v>
      </c>
      <c r="AG18" s="76">
        <v>4145</v>
      </c>
      <c r="AH18" s="76">
        <v>2846</v>
      </c>
      <c r="AI18" s="76">
        <v>3600</v>
      </c>
      <c r="AJ18" s="76"/>
      <c r="AK18" s="76"/>
      <c r="AL18" s="92"/>
      <c r="AM18" s="76"/>
      <c r="AN18" s="76">
        <v>39990.414710648147</v>
      </c>
      <c r="AO18" s="76" t="s">
        <v>60</v>
      </c>
      <c r="AP18" s="76"/>
      <c r="AQ18" s="92"/>
      <c r="AR18" s="76"/>
      <c r="AS18" s="2"/>
      <c r="AT18" s="3"/>
      <c r="AU18" s="3"/>
      <c r="AV18" s="3"/>
      <c r="AW18" s="3"/>
    </row>
    <row r="19" spans="1:49" x14ac:dyDescent="0.25">
      <c r="A19" s="65"/>
      <c r="B19" s="66"/>
      <c r="C19" s="66"/>
      <c r="D19" s="67"/>
      <c r="E19" s="68"/>
      <c r="F19" s="93"/>
      <c r="G19" s="66"/>
      <c r="H19" s="69"/>
      <c r="I19" s="70"/>
      <c r="J19" s="70"/>
      <c r="K19" s="69"/>
      <c r="L19" s="72"/>
      <c r="M19" s="73">
        <v>5645.11083984375</v>
      </c>
      <c r="N19" s="73">
        <v>7795.53271484375</v>
      </c>
      <c r="O19" s="74"/>
      <c r="P19" s="75"/>
      <c r="Q19" s="75"/>
      <c r="R19" s="78">
        <f t="shared" si="0"/>
        <v>17</v>
      </c>
      <c r="S19" s="47">
        <v>10</v>
      </c>
      <c r="T19" s="47">
        <v>7</v>
      </c>
      <c r="U19" s="48">
        <v>137.82673800000001</v>
      </c>
      <c r="V19" s="48">
        <v>1.9840000000000001E-3</v>
      </c>
      <c r="W19" s="48">
        <v>3.5760000000000002E-3</v>
      </c>
      <c r="X19" s="49"/>
      <c r="Y19" s="48">
        <v>0.21978021978021978</v>
      </c>
      <c r="Z19" s="48"/>
      <c r="AA19" s="71">
        <v>19</v>
      </c>
      <c r="AB19" s="71"/>
      <c r="AC19" s="116">
        <v>1</v>
      </c>
      <c r="AD19" s="76"/>
      <c r="AE19" s="76">
        <v>4022</v>
      </c>
      <c r="AF19" s="76">
        <v>33879</v>
      </c>
      <c r="AG19" s="76">
        <v>6952</v>
      </c>
      <c r="AH19" s="76">
        <v>2500</v>
      </c>
      <c r="AI19" s="76">
        <v>3600</v>
      </c>
      <c r="AJ19" s="76"/>
      <c r="AK19" s="76"/>
      <c r="AL19" s="92"/>
      <c r="AM19" s="76"/>
      <c r="AN19" s="76">
        <v>40046.403680555559</v>
      </c>
      <c r="AO19" s="76" t="s">
        <v>60</v>
      </c>
      <c r="AP19" s="76"/>
      <c r="AQ19" s="92"/>
      <c r="AR19" s="76"/>
      <c r="AS19" s="2"/>
      <c r="AT19" s="3"/>
      <c r="AU19" s="3"/>
      <c r="AV19" s="3"/>
      <c r="AW19" s="3"/>
    </row>
    <row r="20" spans="1:49" x14ac:dyDescent="0.25">
      <c r="A20" s="65"/>
      <c r="B20" s="66"/>
      <c r="C20" s="66"/>
      <c r="D20" s="67"/>
      <c r="E20" s="68"/>
      <c r="F20" s="93"/>
      <c r="G20" s="66"/>
      <c r="H20" s="69"/>
      <c r="I20" s="70"/>
      <c r="J20" s="70"/>
      <c r="K20" s="69"/>
      <c r="L20" s="72"/>
      <c r="M20" s="73">
        <v>7851.90771484375</v>
      </c>
      <c r="N20" s="73">
        <v>8979.97265625</v>
      </c>
      <c r="O20" s="74"/>
      <c r="P20" s="75"/>
      <c r="Q20" s="75"/>
      <c r="R20" s="78">
        <f t="shared" si="0"/>
        <v>1</v>
      </c>
      <c r="S20" s="47">
        <v>1</v>
      </c>
      <c r="T20" s="47">
        <v>0</v>
      </c>
      <c r="U20" s="48">
        <v>0</v>
      </c>
      <c r="V20" s="48">
        <v>1.531E-3</v>
      </c>
      <c r="W20" s="48">
        <v>1.8100000000000001E-4</v>
      </c>
      <c r="X20" s="49"/>
      <c r="Y20" s="48">
        <v>0</v>
      </c>
      <c r="Z20" s="48"/>
      <c r="AA20" s="71">
        <v>20</v>
      </c>
      <c r="AB20" s="71"/>
      <c r="AC20" s="116">
        <v>1</v>
      </c>
      <c r="AD20" s="76"/>
      <c r="AE20" s="76">
        <v>1071</v>
      </c>
      <c r="AF20" s="76">
        <v>34386</v>
      </c>
      <c r="AG20" s="76">
        <v>7912</v>
      </c>
      <c r="AH20" s="76">
        <v>1197</v>
      </c>
      <c r="AI20" s="76">
        <v>3600</v>
      </c>
      <c r="AJ20" s="76"/>
      <c r="AK20" s="76"/>
      <c r="AL20" s="92"/>
      <c r="AM20" s="76"/>
      <c r="AN20" s="76">
        <v>39959.636516203704</v>
      </c>
      <c r="AO20" s="76" t="s">
        <v>60</v>
      </c>
      <c r="AP20" s="76"/>
      <c r="AQ20" s="92"/>
      <c r="AR20" s="76"/>
      <c r="AS20" s="2"/>
      <c r="AT20" s="3"/>
      <c r="AU20" s="3"/>
      <c r="AV20" s="3"/>
      <c r="AW20" s="3"/>
    </row>
    <row r="21" spans="1:49" x14ac:dyDescent="0.25">
      <c r="A21" s="65"/>
      <c r="B21" s="66"/>
      <c r="C21" s="66"/>
      <c r="D21" s="67"/>
      <c r="E21" s="68"/>
      <c r="F21" s="93"/>
      <c r="G21" s="66"/>
      <c r="H21" s="69"/>
      <c r="I21" s="70"/>
      <c r="J21" s="70"/>
      <c r="K21" s="69"/>
      <c r="L21" s="72"/>
      <c r="M21" s="73">
        <v>7591.55615234375</v>
      </c>
      <c r="N21" s="73">
        <v>5083.70556640625</v>
      </c>
      <c r="O21" s="74"/>
      <c r="P21" s="75"/>
      <c r="Q21" s="75"/>
      <c r="R21" s="78">
        <f t="shared" si="0"/>
        <v>20</v>
      </c>
      <c r="S21" s="47">
        <v>8</v>
      </c>
      <c r="T21" s="47">
        <v>12</v>
      </c>
      <c r="U21" s="48">
        <v>54.579073999999999</v>
      </c>
      <c r="V21" s="48">
        <v>2.1189999999999998E-3</v>
      </c>
      <c r="W21" s="48">
        <v>6.1110000000000001E-3</v>
      </c>
      <c r="X21" s="49"/>
      <c r="Y21" s="48">
        <v>0.40833333333333333</v>
      </c>
      <c r="Z21" s="48"/>
      <c r="AA21" s="71">
        <v>21</v>
      </c>
      <c r="AB21" s="71"/>
      <c r="AC21" s="116">
        <v>1</v>
      </c>
      <c r="AD21" s="76"/>
      <c r="AE21" s="76">
        <v>1900</v>
      </c>
      <c r="AF21" s="76">
        <v>1850</v>
      </c>
      <c r="AG21" s="76">
        <v>2604</v>
      </c>
      <c r="AH21" s="76">
        <v>1611</v>
      </c>
      <c r="AI21" s="76">
        <v>3600</v>
      </c>
      <c r="AJ21" s="76"/>
      <c r="AK21" s="76"/>
      <c r="AL21" s="92"/>
      <c r="AM21" s="76"/>
      <c r="AN21" s="76">
        <v>41254.407638888886</v>
      </c>
      <c r="AO21" s="76" t="s">
        <v>60</v>
      </c>
      <c r="AP21" s="76"/>
      <c r="AQ21" s="92"/>
      <c r="AR21" s="76"/>
      <c r="AS21" s="2"/>
      <c r="AT21" s="3"/>
      <c r="AU21" s="3"/>
      <c r="AV21" s="3"/>
      <c r="AW21" s="3"/>
    </row>
    <row r="22" spans="1:49" x14ac:dyDescent="0.25">
      <c r="A22" s="65"/>
      <c r="B22" s="66"/>
      <c r="C22" s="66"/>
      <c r="D22" s="67"/>
      <c r="E22" s="68"/>
      <c r="F22" s="93"/>
      <c r="G22" s="66"/>
      <c r="H22" s="69"/>
      <c r="I22" s="70"/>
      <c r="J22" s="70"/>
      <c r="K22" s="69"/>
      <c r="L22" s="72"/>
      <c r="M22" s="73">
        <v>9753.8876953125</v>
      </c>
      <c r="N22" s="73">
        <v>6202.59228515625</v>
      </c>
      <c r="O22" s="74"/>
      <c r="P22" s="75"/>
      <c r="Q22" s="75"/>
      <c r="R22" s="78">
        <f t="shared" si="0"/>
        <v>2</v>
      </c>
      <c r="S22" s="47">
        <v>1</v>
      </c>
      <c r="T22" s="47">
        <v>1</v>
      </c>
      <c r="U22" s="48">
        <v>0</v>
      </c>
      <c r="V22" s="48">
        <v>1.529E-3</v>
      </c>
      <c r="W22" s="48">
        <v>2.0100000000000001E-4</v>
      </c>
      <c r="X22" s="49"/>
      <c r="Y22" s="48">
        <v>0</v>
      </c>
      <c r="Z22" s="48"/>
      <c r="AA22" s="71">
        <v>22</v>
      </c>
      <c r="AB22" s="71"/>
      <c r="AC22" s="116">
        <v>1</v>
      </c>
      <c r="AD22" s="76"/>
      <c r="AE22" s="76">
        <v>276</v>
      </c>
      <c r="AF22" s="76">
        <v>921</v>
      </c>
      <c r="AG22" s="76">
        <v>1277</v>
      </c>
      <c r="AH22" s="76">
        <v>482</v>
      </c>
      <c r="AI22" s="76">
        <v>3600</v>
      </c>
      <c r="AJ22" s="76"/>
      <c r="AK22" s="76"/>
      <c r="AL22" s="92"/>
      <c r="AM22" s="76"/>
      <c r="AN22" s="76">
        <v>40821.350069444445</v>
      </c>
      <c r="AO22" s="76" t="s">
        <v>60</v>
      </c>
      <c r="AP22" s="76"/>
      <c r="AQ22" s="92"/>
      <c r="AR22" s="76"/>
      <c r="AS22" s="2"/>
      <c r="AT22" s="3"/>
      <c r="AU22" s="3"/>
      <c r="AV22" s="3"/>
      <c r="AW22" s="3"/>
    </row>
    <row r="23" spans="1:49" x14ac:dyDescent="0.25">
      <c r="A23" s="65"/>
      <c r="B23" s="66"/>
      <c r="C23" s="66"/>
      <c r="D23" s="67"/>
      <c r="E23" s="68"/>
      <c r="F23" s="93"/>
      <c r="G23" s="66"/>
      <c r="H23" s="69"/>
      <c r="I23" s="70"/>
      <c r="J23" s="70"/>
      <c r="K23" s="69"/>
      <c r="L23" s="72"/>
      <c r="M23" s="73">
        <v>4972.14501953125</v>
      </c>
      <c r="N23" s="73">
        <v>6390.4091796875</v>
      </c>
      <c r="O23" s="74"/>
      <c r="P23" s="75"/>
      <c r="Q23" s="75"/>
      <c r="R23" s="78">
        <f t="shared" si="0"/>
        <v>45</v>
      </c>
      <c r="S23" s="47">
        <v>20</v>
      </c>
      <c r="T23" s="47">
        <v>25</v>
      </c>
      <c r="U23" s="48">
        <v>771.00415099999998</v>
      </c>
      <c r="V23" s="48">
        <v>2.415E-3</v>
      </c>
      <c r="W23" s="48">
        <v>9.2200000000000008E-3</v>
      </c>
      <c r="X23" s="49"/>
      <c r="Y23" s="48">
        <v>0.19354838709677419</v>
      </c>
      <c r="Z23" s="48"/>
      <c r="AA23" s="71">
        <v>23</v>
      </c>
      <c r="AB23" s="71"/>
      <c r="AC23" s="116">
        <v>1</v>
      </c>
      <c r="AD23" s="76"/>
      <c r="AE23" s="76">
        <v>1823</v>
      </c>
      <c r="AF23" s="76">
        <v>8213</v>
      </c>
      <c r="AG23" s="76">
        <v>14615</v>
      </c>
      <c r="AH23" s="76">
        <v>3477</v>
      </c>
      <c r="AI23" s="76">
        <v>3600</v>
      </c>
      <c r="AJ23" s="76"/>
      <c r="AK23" s="76"/>
      <c r="AL23" s="92"/>
      <c r="AM23" s="76"/>
      <c r="AN23" s="76">
        <v>40708.453773148147</v>
      </c>
      <c r="AO23" s="76" t="s">
        <v>60</v>
      </c>
      <c r="AP23" s="76"/>
      <c r="AQ23" s="92"/>
      <c r="AR23" s="76"/>
      <c r="AS23" s="2"/>
      <c r="AT23" s="3"/>
      <c r="AU23" s="3"/>
      <c r="AV23" s="3"/>
      <c r="AW23" s="3"/>
    </row>
    <row r="24" spans="1:49" x14ac:dyDescent="0.25">
      <c r="A24" s="65"/>
      <c r="B24" s="66"/>
      <c r="C24" s="66"/>
      <c r="D24" s="67"/>
      <c r="E24" s="68"/>
      <c r="F24" s="93"/>
      <c r="G24" s="66"/>
      <c r="H24" s="69"/>
      <c r="I24" s="70"/>
      <c r="J24" s="70"/>
      <c r="K24" s="69"/>
      <c r="L24" s="72"/>
      <c r="M24" s="73">
        <v>4677.52880859375</v>
      </c>
      <c r="N24" s="73">
        <v>4636.666015625</v>
      </c>
      <c r="O24" s="74"/>
      <c r="P24" s="75"/>
      <c r="Q24" s="75"/>
      <c r="R24" s="78">
        <f t="shared" si="0"/>
        <v>30</v>
      </c>
      <c r="S24" s="47">
        <v>8</v>
      </c>
      <c r="T24" s="47">
        <v>22</v>
      </c>
      <c r="U24" s="48">
        <v>238.597949</v>
      </c>
      <c r="V24" s="48">
        <v>2.2829999999999999E-3</v>
      </c>
      <c r="W24" s="48">
        <v>8.0510000000000009E-3</v>
      </c>
      <c r="X24" s="49"/>
      <c r="Y24" s="48">
        <v>0.26666666666666666</v>
      </c>
      <c r="Z24" s="48"/>
      <c r="AA24" s="71">
        <v>24</v>
      </c>
      <c r="AB24" s="71"/>
      <c r="AC24" s="116">
        <v>1</v>
      </c>
      <c r="AD24" s="76"/>
      <c r="AE24" s="76">
        <v>850</v>
      </c>
      <c r="AF24" s="76">
        <v>1209</v>
      </c>
      <c r="AG24" s="76">
        <v>2480</v>
      </c>
      <c r="AH24" s="76">
        <v>850</v>
      </c>
      <c r="AI24" s="76">
        <v>-36000</v>
      </c>
      <c r="AJ24" s="76"/>
      <c r="AK24" s="76"/>
      <c r="AL24" s="92"/>
      <c r="AM24" s="76"/>
      <c r="AN24" s="76">
        <v>40850.956412037034</v>
      </c>
      <c r="AO24" s="76" t="s">
        <v>60</v>
      </c>
      <c r="AP24" s="76"/>
      <c r="AQ24" s="92"/>
      <c r="AR24" s="76"/>
      <c r="AS24" s="2"/>
      <c r="AT24" s="3"/>
      <c r="AU24" s="3"/>
      <c r="AV24" s="3"/>
      <c r="AW24" s="3"/>
    </row>
    <row r="25" spans="1:49" x14ac:dyDescent="0.25">
      <c r="A25" s="65"/>
      <c r="B25" s="66"/>
      <c r="C25" s="66"/>
      <c r="D25" s="67"/>
      <c r="E25" s="68"/>
      <c r="F25" s="93"/>
      <c r="G25" s="66"/>
      <c r="H25" s="69"/>
      <c r="I25" s="70"/>
      <c r="J25" s="70"/>
      <c r="K25" s="69"/>
      <c r="L25" s="72"/>
      <c r="M25" s="73">
        <v>5378.33154296875</v>
      </c>
      <c r="N25" s="73">
        <v>6228.205078125</v>
      </c>
      <c r="O25" s="74"/>
      <c r="P25" s="75"/>
      <c r="Q25" s="75"/>
      <c r="R25" s="78">
        <f t="shared" si="0"/>
        <v>39</v>
      </c>
      <c r="S25" s="47">
        <v>22</v>
      </c>
      <c r="T25" s="47">
        <v>17</v>
      </c>
      <c r="U25" s="48">
        <v>382.34214100000003</v>
      </c>
      <c r="V25" s="48">
        <v>2.3640000000000002E-3</v>
      </c>
      <c r="W25" s="48">
        <v>9.5329999999999998E-3</v>
      </c>
      <c r="X25" s="49"/>
      <c r="Y25" s="48">
        <v>0.26354679802955666</v>
      </c>
      <c r="Z25" s="48"/>
      <c r="AA25" s="71">
        <v>25</v>
      </c>
      <c r="AB25" s="71"/>
      <c r="AC25" s="116">
        <v>1</v>
      </c>
      <c r="AD25" s="76"/>
      <c r="AE25" s="76">
        <v>1958</v>
      </c>
      <c r="AF25" s="76">
        <v>8060</v>
      </c>
      <c r="AG25" s="76">
        <v>5532</v>
      </c>
      <c r="AH25" s="76">
        <v>1325</v>
      </c>
      <c r="AI25" s="76">
        <v>7200</v>
      </c>
      <c r="AJ25" s="76"/>
      <c r="AK25" s="76"/>
      <c r="AL25" s="92"/>
      <c r="AM25" s="76"/>
      <c r="AN25" s="76">
        <v>40709.548703703702</v>
      </c>
      <c r="AO25" s="76" t="s">
        <v>60</v>
      </c>
      <c r="AP25" s="76"/>
      <c r="AQ25" s="92"/>
      <c r="AR25" s="76"/>
      <c r="AS25" s="2"/>
      <c r="AT25" s="3"/>
      <c r="AU25" s="3"/>
      <c r="AV25" s="3"/>
      <c r="AW25" s="3"/>
    </row>
    <row r="26" spans="1:49" x14ac:dyDescent="0.25">
      <c r="A26" s="65"/>
      <c r="B26" s="66"/>
      <c r="C26" s="66"/>
      <c r="D26" s="67"/>
      <c r="E26" s="68"/>
      <c r="F26" s="93"/>
      <c r="G26" s="66"/>
      <c r="H26" s="69"/>
      <c r="I26" s="70"/>
      <c r="J26" s="70"/>
      <c r="K26" s="69"/>
      <c r="L26" s="72"/>
      <c r="M26" s="73">
        <v>1784.4609375</v>
      </c>
      <c r="N26" s="73">
        <v>6299.4892578125</v>
      </c>
      <c r="O26" s="74"/>
      <c r="P26" s="75"/>
      <c r="Q26" s="75"/>
      <c r="R26" s="78">
        <f t="shared" si="0"/>
        <v>3</v>
      </c>
      <c r="S26" s="47">
        <v>1</v>
      </c>
      <c r="T26" s="47">
        <v>2</v>
      </c>
      <c r="U26" s="48">
        <v>0</v>
      </c>
      <c r="V26" s="48">
        <v>1.7539999999999999E-3</v>
      </c>
      <c r="W26" s="48">
        <v>9.1E-4</v>
      </c>
      <c r="X26" s="49"/>
      <c r="Y26" s="48">
        <v>0.5</v>
      </c>
      <c r="Z26" s="48"/>
      <c r="AA26" s="71">
        <v>26</v>
      </c>
      <c r="AB26" s="71"/>
      <c r="AC26" s="116">
        <v>1</v>
      </c>
      <c r="AD26" s="76"/>
      <c r="AE26" s="76">
        <v>1107</v>
      </c>
      <c r="AF26" s="76">
        <v>2170</v>
      </c>
      <c r="AG26" s="76">
        <v>1386</v>
      </c>
      <c r="AH26" s="76">
        <v>137</v>
      </c>
      <c r="AI26" s="76">
        <v>3600</v>
      </c>
      <c r="AJ26" s="76"/>
      <c r="AK26" s="76"/>
      <c r="AL26" s="92"/>
      <c r="AM26" s="76"/>
      <c r="AN26" s="76">
        <v>40722.346909722219</v>
      </c>
      <c r="AO26" s="76" t="s">
        <v>60</v>
      </c>
      <c r="AP26" s="76"/>
      <c r="AQ26" s="92"/>
      <c r="AR26" s="76"/>
      <c r="AS26" s="2"/>
      <c r="AT26" s="3"/>
      <c r="AU26" s="3"/>
      <c r="AV26" s="3"/>
      <c r="AW26" s="3"/>
    </row>
    <row r="27" spans="1:49" x14ac:dyDescent="0.25">
      <c r="A27" s="65"/>
      <c r="B27" s="66"/>
      <c r="C27" s="66"/>
      <c r="D27" s="67"/>
      <c r="E27" s="68"/>
      <c r="F27" s="93"/>
      <c r="G27" s="66"/>
      <c r="H27" s="69"/>
      <c r="I27" s="70"/>
      <c r="J27" s="70"/>
      <c r="K27" s="69"/>
      <c r="L27" s="72"/>
      <c r="M27" s="73">
        <v>6223.02978515625</v>
      </c>
      <c r="N27" s="73">
        <v>2419.748291015625</v>
      </c>
      <c r="O27" s="74"/>
      <c r="P27" s="75"/>
      <c r="Q27" s="75"/>
      <c r="R27" s="78">
        <f t="shared" si="0"/>
        <v>5</v>
      </c>
      <c r="S27" s="47">
        <v>5</v>
      </c>
      <c r="T27" s="47">
        <v>0</v>
      </c>
      <c r="U27" s="48">
        <v>1.7788710000000001</v>
      </c>
      <c r="V27" s="48">
        <v>2.0409999999999998E-3</v>
      </c>
      <c r="W27" s="48">
        <v>2.63E-3</v>
      </c>
      <c r="X27" s="49"/>
      <c r="Y27" s="48">
        <v>0.55000000000000004</v>
      </c>
      <c r="Z27" s="48"/>
      <c r="AA27" s="71">
        <v>27</v>
      </c>
      <c r="AB27" s="71"/>
      <c r="AC27" s="116">
        <v>1</v>
      </c>
      <c r="AD27" s="76"/>
      <c r="AE27" s="76">
        <v>1145</v>
      </c>
      <c r="AF27" s="76">
        <v>1388</v>
      </c>
      <c r="AG27" s="76">
        <v>1196</v>
      </c>
      <c r="AH27" s="76">
        <v>198</v>
      </c>
      <c r="AI27" s="76">
        <v>7200</v>
      </c>
      <c r="AJ27" s="76"/>
      <c r="AK27" s="76"/>
      <c r="AL27" s="92"/>
      <c r="AM27" s="76"/>
      <c r="AN27" s="76">
        <v>40239.633379629631</v>
      </c>
      <c r="AO27" s="76" t="s">
        <v>60</v>
      </c>
      <c r="AP27" s="76"/>
      <c r="AQ27" s="92"/>
      <c r="AR27" s="76"/>
      <c r="AS27" s="2"/>
      <c r="AT27" s="3"/>
      <c r="AU27" s="3"/>
      <c r="AV27" s="3"/>
      <c r="AW27" s="3"/>
    </row>
    <row r="28" spans="1:49" x14ac:dyDescent="0.25">
      <c r="A28" s="65"/>
      <c r="B28" s="66"/>
      <c r="C28" s="66"/>
      <c r="D28" s="67"/>
      <c r="E28" s="68"/>
      <c r="F28" s="93"/>
      <c r="G28" s="66"/>
      <c r="H28" s="69"/>
      <c r="I28" s="70"/>
      <c r="J28" s="70"/>
      <c r="K28" s="69"/>
      <c r="L28" s="72"/>
      <c r="M28" s="73">
        <v>4562.193359375</v>
      </c>
      <c r="N28" s="73">
        <v>4235.205078125</v>
      </c>
      <c r="O28" s="74"/>
      <c r="P28" s="75"/>
      <c r="Q28" s="75"/>
      <c r="R28" s="78">
        <f t="shared" si="0"/>
        <v>23</v>
      </c>
      <c r="S28" s="47">
        <v>7</v>
      </c>
      <c r="T28" s="47">
        <v>16</v>
      </c>
      <c r="U28" s="48">
        <v>400.20188400000001</v>
      </c>
      <c r="V28" s="48">
        <v>2.32E-3</v>
      </c>
      <c r="W28" s="48">
        <v>7.4920000000000004E-3</v>
      </c>
      <c r="X28" s="49"/>
      <c r="Y28" s="48">
        <v>0.29736842105263156</v>
      </c>
      <c r="Z28" s="48"/>
      <c r="AA28" s="71">
        <v>28</v>
      </c>
      <c r="AB28" s="71"/>
      <c r="AC28" s="116">
        <v>1</v>
      </c>
      <c r="AD28" s="76"/>
      <c r="AE28" s="76">
        <v>2105</v>
      </c>
      <c r="AF28" s="76">
        <v>1349</v>
      </c>
      <c r="AG28" s="76">
        <v>5639</v>
      </c>
      <c r="AH28" s="76">
        <v>2226</v>
      </c>
      <c r="AI28" s="76"/>
      <c r="AJ28" s="76"/>
      <c r="AK28" s="76"/>
      <c r="AL28" s="92"/>
      <c r="AM28" s="76"/>
      <c r="AN28" s="76">
        <v>40218.395833333336</v>
      </c>
      <c r="AO28" s="76" t="s">
        <v>60</v>
      </c>
      <c r="AP28" s="76"/>
      <c r="AQ28" s="92"/>
      <c r="AR28" s="76"/>
      <c r="AS28" s="2"/>
      <c r="AT28" s="3"/>
      <c r="AU28" s="3"/>
      <c r="AV28" s="3"/>
      <c r="AW28" s="3"/>
    </row>
    <row r="29" spans="1:49" x14ac:dyDescent="0.25">
      <c r="A29" s="65"/>
      <c r="B29" s="66"/>
      <c r="C29" s="66"/>
      <c r="D29" s="67"/>
      <c r="E29" s="68"/>
      <c r="F29" s="93"/>
      <c r="G29" s="66"/>
      <c r="H29" s="69"/>
      <c r="I29" s="70"/>
      <c r="J29" s="70"/>
      <c r="K29" s="69"/>
      <c r="L29" s="72"/>
      <c r="M29" s="73">
        <v>8259.2919921875</v>
      </c>
      <c r="N29" s="73">
        <v>6464.4580078125</v>
      </c>
      <c r="O29" s="74"/>
      <c r="P29" s="75"/>
      <c r="Q29" s="75"/>
      <c r="R29" s="78">
        <f t="shared" si="0"/>
        <v>5</v>
      </c>
      <c r="S29" s="47">
        <v>5</v>
      </c>
      <c r="T29" s="47">
        <v>0</v>
      </c>
      <c r="U29" s="48">
        <v>0.50940200000000002</v>
      </c>
      <c r="V29" s="48">
        <v>1.8320000000000001E-3</v>
      </c>
      <c r="W29" s="48">
        <v>1.8320000000000001E-3</v>
      </c>
      <c r="X29" s="49"/>
      <c r="Y29" s="48">
        <v>0.6</v>
      </c>
      <c r="Z29" s="48"/>
      <c r="AA29" s="71">
        <v>29</v>
      </c>
      <c r="AB29" s="71"/>
      <c r="AC29" s="116">
        <v>1</v>
      </c>
      <c r="AD29" s="76"/>
      <c r="AE29" s="76">
        <v>613</v>
      </c>
      <c r="AF29" s="76">
        <v>621</v>
      </c>
      <c r="AG29" s="76">
        <v>1020</v>
      </c>
      <c r="AH29" s="76">
        <v>80</v>
      </c>
      <c r="AI29" s="76">
        <v>3600</v>
      </c>
      <c r="AJ29" s="76"/>
      <c r="AK29" s="76"/>
      <c r="AL29" s="92"/>
      <c r="AM29" s="76"/>
      <c r="AN29" s="76">
        <v>40801.993564814817</v>
      </c>
      <c r="AO29" s="76" t="s">
        <v>60</v>
      </c>
      <c r="AP29" s="76"/>
      <c r="AQ29" s="92"/>
      <c r="AR29" s="76"/>
      <c r="AS29" s="2"/>
      <c r="AT29" s="3"/>
      <c r="AU29" s="3"/>
      <c r="AV29" s="3"/>
      <c r="AW29" s="3"/>
    </row>
    <row r="30" spans="1:49" x14ac:dyDescent="0.25">
      <c r="A30" s="65"/>
      <c r="B30" s="66"/>
      <c r="C30" s="66"/>
      <c r="D30" s="67"/>
      <c r="E30" s="68"/>
      <c r="F30" s="93"/>
      <c r="G30" s="66"/>
      <c r="H30" s="69"/>
      <c r="I30" s="70"/>
      <c r="J30" s="70"/>
      <c r="K30" s="69"/>
      <c r="L30" s="72"/>
      <c r="M30" s="73">
        <v>5913.353515625</v>
      </c>
      <c r="N30" s="73">
        <v>4659.15185546875</v>
      </c>
      <c r="O30" s="74"/>
      <c r="P30" s="75"/>
      <c r="Q30" s="75"/>
      <c r="R30" s="78">
        <f t="shared" si="0"/>
        <v>53</v>
      </c>
      <c r="S30" s="47">
        <v>25</v>
      </c>
      <c r="T30" s="47">
        <v>28</v>
      </c>
      <c r="U30" s="48">
        <v>512.50542099999996</v>
      </c>
      <c r="V30" s="48">
        <v>2.4099999999999998E-3</v>
      </c>
      <c r="W30" s="48">
        <v>1.1984E-2</v>
      </c>
      <c r="X30" s="49"/>
      <c r="Y30" s="48">
        <v>0.27985739750445632</v>
      </c>
      <c r="Z30" s="48"/>
      <c r="AA30" s="71">
        <v>30</v>
      </c>
      <c r="AB30" s="71"/>
      <c r="AC30" s="116">
        <v>1</v>
      </c>
      <c r="AD30" s="76"/>
      <c r="AE30" s="76">
        <v>407</v>
      </c>
      <c r="AF30" s="76">
        <v>826</v>
      </c>
      <c r="AG30" s="76">
        <v>2230</v>
      </c>
      <c r="AH30" s="76">
        <v>272</v>
      </c>
      <c r="AI30" s="76">
        <v>-25200</v>
      </c>
      <c r="AJ30" s="76"/>
      <c r="AK30" s="76"/>
      <c r="AL30" s="92"/>
      <c r="AM30" s="76"/>
      <c r="AN30" s="76">
        <v>42194.47556712963</v>
      </c>
      <c r="AO30" s="76" t="s">
        <v>60</v>
      </c>
      <c r="AP30" s="76"/>
      <c r="AQ30" s="92"/>
      <c r="AR30" s="76"/>
      <c r="AS30" s="2"/>
      <c r="AT30" s="3"/>
      <c r="AU30" s="3"/>
      <c r="AV30" s="3"/>
      <c r="AW30" s="3"/>
    </row>
    <row r="31" spans="1:49" x14ac:dyDescent="0.25">
      <c r="A31" s="65"/>
      <c r="B31" s="66"/>
      <c r="C31" s="66"/>
      <c r="D31" s="67"/>
      <c r="E31" s="68"/>
      <c r="F31" s="93"/>
      <c r="G31" s="66"/>
      <c r="H31" s="69"/>
      <c r="I31" s="70"/>
      <c r="J31" s="70"/>
      <c r="K31" s="69"/>
      <c r="L31" s="72"/>
      <c r="M31" s="73">
        <v>6619.46484375</v>
      </c>
      <c r="N31" s="73">
        <v>7975.65771484375</v>
      </c>
      <c r="O31" s="74"/>
      <c r="P31" s="75"/>
      <c r="Q31" s="75"/>
      <c r="R31" s="78">
        <f t="shared" si="0"/>
        <v>9</v>
      </c>
      <c r="S31" s="47">
        <v>6</v>
      </c>
      <c r="T31" s="47">
        <v>3</v>
      </c>
      <c r="U31" s="48">
        <v>56.573417999999997</v>
      </c>
      <c r="V31" s="48">
        <v>1.859E-3</v>
      </c>
      <c r="W31" s="48">
        <v>1.5020000000000001E-3</v>
      </c>
      <c r="X31" s="49"/>
      <c r="Y31" s="48">
        <v>9.5238095238095233E-2</v>
      </c>
      <c r="Z31" s="48"/>
      <c r="AA31" s="71">
        <v>31</v>
      </c>
      <c r="AB31" s="71"/>
      <c r="AC31" s="116">
        <v>1</v>
      </c>
      <c r="AD31" s="76"/>
      <c r="AE31" s="76">
        <v>4518</v>
      </c>
      <c r="AF31" s="76">
        <v>23120</v>
      </c>
      <c r="AG31" s="76">
        <v>40826</v>
      </c>
      <c r="AH31" s="76">
        <v>5816</v>
      </c>
      <c r="AI31" s="76">
        <v>3600</v>
      </c>
      <c r="AJ31" s="76"/>
      <c r="AK31" s="76"/>
      <c r="AL31" s="92"/>
      <c r="AM31" s="76"/>
      <c r="AN31" s="76">
        <v>40010.639340277776</v>
      </c>
      <c r="AO31" s="76" t="s">
        <v>60</v>
      </c>
      <c r="AP31" s="76"/>
      <c r="AQ31" s="92"/>
      <c r="AR31" s="76"/>
      <c r="AS31" s="2"/>
      <c r="AT31" s="3"/>
      <c r="AU31" s="3"/>
      <c r="AV31" s="3"/>
      <c r="AW31" s="3"/>
    </row>
    <row r="32" spans="1:49" x14ac:dyDescent="0.25">
      <c r="A32" s="65"/>
      <c r="B32" s="66"/>
      <c r="C32" s="66"/>
      <c r="D32" s="67"/>
      <c r="E32" s="68"/>
      <c r="F32" s="93"/>
      <c r="G32" s="66"/>
      <c r="H32" s="69"/>
      <c r="I32" s="70"/>
      <c r="J32" s="70"/>
      <c r="K32" s="69"/>
      <c r="L32" s="72"/>
      <c r="M32" s="73">
        <v>3634.4208984375</v>
      </c>
      <c r="N32" s="73">
        <v>4959.3203125</v>
      </c>
      <c r="O32" s="74"/>
      <c r="P32" s="75"/>
      <c r="Q32" s="75"/>
      <c r="R32" s="78">
        <f t="shared" si="0"/>
        <v>13</v>
      </c>
      <c r="S32" s="47">
        <v>8</v>
      </c>
      <c r="T32" s="47">
        <v>5</v>
      </c>
      <c r="U32" s="48">
        <v>23.785506999999999</v>
      </c>
      <c r="V32" s="48">
        <v>2.1979999999999999E-3</v>
      </c>
      <c r="W32" s="48">
        <v>4.6959999999999997E-3</v>
      </c>
      <c r="X32" s="49"/>
      <c r="Y32" s="48">
        <v>0.34848484848484851</v>
      </c>
      <c r="Z32" s="48"/>
      <c r="AA32" s="71">
        <v>32</v>
      </c>
      <c r="AB32" s="71"/>
      <c r="AC32" s="116">
        <v>1</v>
      </c>
      <c r="AD32" s="76"/>
      <c r="AE32" s="76">
        <v>2459</v>
      </c>
      <c r="AF32" s="76">
        <v>13691</v>
      </c>
      <c r="AG32" s="76">
        <v>8347</v>
      </c>
      <c r="AH32" s="76">
        <v>351</v>
      </c>
      <c r="AI32" s="76">
        <v>3600</v>
      </c>
      <c r="AJ32" s="76"/>
      <c r="AK32" s="76"/>
      <c r="AL32" s="92"/>
      <c r="AM32" s="76"/>
      <c r="AN32" s="76">
        <v>40332.361284722225</v>
      </c>
      <c r="AO32" s="76" t="s">
        <v>60</v>
      </c>
      <c r="AP32" s="76"/>
      <c r="AQ32" s="92"/>
      <c r="AR32" s="76"/>
      <c r="AS32" s="2"/>
      <c r="AT32" s="3"/>
      <c r="AU32" s="3"/>
      <c r="AV32" s="3"/>
      <c r="AW32" s="3"/>
    </row>
    <row r="33" spans="1:49" x14ac:dyDescent="0.25">
      <c r="A33" s="65"/>
      <c r="B33" s="66"/>
      <c r="C33" s="66"/>
      <c r="D33" s="67"/>
      <c r="E33" s="68"/>
      <c r="F33" s="93"/>
      <c r="G33" s="66"/>
      <c r="H33" s="69"/>
      <c r="I33" s="70"/>
      <c r="J33" s="70"/>
      <c r="K33" s="69"/>
      <c r="L33" s="72"/>
      <c r="M33" s="73">
        <v>7127.73388671875</v>
      </c>
      <c r="N33" s="73">
        <v>4339.580078125</v>
      </c>
      <c r="O33" s="74"/>
      <c r="P33" s="75"/>
      <c r="Q33" s="75"/>
      <c r="R33" s="78">
        <f t="shared" si="0"/>
        <v>28</v>
      </c>
      <c r="S33" s="47">
        <v>6</v>
      </c>
      <c r="T33" s="47">
        <v>22</v>
      </c>
      <c r="U33" s="48">
        <v>299.49746199999998</v>
      </c>
      <c r="V33" s="48">
        <v>2.1979999999999999E-3</v>
      </c>
      <c r="W33" s="48">
        <v>7.3299999999999997E-3</v>
      </c>
      <c r="X33" s="49"/>
      <c r="Y33" s="48">
        <v>0.28079710144927539</v>
      </c>
      <c r="Z33" s="48"/>
      <c r="AA33" s="71">
        <v>33</v>
      </c>
      <c r="AB33" s="71"/>
      <c r="AC33" s="116">
        <v>1</v>
      </c>
      <c r="AD33" s="76"/>
      <c r="AE33" s="76">
        <v>475</v>
      </c>
      <c r="AF33" s="76">
        <v>760</v>
      </c>
      <c r="AG33" s="76">
        <v>1881</v>
      </c>
      <c r="AH33" s="76">
        <v>515</v>
      </c>
      <c r="AI33" s="76">
        <v>3600</v>
      </c>
      <c r="AJ33" s="76"/>
      <c r="AK33" s="76"/>
      <c r="AL33" s="92"/>
      <c r="AM33" s="76"/>
      <c r="AN33" s="76">
        <v>40346.591678240744</v>
      </c>
      <c r="AO33" s="76" t="s">
        <v>60</v>
      </c>
      <c r="AP33" s="76"/>
      <c r="AQ33" s="92"/>
      <c r="AR33" s="76"/>
      <c r="AS33" s="2"/>
      <c r="AT33" s="3"/>
      <c r="AU33" s="3"/>
      <c r="AV33" s="3"/>
      <c r="AW33" s="3"/>
    </row>
    <row r="34" spans="1:49" x14ac:dyDescent="0.25">
      <c r="A34" s="65"/>
      <c r="B34" s="66"/>
      <c r="C34" s="66"/>
      <c r="D34" s="67"/>
      <c r="E34" s="68"/>
      <c r="F34" s="93"/>
      <c r="G34" s="66"/>
      <c r="H34" s="69"/>
      <c r="I34" s="70"/>
      <c r="J34" s="70"/>
      <c r="K34" s="69"/>
      <c r="L34" s="72"/>
      <c r="M34" s="73">
        <v>5011.8212890625</v>
      </c>
      <c r="N34" s="73">
        <v>2170.678955078125</v>
      </c>
      <c r="O34" s="74"/>
      <c r="P34" s="75"/>
      <c r="Q34" s="75"/>
      <c r="R34" s="78">
        <f t="shared" si="0"/>
        <v>8</v>
      </c>
      <c r="S34" s="47">
        <v>4</v>
      </c>
      <c r="T34" s="47">
        <v>4</v>
      </c>
      <c r="U34" s="48">
        <v>30.087281000000001</v>
      </c>
      <c r="V34" s="48">
        <v>2.0660000000000001E-3</v>
      </c>
      <c r="W34" s="48">
        <v>2.003E-3</v>
      </c>
      <c r="X34" s="49"/>
      <c r="Y34" s="48">
        <v>0.33333333333333331</v>
      </c>
      <c r="Z34" s="48"/>
      <c r="AA34" s="71">
        <v>34</v>
      </c>
      <c r="AB34" s="71"/>
      <c r="AC34" s="116">
        <v>1</v>
      </c>
      <c r="AD34" s="76"/>
      <c r="AE34" s="76">
        <v>245</v>
      </c>
      <c r="AF34" s="76">
        <v>703</v>
      </c>
      <c r="AG34" s="76">
        <v>555</v>
      </c>
      <c r="AH34" s="76">
        <v>331</v>
      </c>
      <c r="AI34" s="76">
        <v>3600</v>
      </c>
      <c r="AJ34" s="76"/>
      <c r="AK34" s="76"/>
      <c r="AL34" s="92"/>
      <c r="AM34" s="76"/>
      <c r="AN34" s="76">
        <v>41774.532476851855</v>
      </c>
      <c r="AO34" s="76" t="s">
        <v>60</v>
      </c>
      <c r="AP34" s="76"/>
      <c r="AQ34" s="92"/>
      <c r="AR34" s="76"/>
      <c r="AS34" s="2"/>
      <c r="AT34" s="3"/>
      <c r="AU34" s="3"/>
      <c r="AV34" s="3"/>
      <c r="AW34" s="3"/>
    </row>
    <row r="35" spans="1:49" x14ac:dyDescent="0.25">
      <c r="A35" s="65"/>
      <c r="B35" s="66"/>
      <c r="C35" s="66"/>
      <c r="D35" s="67"/>
      <c r="E35" s="68"/>
      <c r="F35" s="93"/>
      <c r="G35" s="66"/>
      <c r="H35" s="69"/>
      <c r="I35" s="70"/>
      <c r="J35" s="70"/>
      <c r="K35" s="69"/>
      <c r="L35" s="72"/>
      <c r="M35" s="73">
        <v>2937.24560546875</v>
      </c>
      <c r="N35" s="73">
        <v>6303.482421875</v>
      </c>
      <c r="O35" s="74"/>
      <c r="P35" s="75"/>
      <c r="Q35" s="75"/>
      <c r="R35" s="78">
        <f t="shared" si="0"/>
        <v>16</v>
      </c>
      <c r="S35" s="47">
        <v>9</v>
      </c>
      <c r="T35" s="47">
        <v>7</v>
      </c>
      <c r="U35" s="48">
        <v>315.04744399999998</v>
      </c>
      <c r="V35" s="48">
        <v>2.114E-3</v>
      </c>
      <c r="W35" s="48">
        <v>2.2190000000000001E-3</v>
      </c>
      <c r="X35" s="49"/>
      <c r="Y35" s="48">
        <v>0.33333333333333331</v>
      </c>
      <c r="Z35" s="48"/>
      <c r="AA35" s="71">
        <v>35</v>
      </c>
      <c r="AB35" s="71"/>
      <c r="AC35" s="116">
        <v>1</v>
      </c>
      <c r="AD35" s="76"/>
      <c r="AE35" s="76">
        <v>1005</v>
      </c>
      <c r="AF35" s="76">
        <v>4719</v>
      </c>
      <c r="AG35" s="76">
        <v>6577</v>
      </c>
      <c r="AH35" s="76">
        <v>237</v>
      </c>
      <c r="AI35" s="76">
        <v>3600</v>
      </c>
      <c r="AJ35" s="76"/>
      <c r="AK35" s="76"/>
      <c r="AL35" s="92"/>
      <c r="AM35" s="76"/>
      <c r="AN35" s="76">
        <v>40816.480011574073</v>
      </c>
      <c r="AO35" s="76" t="s">
        <v>60</v>
      </c>
      <c r="AP35" s="76"/>
      <c r="AQ35" s="92"/>
      <c r="AR35" s="76"/>
      <c r="AS35" s="2"/>
      <c r="AT35" s="3"/>
      <c r="AU35" s="3"/>
      <c r="AV35" s="3"/>
      <c r="AW35" s="3"/>
    </row>
    <row r="36" spans="1:49" x14ac:dyDescent="0.25">
      <c r="A36" s="65"/>
      <c r="B36" s="66"/>
      <c r="C36" s="66"/>
      <c r="D36" s="67"/>
      <c r="E36" s="68"/>
      <c r="F36" s="93"/>
      <c r="G36" s="66"/>
      <c r="H36" s="69"/>
      <c r="I36" s="70"/>
      <c r="J36" s="70"/>
      <c r="K36" s="69"/>
      <c r="L36" s="72"/>
      <c r="M36" s="73">
        <v>9020.5078125</v>
      </c>
      <c r="N36" s="73">
        <v>6142.47705078125</v>
      </c>
      <c r="O36" s="74"/>
      <c r="P36" s="75"/>
      <c r="Q36" s="75"/>
      <c r="R36" s="78">
        <f t="shared" si="0"/>
        <v>2</v>
      </c>
      <c r="S36" s="47">
        <v>0</v>
      </c>
      <c r="T36" s="47">
        <v>2</v>
      </c>
      <c r="U36" s="48">
        <v>0</v>
      </c>
      <c r="V36" s="48">
        <v>1.678E-3</v>
      </c>
      <c r="W36" s="48">
        <v>5.4299999999999997E-4</v>
      </c>
      <c r="X36" s="49"/>
      <c r="Y36" s="48">
        <v>0.5</v>
      </c>
      <c r="Z36" s="48"/>
      <c r="AA36" s="71">
        <v>36</v>
      </c>
      <c r="AB36" s="71"/>
      <c r="AC36" s="116">
        <v>1</v>
      </c>
      <c r="AD36" s="76"/>
      <c r="AE36" s="76">
        <v>569</v>
      </c>
      <c r="AF36" s="76">
        <v>2114</v>
      </c>
      <c r="AG36" s="76">
        <v>2960</v>
      </c>
      <c r="AH36" s="76">
        <v>1628</v>
      </c>
      <c r="AI36" s="76">
        <v>3600</v>
      </c>
      <c r="AJ36" s="76"/>
      <c r="AK36" s="76"/>
      <c r="AL36" s="92"/>
      <c r="AM36" s="76"/>
      <c r="AN36" s="76">
        <v>40300.929525462961</v>
      </c>
      <c r="AO36" s="76" t="s">
        <v>60</v>
      </c>
      <c r="AP36" s="76"/>
      <c r="AQ36" s="92"/>
      <c r="AR36" s="76"/>
      <c r="AS36" s="2"/>
      <c r="AT36" s="3"/>
      <c r="AU36" s="3"/>
      <c r="AV36" s="3"/>
      <c r="AW36" s="3"/>
    </row>
    <row r="37" spans="1:49" x14ac:dyDescent="0.25">
      <c r="A37" s="65"/>
      <c r="B37" s="66"/>
      <c r="C37" s="66"/>
      <c r="D37" s="67"/>
      <c r="E37" s="68"/>
      <c r="F37" s="93"/>
      <c r="G37" s="66"/>
      <c r="H37" s="69"/>
      <c r="I37" s="70"/>
      <c r="J37" s="70"/>
      <c r="K37" s="69"/>
      <c r="L37" s="72"/>
      <c r="M37" s="73">
        <v>6596.54296875</v>
      </c>
      <c r="N37" s="73">
        <v>1206.6568603515625</v>
      </c>
      <c r="O37" s="74"/>
      <c r="P37" s="75"/>
      <c r="Q37" s="75"/>
      <c r="R37" s="78">
        <f t="shared" si="0"/>
        <v>6</v>
      </c>
      <c r="S37" s="47">
        <v>3</v>
      </c>
      <c r="T37" s="47">
        <v>3</v>
      </c>
      <c r="U37" s="48">
        <v>10.823207</v>
      </c>
      <c r="V37" s="48">
        <v>1.709E-3</v>
      </c>
      <c r="W37" s="48">
        <v>7.8600000000000002E-4</v>
      </c>
      <c r="X37" s="49"/>
      <c r="Y37" s="48">
        <v>0.16666666666666666</v>
      </c>
      <c r="Z37" s="48"/>
      <c r="AA37" s="71">
        <v>37</v>
      </c>
      <c r="AB37" s="71"/>
      <c r="AC37" s="116">
        <v>1</v>
      </c>
      <c r="AD37" s="76"/>
      <c r="AE37" s="76">
        <v>0</v>
      </c>
      <c r="AF37" s="76">
        <v>13</v>
      </c>
      <c r="AG37" s="76">
        <v>1</v>
      </c>
      <c r="AH37" s="76">
        <v>0</v>
      </c>
      <c r="AI37" s="76"/>
      <c r="AJ37" s="76"/>
      <c r="AK37" s="76"/>
      <c r="AL37" s="76"/>
      <c r="AM37" s="76"/>
      <c r="AN37" s="76">
        <v>42856.245057870372</v>
      </c>
      <c r="AO37" s="76" t="s">
        <v>60</v>
      </c>
      <c r="AP37" s="76"/>
      <c r="AQ37" s="92"/>
      <c r="AR37" s="76"/>
      <c r="AS37" s="2"/>
      <c r="AT37" s="3"/>
      <c r="AU37" s="3"/>
      <c r="AV37" s="3"/>
      <c r="AW37" s="3"/>
    </row>
    <row r="38" spans="1:49" x14ac:dyDescent="0.25">
      <c r="A38" s="65"/>
      <c r="B38" s="66"/>
      <c r="C38" s="66"/>
      <c r="D38" s="67"/>
      <c r="E38" s="68"/>
      <c r="F38" s="93"/>
      <c r="G38" s="66"/>
      <c r="H38" s="69"/>
      <c r="I38" s="70"/>
      <c r="J38" s="70"/>
      <c r="K38" s="69"/>
      <c r="L38" s="72"/>
      <c r="M38" s="73">
        <v>2479.827392578125</v>
      </c>
      <c r="N38" s="73">
        <v>5676.34326171875</v>
      </c>
      <c r="O38" s="74"/>
      <c r="P38" s="75"/>
      <c r="Q38" s="75"/>
      <c r="R38" s="78">
        <f t="shared" si="0"/>
        <v>19</v>
      </c>
      <c r="S38" s="47">
        <v>14</v>
      </c>
      <c r="T38" s="47">
        <v>5</v>
      </c>
      <c r="U38" s="48">
        <v>175.17847599999999</v>
      </c>
      <c r="V38" s="48">
        <v>2.0119999999999999E-3</v>
      </c>
      <c r="W38" s="48">
        <v>2.271E-3</v>
      </c>
      <c r="X38" s="49"/>
      <c r="Y38" s="48">
        <v>0.15384615384615385</v>
      </c>
      <c r="Z38" s="48"/>
      <c r="AA38" s="71">
        <v>38</v>
      </c>
      <c r="AB38" s="71"/>
      <c r="AC38" s="116">
        <v>1</v>
      </c>
      <c r="AD38" s="76"/>
      <c r="AE38" s="76">
        <v>1912</v>
      </c>
      <c r="AF38" s="76">
        <v>13596</v>
      </c>
      <c r="AG38" s="76">
        <v>8081</v>
      </c>
      <c r="AH38" s="76">
        <v>5737</v>
      </c>
      <c r="AI38" s="76">
        <v>3600</v>
      </c>
      <c r="AJ38" s="76"/>
      <c r="AK38" s="76"/>
      <c r="AL38" s="92"/>
      <c r="AM38" s="76"/>
      <c r="AN38" s="76">
        <v>40141.639178240737</v>
      </c>
      <c r="AO38" s="76" t="s">
        <v>60</v>
      </c>
      <c r="AP38" s="76"/>
      <c r="AQ38" s="92"/>
      <c r="AR38" s="76"/>
      <c r="AS38" s="2"/>
      <c r="AT38" s="3"/>
      <c r="AU38" s="3"/>
      <c r="AV38" s="3"/>
      <c r="AW38" s="3"/>
    </row>
    <row r="39" spans="1:49" x14ac:dyDescent="0.25">
      <c r="A39" s="65"/>
      <c r="B39" s="66"/>
      <c r="C39" s="66"/>
      <c r="D39" s="67"/>
      <c r="E39" s="68"/>
      <c r="F39" s="93"/>
      <c r="G39" s="66"/>
      <c r="H39" s="69"/>
      <c r="I39" s="70"/>
      <c r="J39" s="70"/>
      <c r="K39" s="69"/>
      <c r="L39" s="72"/>
      <c r="M39" s="73">
        <v>4014.886962890625</v>
      </c>
      <c r="N39" s="73">
        <v>2319.662841796875</v>
      </c>
      <c r="O39" s="74"/>
      <c r="P39" s="75"/>
      <c r="Q39" s="75"/>
      <c r="R39" s="78">
        <f t="shared" si="0"/>
        <v>13</v>
      </c>
      <c r="S39" s="47">
        <v>7</v>
      </c>
      <c r="T39" s="47">
        <v>6</v>
      </c>
      <c r="U39" s="48">
        <v>41.74727</v>
      </c>
      <c r="V39" s="48">
        <v>1.8940000000000001E-3</v>
      </c>
      <c r="W39" s="48">
        <v>1.7639999999999999E-3</v>
      </c>
      <c r="X39" s="49"/>
      <c r="Y39" s="48">
        <v>0.16071428571428573</v>
      </c>
      <c r="Z39" s="48"/>
      <c r="AA39" s="71">
        <v>39</v>
      </c>
      <c r="AB39" s="71"/>
      <c r="AC39" s="116">
        <v>1</v>
      </c>
      <c r="AD39" s="76"/>
      <c r="AE39" s="76">
        <v>1968</v>
      </c>
      <c r="AF39" s="76">
        <v>12539</v>
      </c>
      <c r="AG39" s="76">
        <v>11709</v>
      </c>
      <c r="AH39" s="76">
        <v>7293</v>
      </c>
      <c r="AI39" s="76">
        <v>3600</v>
      </c>
      <c r="AJ39" s="76"/>
      <c r="AK39" s="76"/>
      <c r="AL39" s="92"/>
      <c r="AM39" s="76"/>
      <c r="AN39" s="76">
        <v>40284.433645833335</v>
      </c>
      <c r="AO39" s="76" t="s">
        <v>60</v>
      </c>
      <c r="AP39" s="76"/>
      <c r="AQ39" s="92"/>
      <c r="AR39" s="76"/>
      <c r="AS39" s="2"/>
      <c r="AT39" s="3"/>
      <c r="AU39" s="3"/>
      <c r="AV39" s="3"/>
      <c r="AW39" s="3"/>
    </row>
    <row r="40" spans="1:49" x14ac:dyDescent="0.25">
      <c r="A40" s="65"/>
      <c r="B40" s="66"/>
      <c r="C40" s="66"/>
      <c r="D40" s="67"/>
      <c r="E40" s="68"/>
      <c r="F40" s="93"/>
      <c r="G40" s="66"/>
      <c r="H40" s="69"/>
      <c r="I40" s="70"/>
      <c r="J40" s="70"/>
      <c r="K40" s="69"/>
      <c r="L40" s="72"/>
      <c r="M40" s="73">
        <v>8011.5908203125</v>
      </c>
      <c r="N40" s="73">
        <v>7816.1416015625</v>
      </c>
      <c r="O40" s="74"/>
      <c r="P40" s="75"/>
      <c r="Q40" s="75"/>
      <c r="R40" s="78">
        <f t="shared" si="0"/>
        <v>3</v>
      </c>
      <c r="S40" s="47">
        <v>1</v>
      </c>
      <c r="T40" s="47">
        <v>2</v>
      </c>
      <c r="U40" s="48">
        <v>0.51587300000000003</v>
      </c>
      <c r="V40" s="48">
        <v>1.6670000000000001E-3</v>
      </c>
      <c r="W40" s="48">
        <v>6.7199999999999996E-4</v>
      </c>
      <c r="X40" s="49"/>
      <c r="Y40" s="48">
        <v>0.33333333333333331</v>
      </c>
      <c r="Z40" s="48"/>
      <c r="AA40" s="71">
        <v>40</v>
      </c>
      <c r="AB40" s="71"/>
      <c r="AC40" s="116">
        <v>1</v>
      </c>
      <c r="AD40" s="76"/>
      <c r="AE40" s="76">
        <v>425</v>
      </c>
      <c r="AF40" s="76">
        <v>333</v>
      </c>
      <c r="AG40" s="76">
        <v>686</v>
      </c>
      <c r="AH40" s="76">
        <v>52</v>
      </c>
      <c r="AI40" s="76"/>
      <c r="AJ40" s="76"/>
      <c r="AK40" s="76"/>
      <c r="AL40" s="92"/>
      <c r="AM40" s="76"/>
      <c r="AN40" s="76">
        <v>41716.888425925928</v>
      </c>
      <c r="AO40" s="76" t="s">
        <v>60</v>
      </c>
      <c r="AP40" s="76"/>
      <c r="AQ40" s="92"/>
      <c r="AR40" s="76"/>
      <c r="AS40" s="2"/>
      <c r="AT40" s="3"/>
      <c r="AU40" s="3"/>
      <c r="AV40" s="3"/>
      <c r="AW40" s="3"/>
    </row>
    <row r="41" spans="1:49" x14ac:dyDescent="0.25">
      <c r="A41" s="65"/>
      <c r="B41" s="66"/>
      <c r="C41" s="96"/>
      <c r="D41" s="99"/>
      <c r="E41" s="95"/>
      <c r="F41" s="93"/>
      <c r="G41" s="96"/>
      <c r="H41" s="100"/>
      <c r="I41" s="101"/>
      <c r="J41" s="101"/>
      <c r="K41" s="100"/>
      <c r="L41" s="102"/>
      <c r="M41" s="103"/>
      <c r="N41" s="103"/>
      <c r="O41" s="104"/>
      <c r="P41" s="105"/>
      <c r="Q41" s="105"/>
      <c r="R41" s="106">
        <f t="shared" si="0"/>
        <v>0</v>
      </c>
      <c r="S41" s="47"/>
      <c r="T41" s="47"/>
      <c r="U41" s="48"/>
      <c r="V41" s="48"/>
      <c r="W41" s="48"/>
      <c r="X41" s="107"/>
      <c r="Y41" s="48"/>
      <c r="Z41" s="108"/>
      <c r="AA41" s="109">
        <v>41</v>
      </c>
      <c r="AB41" s="109"/>
      <c r="AC41" s="116">
        <v>1</v>
      </c>
      <c r="AD41" s="76"/>
      <c r="AE41" s="76">
        <v>81</v>
      </c>
      <c r="AF41" s="76">
        <v>285</v>
      </c>
      <c r="AG41" s="76">
        <v>57</v>
      </c>
      <c r="AH41" s="76">
        <v>0</v>
      </c>
      <c r="AI41" s="76">
        <v>-36000</v>
      </c>
      <c r="AJ41" s="76"/>
      <c r="AK41" s="76"/>
      <c r="AL41" s="92"/>
      <c r="AM41" s="76"/>
      <c r="AN41" s="76">
        <v>40197.376956018517</v>
      </c>
      <c r="AO41" s="76" t="s">
        <v>60</v>
      </c>
      <c r="AP41" s="76"/>
      <c r="AQ41" s="92"/>
      <c r="AR41" s="76"/>
      <c r="AS41" s="2"/>
      <c r="AT41" s="3"/>
      <c r="AU41" s="3"/>
      <c r="AV41" s="3"/>
      <c r="AW41" s="3"/>
    </row>
    <row r="42" spans="1:49" x14ac:dyDescent="0.25">
      <c r="A42" s="65"/>
      <c r="B42" s="66"/>
      <c r="C42" s="66"/>
      <c r="D42" s="67"/>
      <c r="E42" s="68"/>
      <c r="F42" s="93"/>
      <c r="G42" s="66"/>
      <c r="H42" s="69"/>
      <c r="I42" s="70"/>
      <c r="J42" s="70"/>
      <c r="K42" s="69"/>
      <c r="L42" s="72"/>
      <c r="M42" s="73">
        <v>1570.2916259765625</v>
      </c>
      <c r="N42" s="73">
        <v>8398.85546875</v>
      </c>
      <c r="O42" s="74"/>
      <c r="P42" s="75"/>
      <c r="Q42" s="75"/>
      <c r="R42" s="78">
        <f t="shared" si="0"/>
        <v>2</v>
      </c>
      <c r="S42" s="47">
        <v>1</v>
      </c>
      <c r="T42" s="47">
        <v>1</v>
      </c>
      <c r="U42" s="48">
        <v>0</v>
      </c>
      <c r="V42" s="48">
        <v>1.4809999999999999E-3</v>
      </c>
      <c r="W42" s="48">
        <v>1.7000000000000001E-4</v>
      </c>
      <c r="X42" s="49"/>
      <c r="Y42" s="48">
        <v>0</v>
      </c>
      <c r="Z42" s="48"/>
      <c r="AA42" s="71">
        <v>42</v>
      </c>
      <c r="AB42" s="71"/>
      <c r="AC42" s="116">
        <v>1</v>
      </c>
      <c r="AD42" s="76"/>
      <c r="AE42" s="76">
        <v>201</v>
      </c>
      <c r="AF42" s="76">
        <v>987</v>
      </c>
      <c r="AG42" s="76">
        <v>745</v>
      </c>
      <c r="AH42" s="76">
        <v>82</v>
      </c>
      <c r="AI42" s="76">
        <v>3600</v>
      </c>
      <c r="AJ42" s="76"/>
      <c r="AK42" s="76"/>
      <c r="AL42" s="92"/>
      <c r="AM42" s="76"/>
      <c r="AN42" s="76">
        <v>41334.424560185187</v>
      </c>
      <c r="AO42" s="76" t="s">
        <v>60</v>
      </c>
      <c r="AP42" s="76"/>
      <c r="AQ42" s="92"/>
      <c r="AR42" s="76"/>
      <c r="AS42" s="2"/>
      <c r="AT42" s="3"/>
      <c r="AU42" s="3"/>
      <c r="AV42" s="3"/>
      <c r="AW42" s="3"/>
    </row>
    <row r="43" spans="1:49" x14ac:dyDescent="0.25">
      <c r="A43" s="65"/>
      <c r="B43" s="66"/>
      <c r="C43" s="66"/>
      <c r="D43" s="67"/>
      <c r="E43" s="68"/>
      <c r="F43" s="93"/>
      <c r="G43" s="66"/>
      <c r="H43" s="69"/>
      <c r="I43" s="70"/>
      <c r="J43" s="70"/>
      <c r="K43" s="69"/>
      <c r="L43" s="72"/>
      <c r="M43" s="73">
        <v>3439.968505859375</v>
      </c>
      <c r="N43" s="73">
        <v>9048.38671875</v>
      </c>
      <c r="O43" s="74"/>
      <c r="P43" s="75"/>
      <c r="Q43" s="75"/>
      <c r="R43" s="78">
        <f t="shared" si="0"/>
        <v>3</v>
      </c>
      <c r="S43" s="47">
        <v>1</v>
      </c>
      <c r="T43" s="47">
        <v>2</v>
      </c>
      <c r="U43" s="48">
        <v>3.3929710000000002</v>
      </c>
      <c r="V43" s="48">
        <v>1.642E-3</v>
      </c>
      <c r="W43" s="48">
        <v>3.8499999999999998E-4</v>
      </c>
      <c r="X43" s="49"/>
      <c r="Y43" s="48">
        <v>0.33333333333333331</v>
      </c>
      <c r="Z43" s="48"/>
      <c r="AA43" s="71">
        <v>43</v>
      </c>
      <c r="AB43" s="71"/>
      <c r="AC43" s="116">
        <v>1</v>
      </c>
      <c r="AD43" s="76"/>
      <c r="AE43" s="76">
        <v>1288</v>
      </c>
      <c r="AF43" s="76">
        <v>3114</v>
      </c>
      <c r="AG43" s="76">
        <v>3680</v>
      </c>
      <c r="AH43" s="76">
        <v>606</v>
      </c>
      <c r="AI43" s="76">
        <v>3600</v>
      </c>
      <c r="AJ43" s="76"/>
      <c r="AK43" s="76"/>
      <c r="AL43" s="92"/>
      <c r="AM43" s="76"/>
      <c r="AN43" s="76">
        <v>39863.490543981483</v>
      </c>
      <c r="AO43" s="76" t="s">
        <v>60</v>
      </c>
      <c r="AP43" s="76"/>
      <c r="AQ43" s="92"/>
      <c r="AR43" s="76"/>
      <c r="AS43" s="2"/>
      <c r="AT43" s="3"/>
      <c r="AU43" s="3"/>
      <c r="AV43" s="3"/>
      <c r="AW43" s="3"/>
    </row>
    <row r="44" spans="1:49" x14ac:dyDescent="0.25">
      <c r="A44" s="65"/>
      <c r="B44" s="66"/>
      <c r="C44" s="66"/>
      <c r="D44" s="67"/>
      <c r="E44" s="68"/>
      <c r="F44" s="93"/>
      <c r="G44" s="66"/>
      <c r="H44" s="69"/>
      <c r="I44" s="70"/>
      <c r="J44" s="70"/>
      <c r="K44" s="69"/>
      <c r="L44" s="72"/>
      <c r="M44" s="73">
        <v>4177.4638671875</v>
      </c>
      <c r="N44" s="73">
        <v>9304.0927734375</v>
      </c>
      <c r="O44" s="74"/>
      <c r="P44" s="75"/>
      <c r="Q44" s="75"/>
      <c r="R44" s="78">
        <f t="shared" si="0"/>
        <v>6</v>
      </c>
      <c r="S44" s="47">
        <v>4</v>
      </c>
      <c r="T44" s="47">
        <v>2</v>
      </c>
      <c r="U44" s="48">
        <v>9.1996979999999997</v>
      </c>
      <c r="V44" s="48">
        <v>1.653E-3</v>
      </c>
      <c r="W44" s="48">
        <v>5.7700000000000004E-4</v>
      </c>
      <c r="X44" s="49"/>
      <c r="Y44" s="48">
        <v>0.25</v>
      </c>
      <c r="Z44" s="48"/>
      <c r="AA44" s="71">
        <v>44</v>
      </c>
      <c r="AB44" s="71"/>
      <c r="AC44" s="116">
        <v>1</v>
      </c>
      <c r="AD44" s="76"/>
      <c r="AE44" s="76">
        <v>1505</v>
      </c>
      <c r="AF44" s="76">
        <v>1790</v>
      </c>
      <c r="AG44" s="76">
        <v>3325</v>
      </c>
      <c r="AH44" s="76">
        <v>600</v>
      </c>
      <c r="AI44" s="76">
        <v>3600</v>
      </c>
      <c r="AJ44" s="76"/>
      <c r="AK44" s="76"/>
      <c r="AL44" s="92"/>
      <c r="AM44" s="76"/>
      <c r="AN44" s="76">
        <v>40758.602858796294</v>
      </c>
      <c r="AO44" s="76" t="s">
        <v>60</v>
      </c>
      <c r="AP44" s="76"/>
      <c r="AQ44" s="92"/>
      <c r="AR44" s="76"/>
      <c r="AS44" s="2"/>
      <c r="AT44" s="3"/>
      <c r="AU44" s="3"/>
      <c r="AV44" s="3"/>
      <c r="AW44" s="3"/>
    </row>
    <row r="45" spans="1:49" x14ac:dyDescent="0.25">
      <c r="A45" s="65"/>
      <c r="B45" s="66"/>
      <c r="C45" s="66"/>
      <c r="D45" s="67"/>
      <c r="E45" s="68"/>
      <c r="F45" s="93"/>
      <c r="G45" s="66"/>
      <c r="H45" s="69"/>
      <c r="I45" s="70"/>
      <c r="J45" s="70"/>
      <c r="K45" s="69"/>
      <c r="L45" s="72"/>
      <c r="M45" s="73"/>
      <c r="N45" s="73"/>
      <c r="O45" s="74"/>
      <c r="P45" s="75"/>
      <c r="Q45" s="75"/>
      <c r="R45" s="78">
        <f t="shared" si="0"/>
        <v>0</v>
      </c>
      <c r="S45" s="47"/>
      <c r="T45" s="47"/>
      <c r="U45" s="48"/>
      <c r="V45" s="48"/>
      <c r="W45" s="48"/>
      <c r="X45" s="49"/>
      <c r="Y45" s="48"/>
      <c r="Z45" s="48"/>
      <c r="AA45" s="71">
        <v>45</v>
      </c>
      <c r="AB45" s="71"/>
      <c r="AC45" s="116">
        <v>1</v>
      </c>
      <c r="AD45" s="76"/>
      <c r="AE45" s="76">
        <v>5</v>
      </c>
      <c r="AF45" s="76">
        <v>104</v>
      </c>
      <c r="AG45" s="76">
        <v>12</v>
      </c>
      <c r="AH45" s="76">
        <v>1</v>
      </c>
      <c r="AI45" s="76"/>
      <c r="AJ45" s="76"/>
      <c r="AK45" s="76"/>
      <c r="AL45" s="92"/>
      <c r="AM45" s="76"/>
      <c r="AN45" s="76">
        <v>40987.399178240739</v>
      </c>
      <c r="AO45" s="76" t="s">
        <v>60</v>
      </c>
      <c r="AP45" s="76"/>
      <c r="AQ45" s="92"/>
      <c r="AR45" s="76"/>
      <c r="AS45" s="2"/>
      <c r="AT45" s="3"/>
      <c r="AU45" s="3"/>
      <c r="AV45" s="3"/>
      <c r="AW45" s="3"/>
    </row>
    <row r="46" spans="1:49" x14ac:dyDescent="0.25">
      <c r="A46" s="65"/>
      <c r="B46" s="66"/>
      <c r="C46" s="66"/>
      <c r="D46" s="67"/>
      <c r="E46" s="68"/>
      <c r="F46" s="93"/>
      <c r="G46" s="66"/>
      <c r="H46" s="69"/>
      <c r="I46" s="70"/>
      <c r="J46" s="70"/>
      <c r="K46" s="69"/>
      <c r="L46" s="72"/>
      <c r="M46" s="73">
        <v>4245.59130859375</v>
      </c>
      <c r="N46" s="73">
        <v>8814.8330078125</v>
      </c>
      <c r="O46" s="74"/>
      <c r="P46" s="75"/>
      <c r="Q46" s="75"/>
      <c r="R46" s="78">
        <f t="shared" si="0"/>
        <v>10</v>
      </c>
      <c r="S46" s="47">
        <v>1</v>
      </c>
      <c r="T46" s="47">
        <v>9</v>
      </c>
      <c r="U46" s="48">
        <v>33.696368999999997</v>
      </c>
      <c r="V46" s="48">
        <v>1.7639999999999999E-3</v>
      </c>
      <c r="W46" s="48">
        <v>1.1839999999999999E-3</v>
      </c>
      <c r="X46" s="49"/>
      <c r="Y46" s="48">
        <v>0.31944444444444442</v>
      </c>
      <c r="Z46" s="48"/>
      <c r="AA46" s="71">
        <v>46</v>
      </c>
      <c r="AB46" s="71"/>
      <c r="AC46" s="116">
        <v>1</v>
      </c>
      <c r="AD46" s="76"/>
      <c r="AE46" s="76">
        <v>156</v>
      </c>
      <c r="AF46" s="76">
        <v>265</v>
      </c>
      <c r="AG46" s="76">
        <v>654</v>
      </c>
      <c r="AH46" s="76">
        <v>556</v>
      </c>
      <c r="AI46" s="76">
        <v>-25200</v>
      </c>
      <c r="AJ46" s="76"/>
      <c r="AK46" s="76"/>
      <c r="AL46" s="92"/>
      <c r="AM46" s="76"/>
      <c r="AN46" s="76">
        <v>42377.574016203704</v>
      </c>
      <c r="AO46" s="76" t="s">
        <v>60</v>
      </c>
      <c r="AP46" s="76"/>
      <c r="AQ46" s="92"/>
      <c r="AR46" s="76"/>
      <c r="AS46" s="2"/>
      <c r="AT46" s="3"/>
      <c r="AU46" s="3"/>
      <c r="AV46" s="3"/>
      <c r="AW46" s="3"/>
    </row>
    <row r="47" spans="1:49" x14ac:dyDescent="0.25">
      <c r="A47" s="65"/>
      <c r="B47" s="66"/>
      <c r="C47" s="66"/>
      <c r="D47" s="67"/>
      <c r="E47" s="68"/>
      <c r="F47" s="93"/>
      <c r="G47" s="66"/>
      <c r="H47" s="69"/>
      <c r="I47" s="70"/>
      <c r="J47" s="70"/>
      <c r="K47" s="69"/>
      <c r="L47" s="72"/>
      <c r="M47" s="73">
        <v>7472.8603515625</v>
      </c>
      <c r="N47" s="73">
        <v>5937.62451171875</v>
      </c>
      <c r="O47" s="74"/>
      <c r="P47" s="75"/>
      <c r="Q47" s="75"/>
      <c r="R47" s="78">
        <f t="shared" si="0"/>
        <v>17</v>
      </c>
      <c r="S47" s="47">
        <v>13</v>
      </c>
      <c r="T47" s="47">
        <v>4</v>
      </c>
      <c r="U47" s="48">
        <v>27.333030000000001</v>
      </c>
      <c r="V47" s="48">
        <v>2.1189999999999998E-3</v>
      </c>
      <c r="W47" s="48">
        <v>5.2750000000000002E-3</v>
      </c>
      <c r="X47" s="49"/>
      <c r="Y47" s="48">
        <v>0.35164835164835168</v>
      </c>
      <c r="Z47" s="48"/>
      <c r="AA47" s="71">
        <v>47</v>
      </c>
      <c r="AB47" s="71"/>
      <c r="AC47" s="116">
        <v>1</v>
      </c>
      <c r="AD47" s="76"/>
      <c r="AE47" s="76">
        <v>706</v>
      </c>
      <c r="AF47" s="76">
        <v>1929</v>
      </c>
      <c r="AG47" s="76">
        <v>3273</v>
      </c>
      <c r="AH47" s="76">
        <v>211</v>
      </c>
      <c r="AI47" s="76">
        <v>3600</v>
      </c>
      <c r="AJ47" s="76"/>
      <c r="AK47" s="76"/>
      <c r="AL47" s="92"/>
      <c r="AM47" s="76"/>
      <c r="AN47" s="76">
        <v>41005.559201388889</v>
      </c>
      <c r="AO47" s="76" t="s">
        <v>60</v>
      </c>
      <c r="AP47" s="76"/>
      <c r="AQ47" s="92"/>
      <c r="AR47" s="76"/>
      <c r="AS47" s="2"/>
      <c r="AT47" s="3"/>
      <c r="AU47" s="3"/>
      <c r="AV47" s="3"/>
      <c r="AW47" s="3"/>
    </row>
    <row r="48" spans="1:49" x14ac:dyDescent="0.25">
      <c r="A48" s="65"/>
      <c r="B48" s="66"/>
      <c r="C48" s="66"/>
      <c r="D48" s="67"/>
      <c r="E48" s="68"/>
      <c r="F48" s="93"/>
      <c r="G48" s="66"/>
      <c r="H48" s="69"/>
      <c r="I48" s="70"/>
      <c r="J48" s="70"/>
      <c r="K48" s="69"/>
      <c r="L48" s="72"/>
      <c r="M48" s="73">
        <v>8200.5634765625</v>
      </c>
      <c r="N48" s="73">
        <v>2521.341552734375</v>
      </c>
      <c r="O48" s="74"/>
      <c r="P48" s="75"/>
      <c r="Q48" s="75"/>
      <c r="R48" s="78">
        <f t="shared" si="0"/>
        <v>3</v>
      </c>
      <c r="S48" s="47">
        <v>3</v>
      </c>
      <c r="T48" s="47">
        <v>0</v>
      </c>
      <c r="U48" s="48">
        <v>7.645086</v>
      </c>
      <c r="V48" s="48">
        <v>1.7949999999999999E-3</v>
      </c>
      <c r="W48" s="48">
        <v>8.12E-4</v>
      </c>
      <c r="X48" s="49"/>
      <c r="Y48" s="48">
        <v>0.16666666666666666</v>
      </c>
      <c r="Z48" s="48"/>
      <c r="AA48" s="71">
        <v>48</v>
      </c>
      <c r="AB48" s="71"/>
      <c r="AC48" s="116">
        <v>1</v>
      </c>
      <c r="AD48" s="76"/>
      <c r="AE48" s="76">
        <v>1549</v>
      </c>
      <c r="AF48" s="76">
        <v>6258</v>
      </c>
      <c r="AG48" s="76">
        <v>4376</v>
      </c>
      <c r="AH48" s="76">
        <v>134</v>
      </c>
      <c r="AI48" s="76">
        <v>3600</v>
      </c>
      <c r="AJ48" s="76"/>
      <c r="AK48" s="76"/>
      <c r="AL48" s="92"/>
      <c r="AM48" s="76"/>
      <c r="AN48" s="76">
        <v>39868.519537037035</v>
      </c>
      <c r="AO48" s="76" t="s">
        <v>60</v>
      </c>
      <c r="AP48" s="76"/>
      <c r="AQ48" s="92"/>
      <c r="AR48" s="76"/>
      <c r="AS48" s="2"/>
      <c r="AT48" s="3"/>
      <c r="AU48" s="3"/>
      <c r="AV48" s="3"/>
      <c r="AW48" s="3"/>
    </row>
    <row r="49" spans="1:49" x14ac:dyDescent="0.25">
      <c r="A49" s="65"/>
      <c r="B49" s="66"/>
      <c r="C49" s="66"/>
      <c r="D49" s="67"/>
      <c r="E49" s="68"/>
      <c r="F49" s="93"/>
      <c r="G49" s="66"/>
      <c r="H49" s="69"/>
      <c r="I49" s="70"/>
      <c r="J49" s="70"/>
      <c r="K49" s="69"/>
      <c r="L49" s="72"/>
      <c r="M49" s="73">
        <v>2549.837890625</v>
      </c>
      <c r="N49" s="73">
        <v>8280.9228515625</v>
      </c>
      <c r="O49" s="74"/>
      <c r="P49" s="75"/>
      <c r="Q49" s="75"/>
      <c r="R49" s="78">
        <f t="shared" si="0"/>
        <v>0</v>
      </c>
      <c r="S49" s="47"/>
      <c r="T49" s="47"/>
      <c r="U49" s="48"/>
      <c r="V49" s="48"/>
      <c r="W49" s="48"/>
      <c r="X49" s="49"/>
      <c r="Y49" s="48"/>
      <c r="Z49" s="48"/>
      <c r="AA49" s="71">
        <v>49</v>
      </c>
      <c r="AB49" s="71"/>
      <c r="AC49" s="116">
        <v>1</v>
      </c>
      <c r="AD49" s="76"/>
      <c r="AE49" s="76">
        <v>166</v>
      </c>
      <c r="AF49" s="76">
        <v>121</v>
      </c>
      <c r="AG49" s="76">
        <v>160</v>
      </c>
      <c r="AH49" s="76">
        <v>78</v>
      </c>
      <c r="AI49" s="76">
        <v>7200</v>
      </c>
      <c r="AJ49" s="76"/>
      <c r="AK49" s="76"/>
      <c r="AL49" s="92"/>
      <c r="AM49" s="76"/>
      <c r="AN49" s="76">
        <v>41841.593518518515</v>
      </c>
      <c r="AO49" s="76" t="s">
        <v>60</v>
      </c>
      <c r="AP49" s="76"/>
      <c r="AQ49" s="92"/>
      <c r="AR49" s="76"/>
      <c r="AS49" s="2"/>
      <c r="AT49" s="3"/>
      <c r="AU49" s="3"/>
      <c r="AV49" s="3"/>
      <c r="AW49" s="3"/>
    </row>
    <row r="50" spans="1:49" x14ac:dyDescent="0.25">
      <c r="A50" s="65"/>
      <c r="B50" s="66"/>
      <c r="C50" s="66"/>
      <c r="D50" s="67"/>
      <c r="E50" s="68"/>
      <c r="F50" s="93"/>
      <c r="G50" s="66"/>
      <c r="H50" s="69"/>
      <c r="I50" s="70"/>
      <c r="J50" s="70"/>
      <c r="K50" s="69"/>
      <c r="L50" s="72"/>
      <c r="M50" s="73">
        <v>3367.979248046875</v>
      </c>
      <c r="N50" s="73">
        <v>9842.3076171875</v>
      </c>
      <c r="O50" s="74"/>
      <c r="P50" s="75"/>
      <c r="Q50" s="75"/>
      <c r="R50" s="78">
        <f t="shared" si="0"/>
        <v>2</v>
      </c>
      <c r="S50" s="47">
        <v>1</v>
      </c>
      <c r="T50" s="47">
        <v>1</v>
      </c>
      <c r="U50" s="48">
        <v>0</v>
      </c>
      <c r="V50" s="48">
        <v>1.4989999999999999E-3</v>
      </c>
      <c r="W50" s="48">
        <v>1.4999999999999999E-4</v>
      </c>
      <c r="X50" s="49"/>
      <c r="Y50" s="48">
        <v>0</v>
      </c>
      <c r="Z50" s="48"/>
      <c r="AA50" s="71">
        <v>50</v>
      </c>
      <c r="AB50" s="71"/>
      <c r="AC50" s="116">
        <v>1</v>
      </c>
      <c r="AD50" s="76"/>
      <c r="AE50" s="76">
        <v>518</v>
      </c>
      <c r="AF50" s="76">
        <v>728</v>
      </c>
      <c r="AG50" s="76">
        <v>439</v>
      </c>
      <c r="AH50" s="76">
        <v>14</v>
      </c>
      <c r="AI50" s="76"/>
      <c r="AJ50" s="76"/>
      <c r="AK50" s="76"/>
      <c r="AL50" s="92"/>
      <c r="AM50" s="76"/>
      <c r="AN50" s="76">
        <v>40996.399328703701</v>
      </c>
      <c r="AO50" s="76" t="s">
        <v>60</v>
      </c>
      <c r="AP50" s="76"/>
      <c r="AQ50" s="92"/>
      <c r="AR50" s="76"/>
      <c r="AS50" s="2"/>
      <c r="AT50" s="3"/>
      <c r="AU50" s="3"/>
      <c r="AV50" s="3"/>
      <c r="AW50" s="3"/>
    </row>
    <row r="51" spans="1:49" x14ac:dyDescent="0.25">
      <c r="A51" s="65"/>
      <c r="B51" s="66"/>
      <c r="C51" s="66"/>
      <c r="D51" s="67"/>
      <c r="E51" s="68"/>
      <c r="F51" s="93"/>
      <c r="G51" s="66"/>
      <c r="H51" s="69"/>
      <c r="I51" s="70"/>
      <c r="J51" s="70"/>
      <c r="K51" s="69"/>
      <c r="L51" s="72"/>
      <c r="M51" s="73">
        <v>6017.4921875</v>
      </c>
      <c r="N51" s="73">
        <v>9879.7763671875</v>
      </c>
      <c r="O51" s="74"/>
      <c r="P51" s="75"/>
      <c r="Q51" s="75"/>
      <c r="R51" s="78">
        <f t="shared" si="0"/>
        <v>0</v>
      </c>
      <c r="S51" s="47"/>
      <c r="T51" s="47"/>
      <c r="U51" s="48"/>
      <c r="V51" s="48"/>
      <c r="W51" s="48"/>
      <c r="X51" s="49"/>
      <c r="Y51" s="48"/>
      <c r="Z51" s="48"/>
      <c r="AA51" s="71">
        <v>51</v>
      </c>
      <c r="AB51" s="71"/>
      <c r="AC51" s="116">
        <v>1</v>
      </c>
      <c r="AD51" s="76"/>
      <c r="AE51" s="76">
        <v>296</v>
      </c>
      <c r="AF51" s="76">
        <v>858</v>
      </c>
      <c r="AG51" s="76">
        <v>704</v>
      </c>
      <c r="AH51" s="76">
        <v>257</v>
      </c>
      <c r="AI51" s="76">
        <v>3600</v>
      </c>
      <c r="AJ51" s="76"/>
      <c r="AK51" s="76"/>
      <c r="AL51" s="92"/>
      <c r="AM51" s="76"/>
      <c r="AN51" s="76">
        <v>39910.637430555558</v>
      </c>
      <c r="AO51" s="76" t="s">
        <v>60</v>
      </c>
      <c r="AP51" s="76"/>
      <c r="AQ51" s="92"/>
      <c r="AR51" s="76"/>
      <c r="AS51" s="2"/>
      <c r="AT51" s="3"/>
      <c r="AU51" s="3"/>
      <c r="AV51" s="3"/>
      <c r="AW51" s="3"/>
    </row>
    <row r="52" spans="1:49" x14ac:dyDescent="0.25">
      <c r="A52" s="65"/>
      <c r="B52" s="66"/>
      <c r="C52" s="66"/>
      <c r="D52" s="67"/>
      <c r="E52" s="68"/>
      <c r="F52" s="93"/>
      <c r="G52" s="66"/>
      <c r="H52" s="69"/>
      <c r="I52" s="70"/>
      <c r="J52" s="70"/>
      <c r="K52" s="69"/>
      <c r="L52" s="72"/>
      <c r="M52" s="73">
        <v>3548.729736328125</v>
      </c>
      <c r="N52" s="73">
        <v>5666.52294921875</v>
      </c>
      <c r="O52" s="74"/>
      <c r="P52" s="75"/>
      <c r="Q52" s="75"/>
      <c r="R52" s="78">
        <f t="shared" si="0"/>
        <v>16</v>
      </c>
      <c r="S52" s="47">
        <v>9</v>
      </c>
      <c r="T52" s="47">
        <v>7</v>
      </c>
      <c r="U52" s="48">
        <v>11.121537999999999</v>
      </c>
      <c r="V52" s="48">
        <v>2.137E-3</v>
      </c>
      <c r="W52" s="48">
        <v>5.2639999999999996E-3</v>
      </c>
      <c r="X52" s="49"/>
      <c r="Y52" s="48">
        <v>0.41025641025641024</v>
      </c>
      <c r="Z52" s="48"/>
      <c r="AA52" s="71">
        <v>52</v>
      </c>
      <c r="AB52" s="71"/>
      <c r="AC52" s="116">
        <v>1</v>
      </c>
      <c r="AD52" s="76"/>
      <c r="AE52" s="76">
        <v>984</v>
      </c>
      <c r="AF52" s="76">
        <v>4688</v>
      </c>
      <c r="AG52" s="76">
        <v>8802</v>
      </c>
      <c r="AH52" s="76">
        <v>4947</v>
      </c>
      <c r="AI52" s="76">
        <v>7200</v>
      </c>
      <c r="AJ52" s="76"/>
      <c r="AK52" s="76"/>
      <c r="AL52" s="92"/>
      <c r="AM52" s="76"/>
      <c r="AN52" s="76">
        <v>41127.552349537036</v>
      </c>
      <c r="AO52" s="76" t="s">
        <v>60</v>
      </c>
      <c r="AP52" s="76"/>
      <c r="AQ52" s="92"/>
      <c r="AR52" s="76"/>
      <c r="AS52" s="2"/>
      <c r="AT52" s="3"/>
      <c r="AU52" s="3"/>
      <c r="AV52" s="3"/>
      <c r="AW52" s="3"/>
    </row>
    <row r="53" spans="1:49" x14ac:dyDescent="0.25">
      <c r="A53" s="65"/>
      <c r="B53" s="66"/>
      <c r="C53" s="66"/>
      <c r="D53" s="67"/>
      <c r="E53" s="68"/>
      <c r="F53" s="93"/>
      <c r="G53" s="66"/>
      <c r="H53" s="69"/>
      <c r="I53" s="70"/>
      <c r="J53" s="70"/>
      <c r="K53" s="69"/>
      <c r="L53" s="72"/>
      <c r="M53" s="73"/>
      <c r="N53" s="73"/>
      <c r="O53" s="74"/>
      <c r="P53" s="75"/>
      <c r="Q53" s="75"/>
      <c r="R53" s="78">
        <f t="shared" si="0"/>
        <v>0</v>
      </c>
      <c r="S53" s="47"/>
      <c r="T53" s="47"/>
      <c r="U53" s="48"/>
      <c r="V53" s="48"/>
      <c r="W53" s="48"/>
      <c r="X53" s="49"/>
      <c r="Y53" s="48"/>
      <c r="Z53" s="48"/>
      <c r="AA53" s="71">
        <v>53</v>
      </c>
      <c r="AB53" s="71"/>
      <c r="AC53" s="116">
        <v>1</v>
      </c>
      <c r="AD53" s="76"/>
      <c r="AE53" s="76">
        <v>469</v>
      </c>
      <c r="AF53" s="76">
        <v>52</v>
      </c>
      <c r="AG53" s="76">
        <v>25</v>
      </c>
      <c r="AH53" s="76">
        <v>14</v>
      </c>
      <c r="AI53" s="76"/>
      <c r="AJ53" s="76"/>
      <c r="AK53" s="76"/>
      <c r="AL53" s="76"/>
      <c r="AM53" s="76"/>
      <c r="AN53" s="76">
        <v>41915.375173611108</v>
      </c>
      <c r="AO53" s="76" t="s">
        <v>60</v>
      </c>
      <c r="AP53" s="76"/>
      <c r="AQ53" s="92"/>
      <c r="AR53" s="76"/>
      <c r="AS53" s="2"/>
      <c r="AT53" s="3"/>
      <c r="AU53" s="3"/>
      <c r="AV53" s="3"/>
      <c r="AW53" s="3"/>
    </row>
    <row r="54" spans="1:49" x14ac:dyDescent="0.25">
      <c r="A54" s="65"/>
      <c r="B54" s="66"/>
      <c r="C54" s="66"/>
      <c r="D54" s="67"/>
      <c r="E54" s="68"/>
      <c r="F54" s="93"/>
      <c r="G54" s="66"/>
      <c r="H54" s="69"/>
      <c r="I54" s="70"/>
      <c r="J54" s="70"/>
      <c r="K54" s="69"/>
      <c r="L54" s="72"/>
      <c r="M54" s="73">
        <v>7013.53515625</v>
      </c>
      <c r="N54" s="73">
        <v>2063.41552734375</v>
      </c>
      <c r="O54" s="74"/>
      <c r="P54" s="75"/>
      <c r="Q54" s="75"/>
      <c r="R54" s="78">
        <f t="shared" si="0"/>
        <v>6</v>
      </c>
      <c r="S54" s="47">
        <v>4</v>
      </c>
      <c r="T54" s="47">
        <v>2</v>
      </c>
      <c r="U54" s="48">
        <v>3.1950289999999999</v>
      </c>
      <c r="V54" s="48">
        <v>1.9189999999999999E-3</v>
      </c>
      <c r="W54" s="48">
        <v>1.593E-3</v>
      </c>
      <c r="X54" s="49"/>
      <c r="Y54" s="48">
        <v>0.5</v>
      </c>
      <c r="Z54" s="48"/>
      <c r="AA54" s="71">
        <v>54</v>
      </c>
      <c r="AB54" s="71"/>
      <c r="AC54" s="116">
        <v>1</v>
      </c>
      <c r="AD54" s="76"/>
      <c r="AE54" s="76">
        <v>311</v>
      </c>
      <c r="AF54" s="76">
        <v>1091</v>
      </c>
      <c r="AG54" s="76">
        <v>630</v>
      </c>
      <c r="AH54" s="76">
        <v>94</v>
      </c>
      <c r="AI54" s="76">
        <v>7200</v>
      </c>
      <c r="AJ54" s="76"/>
      <c r="AK54" s="76"/>
      <c r="AL54" s="92"/>
      <c r="AM54" s="76"/>
      <c r="AN54" s="76">
        <v>41025.454745370371</v>
      </c>
      <c r="AO54" s="76" t="s">
        <v>60</v>
      </c>
      <c r="AP54" s="76"/>
      <c r="AQ54" s="92"/>
      <c r="AR54" s="76"/>
      <c r="AS54" s="2"/>
      <c r="AT54" s="3"/>
      <c r="AU54" s="3"/>
      <c r="AV54" s="3"/>
      <c r="AW54" s="3"/>
    </row>
    <row r="55" spans="1:49" x14ac:dyDescent="0.25">
      <c r="A55" s="65"/>
      <c r="B55" s="66"/>
      <c r="C55" s="66"/>
      <c r="D55" s="67"/>
      <c r="E55" s="68"/>
      <c r="F55" s="93"/>
      <c r="G55" s="66"/>
      <c r="H55" s="69"/>
      <c r="I55" s="70"/>
      <c r="J55" s="70"/>
      <c r="K55" s="69"/>
      <c r="L55" s="72"/>
      <c r="M55" s="73">
        <v>2870.99951171875</v>
      </c>
      <c r="N55" s="73">
        <v>6094.45654296875</v>
      </c>
      <c r="O55" s="74"/>
      <c r="P55" s="75"/>
      <c r="Q55" s="75"/>
      <c r="R55" s="78">
        <f t="shared" si="0"/>
        <v>8</v>
      </c>
      <c r="S55" s="47">
        <v>5</v>
      </c>
      <c r="T55" s="47">
        <v>3</v>
      </c>
      <c r="U55" s="48">
        <v>0.96931699999999998</v>
      </c>
      <c r="V55" s="48">
        <v>2.0449999999999999E-3</v>
      </c>
      <c r="W55" s="48">
        <v>3.3400000000000001E-3</v>
      </c>
      <c r="X55" s="49"/>
      <c r="Y55" s="48">
        <v>0.6428571428571429</v>
      </c>
      <c r="Z55" s="48"/>
      <c r="AA55" s="71">
        <v>55</v>
      </c>
      <c r="AB55" s="71"/>
      <c r="AC55" s="116">
        <v>1</v>
      </c>
      <c r="AD55" s="76"/>
      <c r="AE55" s="76">
        <v>1316</v>
      </c>
      <c r="AF55" s="76">
        <v>14431</v>
      </c>
      <c r="AG55" s="76">
        <v>3629</v>
      </c>
      <c r="AH55" s="76">
        <v>332</v>
      </c>
      <c r="AI55" s="76">
        <v>3600</v>
      </c>
      <c r="AJ55" s="76"/>
      <c r="AK55" s="76"/>
      <c r="AL55" s="92"/>
      <c r="AM55" s="76"/>
      <c r="AN55" s="76">
        <v>39759.425104166665</v>
      </c>
      <c r="AO55" s="76" t="s">
        <v>60</v>
      </c>
      <c r="AP55" s="76"/>
      <c r="AQ55" s="92"/>
      <c r="AR55" s="76"/>
      <c r="AS55" s="2"/>
      <c r="AT55" s="3"/>
      <c r="AU55" s="3"/>
      <c r="AV55" s="3"/>
      <c r="AW55" s="3"/>
    </row>
    <row r="56" spans="1:49" x14ac:dyDescent="0.25">
      <c r="A56" s="65"/>
      <c r="B56" s="66"/>
      <c r="C56" s="66"/>
      <c r="D56" s="67"/>
      <c r="E56" s="68"/>
      <c r="F56" s="93"/>
      <c r="G56" s="66"/>
      <c r="H56" s="69"/>
      <c r="I56" s="70"/>
      <c r="J56" s="70"/>
      <c r="K56" s="69"/>
      <c r="L56" s="72"/>
      <c r="M56" s="73">
        <v>3982.59228515625</v>
      </c>
      <c r="N56" s="73">
        <v>4877.78857421875</v>
      </c>
      <c r="O56" s="74"/>
      <c r="P56" s="75"/>
      <c r="Q56" s="75"/>
      <c r="R56" s="78">
        <f t="shared" si="0"/>
        <v>30</v>
      </c>
      <c r="S56" s="47">
        <v>7</v>
      </c>
      <c r="T56" s="47">
        <v>23</v>
      </c>
      <c r="U56" s="48">
        <v>259.37008700000001</v>
      </c>
      <c r="V56" s="48">
        <v>2.336E-3</v>
      </c>
      <c r="W56" s="48">
        <v>8.6840000000000007E-3</v>
      </c>
      <c r="X56" s="49"/>
      <c r="Y56" s="48">
        <v>0.27692307692307694</v>
      </c>
      <c r="Z56" s="48"/>
      <c r="AA56" s="71">
        <v>56</v>
      </c>
      <c r="AB56" s="71"/>
      <c r="AC56" s="116">
        <v>1</v>
      </c>
      <c r="AD56" s="76"/>
      <c r="AE56" s="76">
        <v>985</v>
      </c>
      <c r="AF56" s="76">
        <v>3423</v>
      </c>
      <c r="AG56" s="76">
        <v>12800</v>
      </c>
      <c r="AH56" s="76">
        <v>2840</v>
      </c>
      <c r="AI56" s="76"/>
      <c r="AJ56" s="76"/>
      <c r="AK56" s="76"/>
      <c r="AL56" s="92"/>
      <c r="AM56" s="76"/>
      <c r="AN56" s="76">
        <v>40716.407719907409</v>
      </c>
      <c r="AO56" s="76" t="s">
        <v>60</v>
      </c>
      <c r="AP56" s="76"/>
      <c r="AQ56" s="92"/>
      <c r="AR56" s="76"/>
      <c r="AS56" s="2"/>
      <c r="AT56" s="3"/>
      <c r="AU56" s="3"/>
      <c r="AV56" s="3"/>
      <c r="AW56" s="3"/>
    </row>
    <row r="57" spans="1:49" x14ac:dyDescent="0.25">
      <c r="A57" s="65"/>
      <c r="B57" s="66"/>
      <c r="C57" s="66"/>
      <c r="D57" s="67"/>
      <c r="E57" s="68"/>
      <c r="F57" s="93"/>
      <c r="G57" s="66"/>
      <c r="H57" s="69"/>
      <c r="I57" s="70"/>
      <c r="J57" s="70"/>
      <c r="K57" s="69"/>
      <c r="L57" s="72"/>
      <c r="M57" s="73">
        <v>5253.01025390625</v>
      </c>
      <c r="N57" s="73">
        <v>2331.811767578125</v>
      </c>
      <c r="O57" s="74"/>
      <c r="P57" s="75"/>
      <c r="Q57" s="75"/>
      <c r="R57" s="78">
        <f t="shared" si="0"/>
        <v>11</v>
      </c>
      <c r="S57" s="47">
        <v>6</v>
      </c>
      <c r="T57" s="47">
        <v>5</v>
      </c>
      <c r="U57" s="48">
        <v>23.389997999999999</v>
      </c>
      <c r="V57" s="48">
        <v>2.1189999999999998E-3</v>
      </c>
      <c r="W57" s="48">
        <v>3.1340000000000001E-3</v>
      </c>
      <c r="X57" s="49"/>
      <c r="Y57" s="48">
        <v>0.41666666666666669</v>
      </c>
      <c r="Z57" s="48"/>
      <c r="AA57" s="71">
        <v>57</v>
      </c>
      <c r="AB57" s="71"/>
      <c r="AC57" s="116">
        <v>1</v>
      </c>
      <c r="AD57" s="76"/>
      <c r="AE57" s="76">
        <v>330</v>
      </c>
      <c r="AF57" s="76">
        <v>1292</v>
      </c>
      <c r="AG57" s="76">
        <v>387</v>
      </c>
      <c r="AH57" s="76">
        <v>82</v>
      </c>
      <c r="AI57" s="76">
        <v>3600</v>
      </c>
      <c r="AJ57" s="76"/>
      <c r="AK57" s="76"/>
      <c r="AL57" s="92"/>
      <c r="AM57" s="76"/>
      <c r="AN57" s="76">
        <v>40520.659942129627</v>
      </c>
      <c r="AO57" s="76" t="s">
        <v>60</v>
      </c>
      <c r="AP57" s="76"/>
      <c r="AQ57" s="92"/>
      <c r="AR57" s="76"/>
      <c r="AS57" s="2"/>
      <c r="AT57" s="3"/>
      <c r="AU57" s="3"/>
      <c r="AV57" s="3"/>
      <c r="AW57" s="3"/>
    </row>
    <row r="58" spans="1:49" x14ac:dyDescent="0.25">
      <c r="A58" s="65"/>
      <c r="B58" s="66"/>
      <c r="C58" s="66"/>
      <c r="D58" s="67"/>
      <c r="E58" s="68"/>
      <c r="F58" s="93"/>
      <c r="G58" s="66"/>
      <c r="H58" s="69"/>
      <c r="I58" s="70"/>
      <c r="J58" s="70"/>
      <c r="K58" s="69"/>
      <c r="L58" s="72"/>
      <c r="M58" s="73">
        <v>5506.3984375</v>
      </c>
      <c r="N58" s="73">
        <v>119.22346496582031</v>
      </c>
      <c r="O58" s="74"/>
      <c r="P58" s="75"/>
      <c r="Q58" s="75"/>
      <c r="R58" s="78">
        <f t="shared" si="0"/>
        <v>2</v>
      </c>
      <c r="S58" s="47">
        <v>1</v>
      </c>
      <c r="T58" s="47">
        <v>1</v>
      </c>
      <c r="U58" s="48">
        <v>0</v>
      </c>
      <c r="V58" s="48">
        <v>1.5900000000000001E-3</v>
      </c>
      <c r="W58" s="48">
        <v>2.61E-4</v>
      </c>
      <c r="X58" s="49"/>
      <c r="Y58" s="48">
        <v>0</v>
      </c>
      <c r="Z58" s="48"/>
      <c r="AA58" s="71">
        <v>58</v>
      </c>
      <c r="AB58" s="71"/>
      <c r="AC58" s="116">
        <v>1</v>
      </c>
      <c r="AD58" s="76"/>
      <c r="AE58" s="76">
        <v>570</v>
      </c>
      <c r="AF58" s="76">
        <v>3783</v>
      </c>
      <c r="AG58" s="76">
        <v>6222</v>
      </c>
      <c r="AH58" s="76">
        <v>2086</v>
      </c>
      <c r="AI58" s="76">
        <v>3600</v>
      </c>
      <c r="AJ58" s="76"/>
      <c r="AK58" s="76"/>
      <c r="AL58" s="92"/>
      <c r="AM58" s="76"/>
      <c r="AN58" s="76">
        <v>41439.350162037037</v>
      </c>
      <c r="AO58" s="76" t="s">
        <v>60</v>
      </c>
      <c r="AP58" s="76"/>
      <c r="AQ58" s="92"/>
      <c r="AR58" s="76"/>
      <c r="AS58" s="2"/>
      <c r="AT58" s="3"/>
      <c r="AU58" s="3"/>
      <c r="AV58" s="3"/>
      <c r="AW58" s="3"/>
    </row>
    <row r="59" spans="1:49" x14ac:dyDescent="0.25">
      <c r="A59" s="65"/>
      <c r="B59" s="66"/>
      <c r="C59" s="66"/>
      <c r="D59" s="67"/>
      <c r="E59" s="68"/>
      <c r="F59" s="93"/>
      <c r="G59" s="66"/>
      <c r="H59" s="69"/>
      <c r="I59" s="70"/>
      <c r="J59" s="70"/>
      <c r="K59" s="69"/>
      <c r="L59" s="72"/>
      <c r="M59" s="73">
        <v>5801.0361328125</v>
      </c>
      <c r="N59" s="73">
        <v>5128.08056640625</v>
      </c>
      <c r="O59" s="74"/>
      <c r="P59" s="75"/>
      <c r="Q59" s="75"/>
      <c r="R59" s="78">
        <f t="shared" si="0"/>
        <v>46</v>
      </c>
      <c r="S59" s="47">
        <v>11</v>
      </c>
      <c r="T59" s="47">
        <v>35</v>
      </c>
      <c r="U59" s="48">
        <v>437.94289199999997</v>
      </c>
      <c r="V59" s="48">
        <v>2.4390000000000002E-3</v>
      </c>
      <c r="W59" s="48">
        <v>1.2489999999999999E-2</v>
      </c>
      <c r="X59" s="49"/>
      <c r="Y59" s="48">
        <v>0.28650793650793649</v>
      </c>
      <c r="Z59" s="48"/>
      <c r="AA59" s="71">
        <v>59</v>
      </c>
      <c r="AB59" s="71"/>
      <c r="AC59" s="116">
        <v>1</v>
      </c>
      <c r="AD59" s="76"/>
      <c r="AE59" s="76">
        <v>1488</v>
      </c>
      <c r="AF59" s="76">
        <v>1051</v>
      </c>
      <c r="AG59" s="76">
        <v>4415</v>
      </c>
      <c r="AH59" s="76">
        <v>527</v>
      </c>
      <c r="AI59" s="76">
        <v>3600</v>
      </c>
      <c r="AJ59" s="76"/>
      <c r="AK59" s="76"/>
      <c r="AL59" s="92"/>
      <c r="AM59" s="76"/>
      <c r="AN59" s="76">
        <v>41702.598530092589</v>
      </c>
      <c r="AO59" s="76" t="s">
        <v>60</v>
      </c>
      <c r="AP59" s="76"/>
      <c r="AQ59" s="92"/>
      <c r="AR59" s="76"/>
      <c r="AS59" s="2"/>
      <c r="AT59" s="3"/>
      <c r="AU59" s="3"/>
      <c r="AV59" s="3"/>
      <c r="AW59" s="3"/>
    </row>
    <row r="60" spans="1:49" x14ac:dyDescent="0.25">
      <c r="A60" s="65"/>
      <c r="B60" s="66"/>
      <c r="C60" s="66"/>
      <c r="D60" s="67"/>
      <c r="E60" s="68"/>
      <c r="F60" s="93"/>
      <c r="G60" s="66"/>
      <c r="H60" s="69"/>
      <c r="I60" s="70"/>
      <c r="J60" s="70"/>
      <c r="K60" s="69"/>
      <c r="L60" s="72"/>
      <c r="M60" s="73">
        <v>2807.511962890625</v>
      </c>
      <c r="N60" s="73">
        <v>5563.31201171875</v>
      </c>
      <c r="O60" s="74"/>
      <c r="P60" s="75"/>
      <c r="Q60" s="75"/>
      <c r="R60" s="78">
        <f t="shared" si="0"/>
        <v>10</v>
      </c>
      <c r="S60" s="47">
        <v>8</v>
      </c>
      <c r="T60" s="47">
        <v>2</v>
      </c>
      <c r="U60" s="48">
        <v>43.577987</v>
      </c>
      <c r="V60" s="48">
        <v>2.0119999999999999E-3</v>
      </c>
      <c r="W60" s="48">
        <v>2.1320000000000002E-3</v>
      </c>
      <c r="X60" s="49"/>
      <c r="Y60" s="48">
        <v>0.2857142857142857</v>
      </c>
      <c r="Z60" s="48"/>
      <c r="AA60" s="71">
        <v>60</v>
      </c>
      <c r="AB60" s="71"/>
      <c r="AC60" s="116">
        <v>1</v>
      </c>
      <c r="AD60" s="76"/>
      <c r="AE60" s="76">
        <v>111</v>
      </c>
      <c r="AF60" s="76">
        <v>2249</v>
      </c>
      <c r="AG60" s="76">
        <v>1588</v>
      </c>
      <c r="AH60" s="76">
        <v>1192</v>
      </c>
      <c r="AI60" s="76">
        <v>3600</v>
      </c>
      <c r="AJ60" s="76"/>
      <c r="AK60" s="76"/>
      <c r="AL60" s="92"/>
      <c r="AM60" s="76"/>
      <c r="AN60" s="76">
        <v>40925.693460648145</v>
      </c>
      <c r="AO60" s="76" t="s">
        <v>60</v>
      </c>
      <c r="AP60" s="76"/>
      <c r="AQ60" s="92"/>
      <c r="AR60" s="76"/>
      <c r="AS60" s="2"/>
      <c r="AT60" s="3"/>
      <c r="AU60" s="3"/>
      <c r="AV60" s="3"/>
      <c r="AW60" s="3"/>
    </row>
    <row r="61" spans="1:49" x14ac:dyDescent="0.25">
      <c r="A61" s="65"/>
      <c r="B61" s="66"/>
      <c r="C61" s="66"/>
      <c r="D61" s="67"/>
      <c r="E61" s="68"/>
      <c r="F61" s="93"/>
      <c r="G61" s="66"/>
      <c r="H61" s="69"/>
      <c r="I61" s="70"/>
      <c r="J61" s="70"/>
      <c r="K61" s="69"/>
      <c r="L61" s="72"/>
      <c r="M61" s="73">
        <v>7387.02001953125</v>
      </c>
      <c r="N61" s="73">
        <v>8463.16796875</v>
      </c>
      <c r="O61" s="74"/>
      <c r="P61" s="75"/>
      <c r="Q61" s="75"/>
      <c r="R61" s="78">
        <f t="shared" si="0"/>
        <v>3</v>
      </c>
      <c r="S61" s="47">
        <v>1</v>
      </c>
      <c r="T61" s="47">
        <v>2</v>
      </c>
      <c r="U61" s="48">
        <v>29.143832</v>
      </c>
      <c r="V61" s="48">
        <v>1.678E-3</v>
      </c>
      <c r="W61" s="48">
        <v>5.6700000000000001E-4</v>
      </c>
      <c r="X61" s="49"/>
      <c r="Y61" s="48">
        <v>0</v>
      </c>
      <c r="Z61" s="48"/>
      <c r="AA61" s="71">
        <v>61</v>
      </c>
      <c r="AB61" s="71"/>
      <c r="AC61" s="116">
        <v>1</v>
      </c>
      <c r="AD61" s="76"/>
      <c r="AE61" s="76">
        <v>76</v>
      </c>
      <c r="AF61" s="76">
        <v>1945</v>
      </c>
      <c r="AG61" s="76">
        <v>3966</v>
      </c>
      <c r="AH61" s="76">
        <v>376</v>
      </c>
      <c r="AI61" s="76">
        <v>3600</v>
      </c>
      <c r="AJ61" s="76"/>
      <c r="AK61" s="76"/>
      <c r="AL61" s="92"/>
      <c r="AM61" s="76"/>
      <c r="AN61" s="76">
        <v>40235.839178240742</v>
      </c>
      <c r="AO61" s="76" t="s">
        <v>60</v>
      </c>
      <c r="AP61" s="76"/>
      <c r="AQ61" s="92"/>
      <c r="AR61" s="76"/>
      <c r="AS61" s="2"/>
      <c r="AT61" s="3"/>
      <c r="AU61" s="3"/>
      <c r="AV61" s="3"/>
      <c r="AW61" s="3"/>
    </row>
    <row r="62" spans="1:49" x14ac:dyDescent="0.25">
      <c r="A62" s="65"/>
      <c r="B62" s="66"/>
      <c r="C62" s="66"/>
      <c r="D62" s="67"/>
      <c r="E62" s="68"/>
      <c r="F62" s="93"/>
      <c r="G62" s="66"/>
      <c r="H62" s="69"/>
      <c r="I62" s="70"/>
      <c r="J62" s="70"/>
      <c r="K62" s="69"/>
      <c r="L62" s="72"/>
      <c r="M62" s="73">
        <v>6610.82080078125</v>
      </c>
      <c r="N62" s="73">
        <v>5651.4521484375</v>
      </c>
      <c r="O62" s="74"/>
      <c r="P62" s="75"/>
      <c r="Q62" s="75"/>
      <c r="R62" s="78">
        <f t="shared" si="0"/>
        <v>32</v>
      </c>
      <c r="S62" s="47">
        <v>19</v>
      </c>
      <c r="T62" s="47">
        <v>13</v>
      </c>
      <c r="U62" s="48">
        <v>180.78979799999999</v>
      </c>
      <c r="V62" s="48">
        <v>2.3149999999999998E-3</v>
      </c>
      <c r="W62" s="48">
        <v>7.9039999999999996E-3</v>
      </c>
      <c r="X62" s="49"/>
      <c r="Y62" s="48">
        <v>0.26284584980237152</v>
      </c>
      <c r="Z62" s="48"/>
      <c r="AA62" s="71">
        <v>62</v>
      </c>
      <c r="AB62" s="71"/>
      <c r="AC62" s="116">
        <v>1</v>
      </c>
      <c r="AD62" s="76"/>
      <c r="AE62" s="76">
        <v>2090</v>
      </c>
      <c r="AF62" s="76">
        <v>5659</v>
      </c>
      <c r="AG62" s="76">
        <v>6365</v>
      </c>
      <c r="AH62" s="76">
        <v>1067</v>
      </c>
      <c r="AI62" s="76">
        <v>7200</v>
      </c>
      <c r="AJ62" s="76"/>
      <c r="AK62" s="76"/>
      <c r="AL62" s="92"/>
      <c r="AM62" s="76"/>
      <c r="AN62" s="76">
        <v>40505.389664351853</v>
      </c>
      <c r="AO62" s="76" t="s">
        <v>60</v>
      </c>
      <c r="AP62" s="76"/>
      <c r="AQ62" s="92"/>
      <c r="AR62" s="76"/>
      <c r="AS62" s="2"/>
      <c r="AT62" s="3"/>
      <c r="AU62" s="3"/>
      <c r="AV62" s="3"/>
      <c r="AW62" s="3"/>
    </row>
    <row r="63" spans="1:49" x14ac:dyDescent="0.25">
      <c r="A63" s="65"/>
      <c r="B63" s="66"/>
      <c r="C63" s="66"/>
      <c r="D63" s="67"/>
      <c r="E63" s="68"/>
      <c r="F63" s="93"/>
      <c r="G63" s="66"/>
      <c r="H63" s="69"/>
      <c r="I63" s="70"/>
      <c r="J63" s="70"/>
      <c r="K63" s="69"/>
      <c r="L63" s="72"/>
      <c r="M63" s="73">
        <v>3825.854248046875</v>
      </c>
      <c r="N63" s="73">
        <v>5319.3544921875</v>
      </c>
      <c r="O63" s="74"/>
      <c r="P63" s="75"/>
      <c r="Q63" s="75"/>
      <c r="R63" s="78">
        <f t="shared" si="0"/>
        <v>26</v>
      </c>
      <c r="S63" s="47">
        <v>11</v>
      </c>
      <c r="T63" s="47">
        <v>15</v>
      </c>
      <c r="U63" s="48">
        <v>63.291927999999999</v>
      </c>
      <c r="V63" s="48">
        <v>2.1549999999999998E-3</v>
      </c>
      <c r="W63" s="48">
        <v>6.13E-3</v>
      </c>
      <c r="X63" s="49"/>
      <c r="Y63" s="48">
        <v>0.32679738562091504</v>
      </c>
      <c r="Z63" s="48"/>
      <c r="AA63" s="71">
        <v>63</v>
      </c>
      <c r="AB63" s="71"/>
      <c r="AC63" s="116">
        <v>1</v>
      </c>
      <c r="AD63" s="76"/>
      <c r="AE63" s="76">
        <v>534</v>
      </c>
      <c r="AF63" s="76">
        <v>3351</v>
      </c>
      <c r="AG63" s="76">
        <v>2884</v>
      </c>
      <c r="AH63" s="76">
        <v>420</v>
      </c>
      <c r="AI63" s="76">
        <v>3600</v>
      </c>
      <c r="AJ63" s="76"/>
      <c r="AK63" s="76"/>
      <c r="AL63" s="92"/>
      <c r="AM63" s="76"/>
      <c r="AN63" s="76">
        <v>40632.604097222225</v>
      </c>
      <c r="AO63" s="76" t="s">
        <v>60</v>
      </c>
      <c r="AP63" s="76"/>
      <c r="AQ63" s="92"/>
      <c r="AR63" s="76"/>
      <c r="AS63" s="2"/>
      <c r="AT63" s="3"/>
      <c r="AU63" s="3"/>
      <c r="AV63" s="3"/>
      <c r="AW63" s="3"/>
    </row>
    <row r="64" spans="1:49" x14ac:dyDescent="0.25">
      <c r="A64" s="65"/>
      <c r="B64" s="66"/>
      <c r="C64" s="66"/>
      <c r="D64" s="67"/>
      <c r="E64" s="68"/>
      <c r="F64" s="93"/>
      <c r="G64" s="66"/>
      <c r="H64" s="69"/>
      <c r="I64" s="70"/>
      <c r="J64" s="70"/>
      <c r="K64" s="69"/>
      <c r="L64" s="72"/>
      <c r="M64" s="73">
        <v>5651.18701171875</v>
      </c>
      <c r="N64" s="73">
        <v>5781.03564453125</v>
      </c>
      <c r="O64" s="74"/>
      <c r="P64" s="75"/>
      <c r="Q64" s="75"/>
      <c r="R64" s="78">
        <f t="shared" si="0"/>
        <v>59</v>
      </c>
      <c r="S64" s="47">
        <v>27</v>
      </c>
      <c r="T64" s="47">
        <v>32</v>
      </c>
      <c r="U64" s="48">
        <v>640.71054400000003</v>
      </c>
      <c r="V64" s="48">
        <v>2.4450000000000001E-3</v>
      </c>
      <c r="W64" s="48">
        <v>1.2579E-2</v>
      </c>
      <c r="X64" s="49"/>
      <c r="Y64" s="48">
        <v>0.23910256410256411</v>
      </c>
      <c r="Z64" s="48"/>
      <c r="AA64" s="71">
        <v>64</v>
      </c>
      <c r="AB64" s="71"/>
      <c r="AC64" s="116">
        <v>1</v>
      </c>
      <c r="AD64" s="76"/>
      <c r="AE64" s="76">
        <v>1718</v>
      </c>
      <c r="AF64" s="76">
        <v>6354</v>
      </c>
      <c r="AG64" s="76">
        <v>3198</v>
      </c>
      <c r="AH64" s="76">
        <v>671</v>
      </c>
      <c r="AI64" s="76">
        <v>3600</v>
      </c>
      <c r="AJ64" s="76"/>
      <c r="AK64" s="76"/>
      <c r="AL64" s="92"/>
      <c r="AM64" s="76"/>
      <c r="AN64" s="76">
        <v>40730.398240740738</v>
      </c>
      <c r="AO64" s="76" t="s">
        <v>60</v>
      </c>
      <c r="AP64" s="76"/>
      <c r="AQ64" s="92"/>
      <c r="AR64" s="76"/>
      <c r="AS64" s="2"/>
      <c r="AT64" s="3"/>
      <c r="AU64" s="3"/>
      <c r="AV64" s="3"/>
      <c r="AW64" s="3"/>
    </row>
    <row r="65" spans="1:49" x14ac:dyDescent="0.25">
      <c r="A65" s="65"/>
      <c r="B65" s="66"/>
      <c r="C65" s="66"/>
      <c r="D65" s="67"/>
      <c r="E65" s="68"/>
      <c r="F65" s="93"/>
      <c r="G65" s="66"/>
      <c r="H65" s="69"/>
      <c r="I65" s="70"/>
      <c r="J65" s="70"/>
      <c r="K65" s="69"/>
      <c r="L65" s="72"/>
      <c r="M65" s="73">
        <v>3301.25146484375</v>
      </c>
      <c r="N65" s="73">
        <v>1401.9232177734375</v>
      </c>
      <c r="O65" s="74"/>
      <c r="P65" s="75"/>
      <c r="Q65" s="75"/>
      <c r="R65" s="78">
        <f t="shared" si="0"/>
        <v>0</v>
      </c>
      <c r="S65" s="47"/>
      <c r="T65" s="47"/>
      <c r="U65" s="48"/>
      <c r="V65" s="48"/>
      <c r="W65" s="48"/>
      <c r="X65" s="49"/>
      <c r="Y65" s="48"/>
      <c r="Z65" s="48"/>
      <c r="AA65" s="71">
        <v>65</v>
      </c>
      <c r="AB65" s="71"/>
      <c r="AC65" s="116">
        <v>1</v>
      </c>
      <c r="AD65" s="76"/>
      <c r="AE65" s="76">
        <v>2621</v>
      </c>
      <c r="AF65" s="76">
        <v>1841</v>
      </c>
      <c r="AG65" s="76">
        <v>4653</v>
      </c>
      <c r="AH65" s="76">
        <v>328</v>
      </c>
      <c r="AI65" s="76">
        <v>3600</v>
      </c>
      <c r="AJ65" s="76"/>
      <c r="AK65" s="76"/>
      <c r="AL65" s="92"/>
      <c r="AM65" s="76"/>
      <c r="AN65" s="76">
        <v>39924.923263888886</v>
      </c>
      <c r="AO65" s="76" t="s">
        <v>60</v>
      </c>
      <c r="AP65" s="76"/>
      <c r="AQ65" s="92"/>
      <c r="AR65" s="76"/>
      <c r="AS65" s="2"/>
      <c r="AT65" s="3"/>
      <c r="AU65" s="3"/>
      <c r="AV65" s="3"/>
      <c r="AW65" s="3"/>
    </row>
    <row r="66" spans="1:49" x14ac:dyDescent="0.25">
      <c r="A66" s="65"/>
      <c r="B66" s="66"/>
      <c r="C66" s="66"/>
      <c r="D66" s="67"/>
      <c r="E66" s="68"/>
      <c r="F66" s="93"/>
      <c r="G66" s="66"/>
      <c r="H66" s="69"/>
      <c r="I66" s="70"/>
      <c r="J66" s="70"/>
      <c r="K66" s="69"/>
      <c r="L66" s="72"/>
      <c r="M66" s="73">
        <v>5525.626953125</v>
      </c>
      <c r="N66" s="73">
        <v>4156.74365234375</v>
      </c>
      <c r="O66" s="74"/>
      <c r="P66" s="75"/>
      <c r="Q66" s="75"/>
      <c r="R66" s="78">
        <f t="shared" si="0"/>
        <v>25</v>
      </c>
      <c r="S66" s="47">
        <v>14</v>
      </c>
      <c r="T66" s="47">
        <v>11</v>
      </c>
      <c r="U66" s="48">
        <v>158.86786699999999</v>
      </c>
      <c r="V66" s="48">
        <v>2.2989999999999998E-3</v>
      </c>
      <c r="W66" s="48">
        <v>7.4660000000000004E-3</v>
      </c>
      <c r="X66" s="49"/>
      <c r="Y66" s="48">
        <v>0.32105263157894737</v>
      </c>
      <c r="Z66" s="48"/>
      <c r="AA66" s="71">
        <v>66</v>
      </c>
      <c r="AB66" s="71"/>
      <c r="AC66" s="116">
        <v>1</v>
      </c>
      <c r="AD66" s="76"/>
      <c r="AE66" s="76">
        <v>1455</v>
      </c>
      <c r="AF66" s="76">
        <v>3202</v>
      </c>
      <c r="AG66" s="76">
        <v>2533</v>
      </c>
      <c r="AH66" s="76">
        <v>522</v>
      </c>
      <c r="AI66" s="76">
        <v>3600</v>
      </c>
      <c r="AJ66" s="76"/>
      <c r="AK66" s="76"/>
      <c r="AL66" s="92"/>
      <c r="AM66" s="76"/>
      <c r="AN66" s="76">
        <v>40535.435949074075</v>
      </c>
      <c r="AO66" s="76" t="s">
        <v>60</v>
      </c>
      <c r="AP66" s="76"/>
      <c r="AQ66" s="92"/>
      <c r="AR66" s="76"/>
      <c r="AS66" s="2"/>
      <c r="AT66" s="3"/>
      <c r="AU66" s="3"/>
      <c r="AV66" s="3"/>
      <c r="AW66" s="3"/>
    </row>
    <row r="67" spans="1:49" x14ac:dyDescent="0.25">
      <c r="A67" s="65"/>
      <c r="B67" s="66"/>
      <c r="C67" s="66"/>
      <c r="D67" s="67"/>
      <c r="E67" s="68"/>
      <c r="F67" s="93"/>
      <c r="G67" s="66"/>
      <c r="H67" s="69"/>
      <c r="I67" s="70"/>
      <c r="J67" s="70"/>
      <c r="K67" s="69"/>
      <c r="L67" s="72"/>
      <c r="M67" s="73">
        <v>145.67453002929687</v>
      </c>
      <c r="N67" s="73">
        <v>7387.70703125</v>
      </c>
      <c r="O67" s="74"/>
      <c r="P67" s="75"/>
      <c r="Q67" s="75"/>
      <c r="R67" s="78">
        <f t="shared" ref="R67:R130" si="1">S67+T67</f>
        <v>0</v>
      </c>
      <c r="S67" s="47"/>
      <c r="T67" s="47"/>
      <c r="U67" s="48"/>
      <c r="V67" s="48"/>
      <c r="W67" s="48"/>
      <c r="X67" s="49"/>
      <c r="Y67" s="48"/>
      <c r="Z67" s="48"/>
      <c r="AA67" s="71">
        <v>67</v>
      </c>
      <c r="AB67" s="71"/>
      <c r="AC67" s="116">
        <v>1</v>
      </c>
      <c r="AD67" s="76"/>
      <c r="AE67" s="76">
        <v>459</v>
      </c>
      <c r="AF67" s="76">
        <v>1464</v>
      </c>
      <c r="AG67" s="76">
        <v>1491</v>
      </c>
      <c r="AH67" s="76">
        <v>299</v>
      </c>
      <c r="AI67" s="76">
        <v>3600</v>
      </c>
      <c r="AJ67" s="76"/>
      <c r="AK67" s="76"/>
      <c r="AL67" s="92"/>
      <c r="AM67" s="76"/>
      <c r="AN67" s="76">
        <v>40361.426180555558</v>
      </c>
      <c r="AO67" s="76" t="s">
        <v>60</v>
      </c>
      <c r="AP67" s="76"/>
      <c r="AQ67" s="92"/>
      <c r="AR67" s="76"/>
      <c r="AS67" s="2"/>
      <c r="AT67" s="3"/>
      <c r="AU67" s="3"/>
      <c r="AV67" s="3"/>
      <c r="AW67" s="3"/>
    </row>
    <row r="68" spans="1:49" x14ac:dyDescent="0.25">
      <c r="A68" s="65"/>
      <c r="B68" s="66"/>
      <c r="C68" s="66"/>
      <c r="D68" s="67"/>
      <c r="E68" s="68"/>
      <c r="F68" s="93"/>
      <c r="G68" s="66"/>
      <c r="H68" s="69"/>
      <c r="I68" s="70"/>
      <c r="J68" s="70"/>
      <c r="K68" s="69"/>
      <c r="L68" s="72"/>
      <c r="M68" s="73">
        <v>7149.6064453125</v>
      </c>
      <c r="N68" s="73">
        <v>4696.4921875</v>
      </c>
      <c r="O68" s="74"/>
      <c r="P68" s="75"/>
      <c r="Q68" s="75"/>
      <c r="R68" s="78">
        <f t="shared" si="1"/>
        <v>12</v>
      </c>
      <c r="S68" s="47">
        <v>4</v>
      </c>
      <c r="T68" s="47">
        <v>8</v>
      </c>
      <c r="U68" s="48">
        <v>7.1449540000000002</v>
      </c>
      <c r="V68" s="48">
        <v>2.1510000000000001E-3</v>
      </c>
      <c r="W68" s="48">
        <v>4.0990000000000002E-3</v>
      </c>
      <c r="X68" s="49"/>
      <c r="Y68" s="48">
        <v>0.44444444444444442</v>
      </c>
      <c r="Z68" s="48"/>
      <c r="AA68" s="71">
        <v>68</v>
      </c>
      <c r="AB68" s="71"/>
      <c r="AC68" s="116">
        <v>1</v>
      </c>
      <c r="AD68" s="76"/>
      <c r="AE68" s="76">
        <v>419</v>
      </c>
      <c r="AF68" s="76">
        <v>1360</v>
      </c>
      <c r="AG68" s="76">
        <v>2495</v>
      </c>
      <c r="AH68" s="76">
        <v>1302</v>
      </c>
      <c r="AI68" s="76">
        <v>-25200</v>
      </c>
      <c r="AJ68" s="76"/>
      <c r="AK68" s="76"/>
      <c r="AL68" s="92"/>
      <c r="AM68" s="76"/>
      <c r="AN68" s="76">
        <v>41100.411747685182</v>
      </c>
      <c r="AO68" s="76" t="s">
        <v>60</v>
      </c>
      <c r="AP68" s="76"/>
      <c r="AQ68" s="92"/>
      <c r="AR68" s="76"/>
      <c r="AS68" s="2"/>
      <c r="AT68" s="3"/>
      <c r="AU68" s="3"/>
      <c r="AV68" s="3"/>
      <c r="AW68" s="3"/>
    </row>
    <row r="69" spans="1:49" x14ac:dyDescent="0.25">
      <c r="A69" s="65"/>
      <c r="B69" s="66"/>
      <c r="C69" s="66"/>
      <c r="D69" s="67"/>
      <c r="E69" s="68"/>
      <c r="F69" s="93"/>
      <c r="G69" s="66"/>
      <c r="H69" s="69"/>
      <c r="I69" s="70"/>
      <c r="J69" s="70"/>
      <c r="K69" s="69"/>
      <c r="L69" s="72"/>
      <c r="M69" s="73">
        <v>5455.5751953125</v>
      </c>
      <c r="N69" s="73">
        <v>2194.78857421875</v>
      </c>
      <c r="O69" s="74"/>
      <c r="P69" s="75"/>
      <c r="Q69" s="75"/>
      <c r="R69" s="78">
        <f t="shared" si="1"/>
        <v>8</v>
      </c>
      <c r="S69" s="47">
        <v>3</v>
      </c>
      <c r="T69" s="47">
        <v>5</v>
      </c>
      <c r="U69" s="48">
        <v>8.6684210000000004</v>
      </c>
      <c r="V69" s="48">
        <v>2.0830000000000002E-3</v>
      </c>
      <c r="W69" s="48">
        <v>2.3549999999999999E-3</v>
      </c>
      <c r="X69" s="49"/>
      <c r="Y69" s="48">
        <v>0.33333333333333331</v>
      </c>
      <c r="Z69" s="48"/>
      <c r="AA69" s="71">
        <v>69</v>
      </c>
      <c r="AB69" s="71"/>
      <c r="AC69" s="116">
        <v>1</v>
      </c>
      <c r="AD69" s="76"/>
      <c r="AE69" s="76">
        <v>518</v>
      </c>
      <c r="AF69" s="76">
        <v>412</v>
      </c>
      <c r="AG69" s="76">
        <v>1533</v>
      </c>
      <c r="AH69" s="76">
        <v>317</v>
      </c>
      <c r="AI69" s="76">
        <v>3600</v>
      </c>
      <c r="AJ69" s="76"/>
      <c r="AK69" s="76"/>
      <c r="AL69" s="92"/>
      <c r="AM69" s="76"/>
      <c r="AN69" s="76">
        <v>40730.933993055558</v>
      </c>
      <c r="AO69" s="76" t="s">
        <v>60</v>
      </c>
      <c r="AP69" s="76"/>
      <c r="AQ69" s="92"/>
      <c r="AR69" s="76"/>
      <c r="AS69" s="2"/>
      <c r="AT69" s="3"/>
      <c r="AU69" s="3"/>
      <c r="AV69" s="3"/>
      <c r="AW69" s="3"/>
    </row>
    <row r="70" spans="1:49" x14ac:dyDescent="0.25">
      <c r="A70" s="65"/>
      <c r="B70" s="66"/>
      <c r="C70" s="66"/>
      <c r="D70" s="67"/>
      <c r="E70" s="68"/>
      <c r="F70" s="93"/>
      <c r="G70" s="66"/>
      <c r="H70" s="69"/>
      <c r="I70" s="70"/>
      <c r="J70" s="70"/>
      <c r="K70" s="69"/>
      <c r="L70" s="72"/>
      <c r="M70" s="73">
        <v>7493.95361328125</v>
      </c>
      <c r="N70" s="73">
        <v>1691.0748291015625</v>
      </c>
      <c r="O70" s="74"/>
      <c r="P70" s="75"/>
      <c r="Q70" s="75"/>
      <c r="R70" s="78">
        <f t="shared" si="1"/>
        <v>4</v>
      </c>
      <c r="S70" s="47">
        <v>3</v>
      </c>
      <c r="T70" s="47">
        <v>1</v>
      </c>
      <c r="U70" s="48">
        <v>0</v>
      </c>
      <c r="V70" s="48">
        <v>1.8079999999999999E-3</v>
      </c>
      <c r="W70" s="48">
        <v>9.2000000000000003E-4</v>
      </c>
      <c r="X70" s="49"/>
      <c r="Y70" s="48">
        <v>0.66666666666666663</v>
      </c>
      <c r="Z70" s="48"/>
      <c r="AA70" s="71">
        <v>70</v>
      </c>
      <c r="AB70" s="71"/>
      <c r="AC70" s="116">
        <v>1</v>
      </c>
      <c r="AD70" s="76"/>
      <c r="AE70" s="76">
        <v>64</v>
      </c>
      <c r="AF70" s="76">
        <v>274</v>
      </c>
      <c r="AG70" s="76">
        <v>426</v>
      </c>
      <c r="AH70" s="76">
        <v>15</v>
      </c>
      <c r="AI70" s="76">
        <v>3600</v>
      </c>
      <c r="AJ70" s="76"/>
      <c r="AK70" s="76"/>
      <c r="AL70" s="92"/>
      <c r="AM70" s="76"/>
      <c r="AN70" s="76">
        <v>41214.429791666669</v>
      </c>
      <c r="AO70" s="76" t="s">
        <v>60</v>
      </c>
      <c r="AP70" s="76"/>
      <c r="AQ70" s="92"/>
      <c r="AR70" s="76"/>
      <c r="AS70" s="2"/>
      <c r="AT70" s="3"/>
      <c r="AU70" s="3"/>
      <c r="AV70" s="3"/>
      <c r="AW70" s="3"/>
    </row>
    <row r="71" spans="1:49" x14ac:dyDescent="0.25">
      <c r="A71" s="65"/>
      <c r="B71" s="66"/>
      <c r="C71" s="66"/>
      <c r="D71" s="67"/>
      <c r="E71" s="68"/>
      <c r="F71" s="93"/>
      <c r="G71" s="66"/>
      <c r="H71" s="69"/>
      <c r="I71" s="70"/>
      <c r="J71" s="70"/>
      <c r="K71" s="69"/>
      <c r="L71" s="72"/>
      <c r="M71" s="73">
        <v>8836.3154296875</v>
      </c>
      <c r="N71" s="73">
        <v>4771.6025390625</v>
      </c>
      <c r="O71" s="74"/>
      <c r="P71" s="75"/>
      <c r="Q71" s="75"/>
      <c r="R71" s="78">
        <f t="shared" si="1"/>
        <v>2</v>
      </c>
      <c r="S71" s="47">
        <v>2</v>
      </c>
      <c r="T71" s="47">
        <v>0</v>
      </c>
      <c r="U71" s="48">
        <v>0</v>
      </c>
      <c r="V71" s="48">
        <v>1.8420000000000001E-3</v>
      </c>
      <c r="W71" s="48">
        <v>1.2440000000000001E-3</v>
      </c>
      <c r="X71" s="49"/>
      <c r="Y71" s="48">
        <v>1</v>
      </c>
      <c r="Z71" s="48"/>
      <c r="AA71" s="71">
        <v>71</v>
      </c>
      <c r="AB71" s="71"/>
      <c r="AC71" s="116">
        <v>1</v>
      </c>
      <c r="AD71" s="76"/>
      <c r="AE71" s="76">
        <v>92</v>
      </c>
      <c r="AF71" s="76">
        <v>120</v>
      </c>
      <c r="AG71" s="76">
        <v>17</v>
      </c>
      <c r="AH71" s="76">
        <v>1</v>
      </c>
      <c r="AI71" s="76">
        <v>7200</v>
      </c>
      <c r="AJ71" s="76"/>
      <c r="AK71" s="76"/>
      <c r="AL71" s="92"/>
      <c r="AM71" s="76"/>
      <c r="AN71" s="76">
        <v>41732.443460648145</v>
      </c>
      <c r="AO71" s="76" t="s">
        <v>60</v>
      </c>
      <c r="AP71" s="76"/>
      <c r="AQ71" s="92"/>
      <c r="AR71" s="76"/>
      <c r="AS71" s="2"/>
      <c r="AT71" s="3"/>
      <c r="AU71" s="3"/>
      <c r="AV71" s="3"/>
      <c r="AW71" s="3"/>
    </row>
    <row r="72" spans="1:49" x14ac:dyDescent="0.25">
      <c r="A72" s="65"/>
      <c r="B72" s="66"/>
      <c r="C72" s="66"/>
      <c r="D72" s="67"/>
      <c r="E72" s="68"/>
      <c r="F72" s="93"/>
      <c r="G72" s="66"/>
      <c r="H72" s="69"/>
      <c r="I72" s="70"/>
      <c r="J72" s="70"/>
      <c r="K72" s="69"/>
      <c r="L72" s="72"/>
      <c r="M72" s="73">
        <v>5000.4501953125</v>
      </c>
      <c r="N72" s="73">
        <v>119.22346496582031</v>
      </c>
      <c r="O72" s="74"/>
      <c r="P72" s="75"/>
      <c r="Q72" s="75"/>
      <c r="R72" s="78">
        <f t="shared" si="1"/>
        <v>2</v>
      </c>
      <c r="S72" s="47">
        <v>1</v>
      </c>
      <c r="T72" s="47">
        <v>1</v>
      </c>
      <c r="U72" s="48">
        <v>0</v>
      </c>
      <c r="V72" s="48">
        <v>1.5900000000000001E-3</v>
      </c>
      <c r="W72" s="48">
        <v>2.61E-4</v>
      </c>
      <c r="X72" s="49"/>
      <c r="Y72" s="48">
        <v>0</v>
      </c>
      <c r="Z72" s="48"/>
      <c r="AA72" s="71">
        <v>72</v>
      </c>
      <c r="AB72" s="71"/>
      <c r="AC72" s="116">
        <v>1</v>
      </c>
      <c r="AD72" s="76"/>
      <c r="AE72" s="76">
        <v>56</v>
      </c>
      <c r="AF72" s="76">
        <v>657</v>
      </c>
      <c r="AG72" s="76">
        <v>298</v>
      </c>
      <c r="AH72" s="76">
        <v>72</v>
      </c>
      <c r="AI72" s="76">
        <v>3600</v>
      </c>
      <c r="AJ72" s="76"/>
      <c r="AK72" s="76"/>
      <c r="AL72" s="92"/>
      <c r="AM72" s="76"/>
      <c r="AN72" s="76">
        <v>40571.513888888891</v>
      </c>
      <c r="AO72" s="76" t="s">
        <v>60</v>
      </c>
      <c r="AP72" s="76"/>
      <c r="AQ72" s="92"/>
      <c r="AR72" s="76"/>
      <c r="AS72" s="2"/>
      <c r="AT72" s="3"/>
      <c r="AU72" s="3"/>
      <c r="AV72" s="3"/>
      <c r="AW72" s="3"/>
    </row>
    <row r="73" spans="1:49" x14ac:dyDescent="0.25">
      <c r="A73" s="65"/>
      <c r="B73" s="66"/>
      <c r="C73" s="66"/>
      <c r="D73" s="67"/>
      <c r="E73" s="68"/>
      <c r="F73" s="93"/>
      <c r="G73" s="66"/>
      <c r="H73" s="69"/>
      <c r="I73" s="70"/>
      <c r="J73" s="70"/>
      <c r="K73" s="69"/>
      <c r="L73" s="72"/>
      <c r="M73" s="73">
        <v>4300.404296875</v>
      </c>
      <c r="N73" s="73">
        <v>3435.6640625</v>
      </c>
      <c r="O73" s="74"/>
      <c r="P73" s="75"/>
      <c r="Q73" s="75"/>
      <c r="R73" s="78">
        <f t="shared" si="1"/>
        <v>18</v>
      </c>
      <c r="S73" s="47">
        <v>9</v>
      </c>
      <c r="T73" s="47">
        <v>9</v>
      </c>
      <c r="U73" s="48">
        <v>43.580765</v>
      </c>
      <c r="V73" s="48">
        <v>2.1789999999999999E-3</v>
      </c>
      <c r="W73" s="48">
        <v>4.7429999999999998E-3</v>
      </c>
      <c r="X73" s="49"/>
      <c r="Y73" s="48">
        <v>0.37912087912087911</v>
      </c>
      <c r="Z73" s="48"/>
      <c r="AA73" s="71">
        <v>73</v>
      </c>
      <c r="AB73" s="71"/>
      <c r="AC73" s="116">
        <v>1</v>
      </c>
      <c r="AD73" s="76"/>
      <c r="AE73" s="76">
        <v>1042</v>
      </c>
      <c r="AF73" s="76">
        <v>3502</v>
      </c>
      <c r="AG73" s="76">
        <v>3817</v>
      </c>
      <c r="AH73" s="76">
        <v>3207</v>
      </c>
      <c r="AI73" s="76">
        <v>3600</v>
      </c>
      <c r="AJ73" s="76"/>
      <c r="AK73" s="76"/>
      <c r="AL73" s="92"/>
      <c r="AM73" s="76"/>
      <c r="AN73" s="76">
        <v>40918.500613425924</v>
      </c>
      <c r="AO73" s="76" t="s">
        <v>60</v>
      </c>
      <c r="AP73" s="76"/>
      <c r="AQ73" s="92"/>
      <c r="AR73" s="76"/>
      <c r="AS73" s="2"/>
      <c r="AT73" s="3"/>
      <c r="AU73" s="3"/>
      <c r="AV73" s="3"/>
      <c r="AW73" s="3"/>
    </row>
    <row r="74" spans="1:49" x14ac:dyDescent="0.25">
      <c r="A74" s="65"/>
      <c r="B74" s="66"/>
      <c r="C74" s="66"/>
      <c r="D74" s="67"/>
      <c r="E74" s="68"/>
      <c r="F74" s="93"/>
      <c r="G74" s="66"/>
      <c r="H74" s="69"/>
      <c r="I74" s="70"/>
      <c r="J74" s="70"/>
      <c r="K74" s="69"/>
      <c r="L74" s="72"/>
      <c r="M74" s="73">
        <v>8629.6708984375</v>
      </c>
      <c r="N74" s="73">
        <v>6129.91259765625</v>
      </c>
      <c r="O74" s="74"/>
      <c r="P74" s="75"/>
      <c r="Q74" s="75"/>
      <c r="R74" s="78">
        <f t="shared" si="1"/>
        <v>5</v>
      </c>
      <c r="S74" s="47">
        <v>2</v>
      </c>
      <c r="T74" s="47">
        <v>3</v>
      </c>
      <c r="U74" s="48">
        <v>0.33116899999999999</v>
      </c>
      <c r="V74" s="48">
        <v>1.786E-3</v>
      </c>
      <c r="W74" s="48">
        <v>1.1000000000000001E-3</v>
      </c>
      <c r="X74" s="49"/>
      <c r="Y74" s="48">
        <v>0.66666666666666663</v>
      </c>
      <c r="Z74" s="48"/>
      <c r="AA74" s="71">
        <v>74</v>
      </c>
      <c r="AB74" s="71"/>
      <c r="AC74" s="116">
        <v>1</v>
      </c>
      <c r="AD74" s="76"/>
      <c r="AE74" s="76">
        <v>528</v>
      </c>
      <c r="AF74" s="76">
        <v>438</v>
      </c>
      <c r="AG74" s="76">
        <v>505</v>
      </c>
      <c r="AH74" s="76">
        <v>346</v>
      </c>
      <c r="AI74" s="76">
        <v>3600</v>
      </c>
      <c r="AJ74" s="76"/>
      <c r="AK74" s="76"/>
      <c r="AL74" s="92"/>
      <c r="AM74" s="76"/>
      <c r="AN74" s="76">
        <v>41239.508206018516</v>
      </c>
      <c r="AO74" s="76" t="s">
        <v>60</v>
      </c>
      <c r="AP74" s="76"/>
      <c r="AQ74" s="92"/>
      <c r="AR74" s="76"/>
      <c r="AS74" s="2"/>
      <c r="AT74" s="3"/>
      <c r="AU74" s="3"/>
      <c r="AV74" s="3"/>
      <c r="AW74" s="3"/>
    </row>
    <row r="75" spans="1:49" x14ac:dyDescent="0.25">
      <c r="A75" s="65"/>
      <c r="B75" s="66"/>
      <c r="C75" s="66"/>
      <c r="D75" s="67"/>
      <c r="E75" s="68"/>
      <c r="F75" s="93"/>
      <c r="G75" s="66"/>
      <c r="H75" s="69"/>
      <c r="I75" s="70"/>
      <c r="J75" s="70"/>
      <c r="K75" s="69"/>
      <c r="L75" s="72"/>
      <c r="M75" s="73">
        <v>3467.177734375</v>
      </c>
      <c r="N75" s="73">
        <v>6264.0849609375</v>
      </c>
      <c r="O75" s="74"/>
      <c r="P75" s="75"/>
      <c r="Q75" s="75"/>
      <c r="R75" s="78">
        <f t="shared" si="1"/>
        <v>18</v>
      </c>
      <c r="S75" s="47">
        <v>8</v>
      </c>
      <c r="T75" s="47">
        <v>10</v>
      </c>
      <c r="U75" s="48">
        <v>32.542299</v>
      </c>
      <c r="V75" s="48">
        <v>2.1229999999999999E-3</v>
      </c>
      <c r="W75" s="48">
        <v>3.7439999999999999E-3</v>
      </c>
      <c r="X75" s="49"/>
      <c r="Y75" s="48">
        <v>0.37878787878787878</v>
      </c>
      <c r="Z75" s="48"/>
      <c r="AA75" s="71">
        <v>75</v>
      </c>
      <c r="AB75" s="71"/>
      <c r="AC75" s="116">
        <v>1</v>
      </c>
      <c r="AD75" s="76"/>
      <c r="AE75" s="76">
        <v>2545</v>
      </c>
      <c r="AF75" s="76">
        <v>16477</v>
      </c>
      <c r="AG75" s="76">
        <v>8719</v>
      </c>
      <c r="AH75" s="76">
        <v>1727</v>
      </c>
      <c r="AI75" s="76">
        <v>7200</v>
      </c>
      <c r="AJ75" s="76"/>
      <c r="AK75" s="76"/>
      <c r="AL75" s="92"/>
      <c r="AM75" s="76"/>
      <c r="AN75" s="76">
        <v>40556.45579861111</v>
      </c>
      <c r="AO75" s="76" t="s">
        <v>60</v>
      </c>
      <c r="AP75" s="76"/>
      <c r="AQ75" s="92"/>
      <c r="AR75" s="76"/>
      <c r="AS75" s="2"/>
      <c r="AT75" s="3"/>
      <c r="AU75" s="3"/>
      <c r="AV75" s="3"/>
      <c r="AW75" s="3"/>
    </row>
    <row r="76" spans="1:49" x14ac:dyDescent="0.25">
      <c r="A76" s="65"/>
      <c r="B76" s="66"/>
      <c r="C76" s="66"/>
      <c r="D76" s="67"/>
      <c r="E76" s="68"/>
      <c r="F76" s="93"/>
      <c r="G76" s="66"/>
      <c r="H76" s="69"/>
      <c r="I76" s="70"/>
      <c r="J76" s="70"/>
      <c r="K76" s="69"/>
      <c r="L76" s="72"/>
      <c r="M76" s="73">
        <v>3727.896484375</v>
      </c>
      <c r="N76" s="73">
        <v>7150.93505859375</v>
      </c>
      <c r="O76" s="74"/>
      <c r="P76" s="75"/>
      <c r="Q76" s="75"/>
      <c r="R76" s="78">
        <f t="shared" si="1"/>
        <v>23</v>
      </c>
      <c r="S76" s="47">
        <v>19</v>
      </c>
      <c r="T76" s="47">
        <v>4</v>
      </c>
      <c r="U76" s="48">
        <v>684.10366699999997</v>
      </c>
      <c r="V76" s="48">
        <v>2.137E-3</v>
      </c>
      <c r="W76" s="48">
        <v>3.8739999999999998E-3</v>
      </c>
      <c r="X76" s="49"/>
      <c r="Y76" s="48">
        <v>0.19523809523809524</v>
      </c>
      <c r="Z76" s="48"/>
      <c r="AA76" s="71">
        <v>76</v>
      </c>
      <c r="AB76" s="71"/>
      <c r="AC76" s="116">
        <v>1</v>
      </c>
      <c r="AD76" s="76"/>
      <c r="AE76" s="76">
        <v>5546</v>
      </c>
      <c r="AF76" s="76">
        <v>75341</v>
      </c>
      <c r="AG76" s="76">
        <v>21595</v>
      </c>
      <c r="AH76" s="76">
        <v>8060</v>
      </c>
      <c r="AI76" s="76">
        <v>3600</v>
      </c>
      <c r="AJ76" s="76"/>
      <c r="AK76" s="76"/>
      <c r="AL76" s="92"/>
      <c r="AM76" s="76"/>
      <c r="AN76" s="76">
        <v>39860.534710648149</v>
      </c>
      <c r="AO76" s="76" t="s">
        <v>60</v>
      </c>
      <c r="AP76" s="76"/>
      <c r="AQ76" s="92"/>
      <c r="AR76" s="76"/>
      <c r="AS76" s="2"/>
      <c r="AT76" s="3"/>
      <c r="AU76" s="3"/>
      <c r="AV76" s="3"/>
      <c r="AW76" s="3"/>
    </row>
    <row r="77" spans="1:49" x14ac:dyDescent="0.25">
      <c r="A77" s="65"/>
      <c r="B77" s="66"/>
      <c r="C77" s="66"/>
      <c r="D77" s="67"/>
      <c r="E77" s="68"/>
      <c r="F77" s="93"/>
      <c r="G77" s="66"/>
      <c r="H77" s="69"/>
      <c r="I77" s="70"/>
      <c r="J77" s="70"/>
      <c r="K77" s="69"/>
      <c r="L77" s="72"/>
      <c r="M77" s="73">
        <v>3192.135986328125</v>
      </c>
      <c r="N77" s="73">
        <v>4464.49951171875</v>
      </c>
      <c r="O77" s="74"/>
      <c r="P77" s="75"/>
      <c r="Q77" s="75"/>
      <c r="R77" s="78">
        <f t="shared" si="1"/>
        <v>41</v>
      </c>
      <c r="S77" s="47">
        <v>21</v>
      </c>
      <c r="T77" s="47">
        <v>20</v>
      </c>
      <c r="U77" s="48">
        <v>1273.1834919999999</v>
      </c>
      <c r="V77" s="48">
        <v>2.3530000000000001E-3</v>
      </c>
      <c r="W77" s="48">
        <v>4.5180000000000003E-3</v>
      </c>
      <c r="X77" s="49"/>
      <c r="Y77" s="48">
        <v>0.17526881720430107</v>
      </c>
      <c r="Z77" s="48"/>
      <c r="AA77" s="71">
        <v>77</v>
      </c>
      <c r="AB77" s="71"/>
      <c r="AC77" s="116">
        <v>1</v>
      </c>
      <c r="AD77" s="76"/>
      <c r="AE77" s="76">
        <v>352</v>
      </c>
      <c r="AF77" s="76">
        <v>4290</v>
      </c>
      <c r="AG77" s="76">
        <v>4051</v>
      </c>
      <c r="AH77" s="76">
        <v>633</v>
      </c>
      <c r="AI77" s="76">
        <v>3600</v>
      </c>
      <c r="AJ77" s="76"/>
      <c r="AK77" s="76"/>
      <c r="AL77" s="92"/>
      <c r="AM77" s="76"/>
      <c r="AN77" s="76">
        <v>41436.515219907407</v>
      </c>
      <c r="AO77" s="76" t="s">
        <v>60</v>
      </c>
      <c r="AP77" s="76"/>
      <c r="AQ77" s="92"/>
      <c r="AR77" s="76"/>
      <c r="AS77" s="2"/>
      <c r="AT77" s="3"/>
      <c r="AU77" s="3"/>
      <c r="AV77" s="3"/>
      <c r="AW77" s="3"/>
    </row>
    <row r="78" spans="1:49" x14ac:dyDescent="0.25">
      <c r="A78" s="65"/>
      <c r="B78" s="66"/>
      <c r="C78" s="66"/>
      <c r="D78" s="67"/>
      <c r="E78" s="68"/>
      <c r="F78" s="93"/>
      <c r="G78" s="66"/>
      <c r="H78" s="69"/>
      <c r="I78" s="70"/>
      <c r="J78" s="70"/>
      <c r="K78" s="69"/>
      <c r="L78" s="72"/>
      <c r="M78" s="73">
        <v>7374.931640625</v>
      </c>
      <c r="N78" s="73">
        <v>1359.114501953125</v>
      </c>
      <c r="O78" s="74"/>
      <c r="P78" s="75"/>
      <c r="Q78" s="75"/>
      <c r="R78" s="78">
        <f t="shared" si="1"/>
        <v>3</v>
      </c>
      <c r="S78" s="47">
        <v>2</v>
      </c>
      <c r="T78" s="47">
        <v>1</v>
      </c>
      <c r="U78" s="48">
        <v>1.5782449999999999</v>
      </c>
      <c r="V78" s="48">
        <v>1.6949999999999999E-3</v>
      </c>
      <c r="W78" s="48">
        <v>6.5499999999999998E-4</v>
      </c>
      <c r="X78" s="49"/>
      <c r="Y78" s="48">
        <v>0.16666666666666666</v>
      </c>
      <c r="Z78" s="48"/>
      <c r="AA78" s="71">
        <v>78</v>
      </c>
      <c r="AB78" s="71"/>
      <c r="AC78" s="116">
        <v>1</v>
      </c>
      <c r="AD78" s="76"/>
      <c r="AE78" s="76">
        <v>485</v>
      </c>
      <c r="AF78" s="76">
        <v>236</v>
      </c>
      <c r="AG78" s="76">
        <v>394</v>
      </c>
      <c r="AH78" s="76">
        <v>107</v>
      </c>
      <c r="AI78" s="76"/>
      <c r="AJ78" s="76"/>
      <c r="AK78" s="76"/>
      <c r="AL78" s="92"/>
      <c r="AM78" s="76"/>
      <c r="AN78" s="76">
        <v>42395.508032407408</v>
      </c>
      <c r="AO78" s="76" t="s">
        <v>60</v>
      </c>
      <c r="AP78" s="76"/>
      <c r="AQ78" s="92"/>
      <c r="AR78" s="76"/>
      <c r="AS78" s="2"/>
      <c r="AT78" s="3"/>
      <c r="AU78" s="3"/>
      <c r="AV78" s="3"/>
      <c r="AW78" s="3"/>
    </row>
    <row r="79" spans="1:49" x14ac:dyDescent="0.25">
      <c r="A79" s="65"/>
      <c r="B79" s="66"/>
      <c r="C79" s="66"/>
      <c r="D79" s="67"/>
      <c r="E79" s="68"/>
      <c r="F79" s="93"/>
      <c r="G79" s="66"/>
      <c r="H79" s="69"/>
      <c r="I79" s="70"/>
      <c r="J79" s="70"/>
      <c r="K79" s="69"/>
      <c r="L79" s="72"/>
      <c r="M79" s="73">
        <v>8789.0888671875</v>
      </c>
      <c r="N79" s="73">
        <v>4331.71826171875</v>
      </c>
      <c r="O79" s="74"/>
      <c r="P79" s="75"/>
      <c r="Q79" s="75"/>
      <c r="R79" s="78">
        <f t="shared" si="1"/>
        <v>6</v>
      </c>
      <c r="S79" s="47">
        <v>5</v>
      </c>
      <c r="T79" s="47">
        <v>1</v>
      </c>
      <c r="U79" s="48">
        <v>0.70693899999999998</v>
      </c>
      <c r="V79" s="48">
        <v>1.825E-3</v>
      </c>
      <c r="W79" s="48">
        <v>1.8010000000000001E-3</v>
      </c>
      <c r="X79" s="49"/>
      <c r="Y79" s="48">
        <v>0.8</v>
      </c>
      <c r="Z79" s="48"/>
      <c r="AA79" s="71">
        <v>79</v>
      </c>
      <c r="AB79" s="71"/>
      <c r="AC79" s="116">
        <v>1</v>
      </c>
      <c r="AD79" s="76"/>
      <c r="AE79" s="76">
        <v>1506</v>
      </c>
      <c r="AF79" s="76">
        <v>1650</v>
      </c>
      <c r="AG79" s="76">
        <v>904</v>
      </c>
      <c r="AH79" s="76">
        <v>237</v>
      </c>
      <c r="AI79" s="76">
        <v>3600</v>
      </c>
      <c r="AJ79" s="76"/>
      <c r="AK79" s="76"/>
      <c r="AL79" s="92"/>
      <c r="AM79" s="76"/>
      <c r="AN79" s="76">
        <v>41184.448518518519</v>
      </c>
      <c r="AO79" s="76" t="s">
        <v>60</v>
      </c>
      <c r="AP79" s="76"/>
      <c r="AQ79" s="92"/>
      <c r="AR79" s="76"/>
      <c r="AS79" s="2"/>
      <c r="AT79" s="3"/>
      <c r="AU79" s="3"/>
      <c r="AV79" s="3"/>
      <c r="AW79" s="3"/>
    </row>
    <row r="80" spans="1:49" x14ac:dyDescent="0.25">
      <c r="A80" s="65"/>
      <c r="B80" s="66"/>
      <c r="C80" s="66"/>
      <c r="D80" s="67"/>
      <c r="E80" s="68"/>
      <c r="F80" s="93"/>
      <c r="G80" s="66"/>
      <c r="H80" s="69"/>
      <c r="I80" s="70"/>
      <c r="J80" s="70"/>
      <c r="K80" s="69"/>
      <c r="L80" s="72"/>
      <c r="M80" s="73">
        <v>3947.593505859375</v>
      </c>
      <c r="N80" s="73">
        <v>5988.41064453125</v>
      </c>
      <c r="O80" s="74"/>
      <c r="P80" s="75"/>
      <c r="Q80" s="75"/>
      <c r="R80" s="78">
        <f t="shared" si="1"/>
        <v>40</v>
      </c>
      <c r="S80" s="47">
        <v>25</v>
      </c>
      <c r="T80" s="47">
        <v>15</v>
      </c>
      <c r="U80" s="48">
        <v>751.34631000000002</v>
      </c>
      <c r="V80" s="48">
        <v>2.3640000000000002E-3</v>
      </c>
      <c r="W80" s="48">
        <v>6.9160000000000003E-3</v>
      </c>
      <c r="X80" s="49"/>
      <c r="Y80" s="48">
        <v>0.18121693121693122</v>
      </c>
      <c r="Z80" s="48"/>
      <c r="AA80" s="71">
        <v>80</v>
      </c>
      <c r="AB80" s="71"/>
      <c r="AC80" s="116">
        <v>1</v>
      </c>
      <c r="AD80" s="76"/>
      <c r="AE80" s="76">
        <v>3559</v>
      </c>
      <c r="AF80" s="76">
        <v>54583</v>
      </c>
      <c r="AG80" s="76">
        <v>33119</v>
      </c>
      <c r="AH80" s="76">
        <v>15176</v>
      </c>
      <c r="AI80" s="76"/>
      <c r="AJ80" s="76"/>
      <c r="AK80" s="76"/>
      <c r="AL80" s="92"/>
      <c r="AM80" s="76"/>
      <c r="AN80" s="76">
        <v>40155.474907407406</v>
      </c>
      <c r="AO80" s="76" t="s">
        <v>60</v>
      </c>
      <c r="AP80" s="76"/>
      <c r="AQ80" s="92"/>
      <c r="AR80" s="76"/>
      <c r="AS80" s="2"/>
      <c r="AT80" s="3"/>
      <c r="AU80" s="3"/>
      <c r="AV80" s="3"/>
      <c r="AW80" s="3"/>
    </row>
    <row r="81" spans="1:49" x14ac:dyDescent="0.25">
      <c r="A81" s="65"/>
      <c r="B81" s="66"/>
      <c r="C81" s="66"/>
      <c r="D81" s="67"/>
      <c r="E81" s="68"/>
      <c r="F81" s="93"/>
      <c r="G81" s="66"/>
      <c r="H81" s="69"/>
      <c r="I81" s="70"/>
      <c r="J81" s="70"/>
      <c r="K81" s="69"/>
      <c r="L81" s="72"/>
      <c r="M81" s="73">
        <v>5551.58349609375</v>
      </c>
      <c r="N81" s="73">
        <v>9879.7763671875</v>
      </c>
      <c r="O81" s="74"/>
      <c r="P81" s="75"/>
      <c r="Q81" s="75"/>
      <c r="R81" s="78">
        <f t="shared" si="1"/>
        <v>2</v>
      </c>
      <c r="S81" s="47">
        <v>1</v>
      </c>
      <c r="T81" s="47">
        <v>1</v>
      </c>
      <c r="U81" s="48">
        <v>4.9471850000000002</v>
      </c>
      <c r="V81" s="48">
        <v>1.536E-3</v>
      </c>
      <c r="W81" s="48">
        <v>2.3900000000000001E-4</v>
      </c>
      <c r="X81" s="49"/>
      <c r="Y81" s="48">
        <v>0</v>
      </c>
      <c r="Z81" s="48"/>
      <c r="AA81" s="71">
        <v>81</v>
      </c>
      <c r="AB81" s="71"/>
      <c r="AC81" s="116">
        <v>1</v>
      </c>
      <c r="AD81" s="76"/>
      <c r="AE81" s="76">
        <v>685</v>
      </c>
      <c r="AF81" s="76">
        <v>3352</v>
      </c>
      <c r="AG81" s="76">
        <v>1740</v>
      </c>
      <c r="AH81" s="76">
        <v>983</v>
      </c>
      <c r="AI81" s="76">
        <v>3600</v>
      </c>
      <c r="AJ81" s="76"/>
      <c r="AK81" s="76"/>
      <c r="AL81" s="92"/>
      <c r="AM81" s="76"/>
      <c r="AN81" s="76">
        <v>39996.644444444442</v>
      </c>
      <c r="AO81" s="76" t="s">
        <v>60</v>
      </c>
      <c r="AP81" s="76"/>
      <c r="AQ81" s="92"/>
      <c r="AR81" s="76"/>
      <c r="AS81" s="2"/>
      <c r="AT81" s="3"/>
      <c r="AU81" s="3"/>
      <c r="AV81" s="3"/>
      <c r="AW81" s="3"/>
    </row>
    <row r="82" spans="1:49" x14ac:dyDescent="0.25">
      <c r="A82" s="65"/>
      <c r="B82" s="66"/>
      <c r="C82" s="66"/>
      <c r="D82" s="67"/>
      <c r="E82" s="68"/>
      <c r="F82" s="93"/>
      <c r="G82" s="66"/>
      <c r="H82" s="69"/>
      <c r="I82" s="70"/>
      <c r="J82" s="70"/>
      <c r="K82" s="69"/>
      <c r="L82" s="72"/>
      <c r="M82" s="73">
        <v>5689.3828125</v>
      </c>
      <c r="N82" s="73">
        <v>3111.43212890625</v>
      </c>
      <c r="O82" s="74"/>
      <c r="P82" s="75"/>
      <c r="Q82" s="75"/>
      <c r="R82" s="78">
        <f t="shared" si="1"/>
        <v>16</v>
      </c>
      <c r="S82" s="47">
        <v>8</v>
      </c>
      <c r="T82" s="47">
        <v>8</v>
      </c>
      <c r="U82" s="48">
        <v>31.565208999999999</v>
      </c>
      <c r="V82" s="48">
        <v>2.212E-3</v>
      </c>
      <c r="W82" s="48">
        <v>4.7520000000000001E-3</v>
      </c>
      <c r="X82" s="49"/>
      <c r="Y82" s="48">
        <v>0.34848484848484851</v>
      </c>
      <c r="Z82" s="48"/>
      <c r="AA82" s="71">
        <v>82</v>
      </c>
      <c r="AB82" s="71"/>
      <c r="AC82" s="116">
        <v>1</v>
      </c>
      <c r="AD82" s="76"/>
      <c r="AE82" s="76">
        <v>1194</v>
      </c>
      <c r="AF82" s="76">
        <v>1082</v>
      </c>
      <c r="AG82" s="76">
        <v>890</v>
      </c>
      <c r="AH82" s="76">
        <v>785</v>
      </c>
      <c r="AI82" s="76">
        <v>3600</v>
      </c>
      <c r="AJ82" s="76"/>
      <c r="AK82" s="76"/>
      <c r="AL82" s="92"/>
      <c r="AM82" s="76"/>
      <c r="AN82" s="76">
        <v>40492.506562499999</v>
      </c>
      <c r="AO82" s="76" t="s">
        <v>60</v>
      </c>
      <c r="AP82" s="76"/>
      <c r="AQ82" s="92"/>
      <c r="AR82" s="76"/>
      <c r="AS82" s="2"/>
      <c r="AT82" s="3"/>
      <c r="AU82" s="3"/>
      <c r="AV82" s="3"/>
      <c r="AW82" s="3"/>
    </row>
    <row r="83" spans="1:49" x14ac:dyDescent="0.25">
      <c r="A83" s="65"/>
      <c r="B83" s="66"/>
      <c r="C83" s="66"/>
      <c r="D83" s="67"/>
      <c r="E83" s="68"/>
      <c r="F83" s="93"/>
      <c r="G83" s="66"/>
      <c r="H83" s="69"/>
      <c r="I83" s="70"/>
      <c r="J83" s="70"/>
      <c r="K83" s="69"/>
      <c r="L83" s="72"/>
      <c r="M83" s="73">
        <v>6472.77685546875</v>
      </c>
      <c r="N83" s="73">
        <v>1834.5203857421875</v>
      </c>
      <c r="O83" s="74"/>
      <c r="P83" s="75"/>
      <c r="Q83" s="75"/>
      <c r="R83" s="78">
        <f t="shared" si="1"/>
        <v>9</v>
      </c>
      <c r="S83" s="47">
        <v>5</v>
      </c>
      <c r="T83" s="47">
        <v>4</v>
      </c>
      <c r="U83" s="48">
        <v>1.8917550000000001</v>
      </c>
      <c r="V83" s="48">
        <v>1.825E-3</v>
      </c>
      <c r="W83" s="48">
        <v>1.9610000000000001E-3</v>
      </c>
      <c r="X83" s="49"/>
      <c r="Y83" s="48">
        <v>0.46666666666666667</v>
      </c>
      <c r="Z83" s="48"/>
      <c r="AA83" s="71">
        <v>83</v>
      </c>
      <c r="AB83" s="71"/>
      <c r="AC83" s="116">
        <v>1</v>
      </c>
      <c r="AD83" s="76"/>
      <c r="AE83" s="76">
        <v>293</v>
      </c>
      <c r="AF83" s="76">
        <v>304</v>
      </c>
      <c r="AG83" s="76">
        <v>309</v>
      </c>
      <c r="AH83" s="76">
        <v>56</v>
      </c>
      <c r="AI83" s="76"/>
      <c r="AJ83" s="76"/>
      <c r="AK83" s="76"/>
      <c r="AL83" s="92"/>
      <c r="AM83" s="76"/>
      <c r="AN83" s="76">
        <v>41921.505891203706</v>
      </c>
      <c r="AO83" s="76" t="s">
        <v>60</v>
      </c>
      <c r="AP83" s="76"/>
      <c r="AQ83" s="92"/>
      <c r="AR83" s="76"/>
      <c r="AS83" s="2"/>
      <c r="AT83" s="3"/>
      <c r="AU83" s="3"/>
      <c r="AV83" s="3"/>
      <c r="AW83" s="3"/>
    </row>
    <row r="84" spans="1:49" x14ac:dyDescent="0.25">
      <c r="A84" s="65"/>
      <c r="B84" s="66"/>
      <c r="C84" s="66"/>
      <c r="D84" s="67"/>
      <c r="E84" s="68"/>
      <c r="F84" s="93"/>
      <c r="G84" s="66"/>
      <c r="H84" s="69"/>
      <c r="I84" s="70"/>
      <c r="J84" s="70"/>
      <c r="K84" s="69"/>
      <c r="L84" s="72"/>
      <c r="M84" s="73">
        <v>4542.00341796875</v>
      </c>
      <c r="N84" s="73">
        <v>7078.822265625</v>
      </c>
      <c r="O84" s="74"/>
      <c r="P84" s="75"/>
      <c r="Q84" s="75"/>
      <c r="R84" s="78">
        <f t="shared" si="1"/>
        <v>15</v>
      </c>
      <c r="S84" s="47">
        <v>9</v>
      </c>
      <c r="T84" s="47">
        <v>6</v>
      </c>
      <c r="U84" s="48">
        <v>99.938590000000005</v>
      </c>
      <c r="V84" s="48">
        <v>2.101E-3</v>
      </c>
      <c r="W84" s="48">
        <v>3.7889999999999998E-3</v>
      </c>
      <c r="X84" s="49"/>
      <c r="Y84" s="48">
        <v>0.3</v>
      </c>
      <c r="Z84" s="48"/>
      <c r="AA84" s="71">
        <v>84</v>
      </c>
      <c r="AB84" s="71"/>
      <c r="AC84" s="116">
        <v>1</v>
      </c>
      <c r="AD84" s="76"/>
      <c r="AE84" s="76">
        <v>1386</v>
      </c>
      <c r="AF84" s="76">
        <v>7274</v>
      </c>
      <c r="AG84" s="76">
        <v>3837</v>
      </c>
      <c r="AH84" s="76">
        <v>802</v>
      </c>
      <c r="AI84" s="76">
        <v>-25200</v>
      </c>
      <c r="AJ84" s="76"/>
      <c r="AK84" s="76"/>
      <c r="AL84" s="92"/>
      <c r="AM84" s="76"/>
      <c r="AN84" s="76">
        <v>40098.592361111114</v>
      </c>
      <c r="AO84" s="76" t="s">
        <v>60</v>
      </c>
      <c r="AP84" s="76"/>
      <c r="AQ84" s="92"/>
      <c r="AR84" s="76"/>
      <c r="AS84" s="2"/>
      <c r="AT84" s="3"/>
      <c r="AU84" s="3"/>
      <c r="AV84" s="3"/>
      <c r="AW84" s="3"/>
    </row>
    <row r="85" spans="1:49" x14ac:dyDescent="0.25">
      <c r="A85" s="65"/>
      <c r="B85" s="66"/>
      <c r="C85" s="66"/>
      <c r="D85" s="67"/>
      <c r="E85" s="68"/>
      <c r="F85" s="93"/>
      <c r="G85" s="66"/>
      <c r="H85" s="69"/>
      <c r="I85" s="70"/>
      <c r="J85" s="70"/>
      <c r="K85" s="69"/>
      <c r="L85" s="72"/>
      <c r="M85" s="73">
        <v>9853.3251953125</v>
      </c>
      <c r="N85" s="73">
        <v>6443.46044921875</v>
      </c>
      <c r="O85" s="74"/>
      <c r="P85" s="75"/>
      <c r="Q85" s="75"/>
      <c r="R85" s="78">
        <f t="shared" si="1"/>
        <v>0</v>
      </c>
      <c r="S85" s="47"/>
      <c r="T85" s="47"/>
      <c r="U85" s="48"/>
      <c r="V85" s="48"/>
      <c r="W85" s="48"/>
      <c r="X85" s="49"/>
      <c r="Y85" s="48"/>
      <c r="Z85" s="48"/>
      <c r="AA85" s="71">
        <v>85</v>
      </c>
      <c r="AB85" s="71"/>
      <c r="AC85" s="116">
        <v>1</v>
      </c>
      <c r="AD85" s="76"/>
      <c r="AE85" s="76">
        <v>122</v>
      </c>
      <c r="AF85" s="76">
        <v>938</v>
      </c>
      <c r="AG85" s="76">
        <v>982</v>
      </c>
      <c r="AH85" s="76">
        <v>15</v>
      </c>
      <c r="AI85" s="76">
        <v>3600</v>
      </c>
      <c r="AJ85" s="76"/>
      <c r="AK85" s="76"/>
      <c r="AL85" s="92"/>
      <c r="AM85" s="76"/>
      <c r="AN85" s="76">
        <v>40129.440416666665</v>
      </c>
      <c r="AO85" s="76" t="s">
        <v>60</v>
      </c>
      <c r="AP85" s="76"/>
      <c r="AQ85" s="92"/>
      <c r="AR85" s="76"/>
      <c r="AS85" s="2"/>
      <c r="AT85" s="3"/>
      <c r="AU85" s="3"/>
      <c r="AV85" s="3"/>
      <c r="AW85" s="3"/>
    </row>
    <row r="86" spans="1:49" x14ac:dyDescent="0.25">
      <c r="A86" s="65"/>
      <c r="B86" s="66"/>
      <c r="C86" s="66"/>
      <c r="D86" s="67"/>
      <c r="E86" s="68"/>
      <c r="F86" s="93"/>
      <c r="G86" s="66"/>
      <c r="H86" s="69"/>
      <c r="I86" s="70"/>
      <c r="J86" s="70"/>
      <c r="K86" s="69"/>
      <c r="L86" s="72"/>
      <c r="M86" s="73">
        <v>2397.280517578125</v>
      </c>
      <c r="N86" s="73">
        <v>5872.17236328125</v>
      </c>
      <c r="O86" s="74"/>
      <c r="P86" s="75"/>
      <c r="Q86" s="75"/>
      <c r="R86" s="78">
        <f t="shared" si="1"/>
        <v>9</v>
      </c>
      <c r="S86" s="47">
        <v>4</v>
      </c>
      <c r="T86" s="47">
        <v>5</v>
      </c>
      <c r="U86" s="48">
        <v>429.99643400000002</v>
      </c>
      <c r="V86" s="48">
        <v>2.0660000000000001E-3</v>
      </c>
      <c r="W86" s="48">
        <v>1.635E-3</v>
      </c>
      <c r="X86" s="49"/>
      <c r="Y86" s="48">
        <v>0.26190476190476192</v>
      </c>
      <c r="Z86" s="48"/>
      <c r="AA86" s="71">
        <v>86</v>
      </c>
      <c r="AB86" s="71"/>
      <c r="AC86" s="116">
        <v>1</v>
      </c>
      <c r="AD86" s="76"/>
      <c r="AE86" s="76">
        <v>1920</v>
      </c>
      <c r="AF86" s="76">
        <v>4345</v>
      </c>
      <c r="AG86" s="76">
        <v>4081</v>
      </c>
      <c r="AH86" s="76">
        <v>3018</v>
      </c>
      <c r="AI86" s="76">
        <v>3600</v>
      </c>
      <c r="AJ86" s="76"/>
      <c r="AK86" s="76"/>
      <c r="AL86" s="92"/>
      <c r="AM86" s="76"/>
      <c r="AN86" s="76">
        <v>40131.595590277779</v>
      </c>
      <c r="AO86" s="76" t="s">
        <v>60</v>
      </c>
      <c r="AP86" s="76"/>
      <c r="AQ86" s="92"/>
      <c r="AR86" s="76"/>
      <c r="AS86" s="2"/>
      <c r="AT86" s="3"/>
      <c r="AU86" s="3"/>
      <c r="AV86" s="3"/>
      <c r="AW86" s="3"/>
    </row>
    <row r="87" spans="1:49" x14ac:dyDescent="0.25">
      <c r="A87" s="65"/>
      <c r="B87" s="66"/>
      <c r="C87" s="66"/>
      <c r="D87" s="67"/>
      <c r="E87" s="68"/>
      <c r="F87" s="93"/>
      <c r="G87" s="66"/>
      <c r="H87" s="69"/>
      <c r="I87" s="70"/>
      <c r="J87" s="70"/>
      <c r="K87" s="69"/>
      <c r="L87" s="72"/>
      <c r="M87" s="73">
        <v>7837.400390625</v>
      </c>
      <c r="N87" s="73">
        <v>4429.50634765625</v>
      </c>
      <c r="O87" s="74"/>
      <c r="P87" s="75"/>
      <c r="Q87" s="75"/>
      <c r="R87" s="78">
        <f t="shared" si="1"/>
        <v>13</v>
      </c>
      <c r="S87" s="47">
        <v>11</v>
      </c>
      <c r="T87" s="47">
        <v>2</v>
      </c>
      <c r="U87" s="48">
        <v>14.364867</v>
      </c>
      <c r="V87" s="48">
        <v>2.0370000000000002E-3</v>
      </c>
      <c r="W87" s="48">
        <v>4.463E-3</v>
      </c>
      <c r="X87" s="49"/>
      <c r="Y87" s="48">
        <v>0.53636363636363638</v>
      </c>
      <c r="Z87" s="48"/>
      <c r="AA87" s="71">
        <v>87</v>
      </c>
      <c r="AB87" s="71"/>
      <c r="AC87" s="116">
        <v>1</v>
      </c>
      <c r="AD87" s="76"/>
      <c r="AE87" s="76">
        <v>1284</v>
      </c>
      <c r="AF87" s="76">
        <v>1777</v>
      </c>
      <c r="AG87" s="76">
        <v>1944</v>
      </c>
      <c r="AH87" s="76">
        <v>559</v>
      </c>
      <c r="AI87" s="76">
        <v>3600</v>
      </c>
      <c r="AJ87" s="76"/>
      <c r="AK87" s="76"/>
      <c r="AL87" s="92"/>
      <c r="AM87" s="76"/>
      <c r="AN87" s="76">
        <v>40765.60434027778</v>
      </c>
      <c r="AO87" s="76" t="s">
        <v>60</v>
      </c>
      <c r="AP87" s="76"/>
      <c r="AQ87" s="92"/>
      <c r="AR87" s="76"/>
      <c r="AS87" s="2"/>
      <c r="AT87" s="3"/>
      <c r="AU87" s="3"/>
      <c r="AV87" s="3"/>
      <c r="AW87" s="3"/>
    </row>
    <row r="88" spans="1:49" x14ac:dyDescent="0.25">
      <c r="A88" s="65"/>
      <c r="B88" s="66"/>
      <c r="C88" s="66"/>
      <c r="D88" s="67"/>
      <c r="E88" s="68"/>
      <c r="F88" s="93"/>
      <c r="G88" s="66"/>
      <c r="H88" s="69"/>
      <c r="I88" s="70"/>
      <c r="J88" s="70"/>
      <c r="K88" s="69"/>
      <c r="L88" s="72"/>
      <c r="M88" s="73">
        <v>2817.541748046875</v>
      </c>
      <c r="N88" s="73">
        <v>8659.591796875</v>
      </c>
      <c r="O88" s="74"/>
      <c r="P88" s="75"/>
      <c r="Q88" s="75"/>
      <c r="R88" s="78">
        <f t="shared" si="1"/>
        <v>3</v>
      </c>
      <c r="S88" s="47">
        <v>2</v>
      </c>
      <c r="T88" s="47">
        <v>1</v>
      </c>
      <c r="U88" s="48">
        <v>0</v>
      </c>
      <c r="V88" s="48">
        <v>1.642E-3</v>
      </c>
      <c r="W88" s="48">
        <v>3.88E-4</v>
      </c>
      <c r="X88" s="49"/>
      <c r="Y88" s="48">
        <v>1</v>
      </c>
      <c r="Z88" s="48"/>
      <c r="AA88" s="71">
        <v>88</v>
      </c>
      <c r="AB88" s="71"/>
      <c r="AC88" s="116">
        <v>1</v>
      </c>
      <c r="AD88" s="76"/>
      <c r="AE88" s="76">
        <v>836</v>
      </c>
      <c r="AF88" s="76">
        <v>7807</v>
      </c>
      <c r="AG88" s="76">
        <v>3958</v>
      </c>
      <c r="AH88" s="76">
        <v>297</v>
      </c>
      <c r="AI88" s="76">
        <v>3600</v>
      </c>
      <c r="AJ88" s="76"/>
      <c r="AK88" s="76"/>
      <c r="AL88" s="92"/>
      <c r="AM88" s="76"/>
      <c r="AN88" s="76">
        <v>40136.49145833333</v>
      </c>
      <c r="AO88" s="76" t="s">
        <v>60</v>
      </c>
      <c r="AP88" s="76"/>
      <c r="AQ88" s="92"/>
      <c r="AR88" s="76"/>
      <c r="AS88" s="2"/>
      <c r="AT88" s="3"/>
      <c r="AU88" s="3"/>
      <c r="AV88" s="3"/>
      <c r="AW88" s="3"/>
    </row>
    <row r="89" spans="1:49" x14ac:dyDescent="0.25">
      <c r="A89" s="65"/>
      <c r="B89" s="66"/>
      <c r="C89" s="66"/>
      <c r="D89" s="67"/>
      <c r="E89" s="68"/>
      <c r="F89" s="93"/>
      <c r="G89" s="66"/>
      <c r="H89" s="69"/>
      <c r="I89" s="70"/>
      <c r="J89" s="70"/>
      <c r="K89" s="69"/>
      <c r="L89" s="72"/>
      <c r="M89" s="73">
        <v>4908.82958984375</v>
      </c>
      <c r="N89" s="73">
        <v>3366.656005859375</v>
      </c>
      <c r="O89" s="74"/>
      <c r="P89" s="75"/>
      <c r="Q89" s="75"/>
      <c r="R89" s="78">
        <f t="shared" si="1"/>
        <v>19</v>
      </c>
      <c r="S89" s="47">
        <v>14</v>
      </c>
      <c r="T89" s="47">
        <v>5</v>
      </c>
      <c r="U89" s="48">
        <v>165.808808</v>
      </c>
      <c r="V89" s="48">
        <v>2.1979999999999999E-3</v>
      </c>
      <c r="W89" s="48">
        <v>5.5830000000000003E-3</v>
      </c>
      <c r="X89" s="49"/>
      <c r="Y89" s="48">
        <v>0.22794117647058823</v>
      </c>
      <c r="Z89" s="48"/>
      <c r="AA89" s="71">
        <v>89</v>
      </c>
      <c r="AB89" s="71"/>
      <c r="AC89" s="116">
        <v>1</v>
      </c>
      <c r="AD89" s="76"/>
      <c r="AE89" s="76">
        <v>5774</v>
      </c>
      <c r="AF89" s="76">
        <v>7755</v>
      </c>
      <c r="AG89" s="76">
        <v>7761</v>
      </c>
      <c r="AH89" s="76">
        <v>958</v>
      </c>
      <c r="AI89" s="76">
        <v>3600</v>
      </c>
      <c r="AJ89" s="76"/>
      <c r="AK89" s="76"/>
      <c r="AL89" s="92"/>
      <c r="AM89" s="76"/>
      <c r="AN89" s="76">
        <v>39847.684664351851</v>
      </c>
      <c r="AO89" s="76" t="s">
        <v>60</v>
      </c>
      <c r="AP89" s="76"/>
      <c r="AQ89" s="92"/>
      <c r="AR89" s="76"/>
      <c r="AS89" s="2"/>
      <c r="AT89" s="3"/>
      <c r="AU89" s="3"/>
      <c r="AV89" s="3"/>
      <c r="AW89" s="3"/>
    </row>
    <row r="90" spans="1:49" x14ac:dyDescent="0.25">
      <c r="A90" s="65"/>
      <c r="B90" s="66"/>
      <c r="C90" s="66"/>
      <c r="D90" s="67"/>
      <c r="E90" s="68"/>
      <c r="F90" s="93"/>
      <c r="G90" s="66"/>
      <c r="H90" s="69"/>
      <c r="I90" s="70"/>
      <c r="J90" s="70"/>
      <c r="K90" s="69"/>
      <c r="L90" s="72"/>
      <c r="M90" s="73">
        <v>5667.66650390625</v>
      </c>
      <c r="N90" s="73">
        <v>6840.77392578125</v>
      </c>
      <c r="O90" s="74"/>
      <c r="P90" s="75"/>
      <c r="Q90" s="75"/>
      <c r="R90" s="78">
        <f t="shared" si="1"/>
        <v>22</v>
      </c>
      <c r="S90" s="47">
        <v>9</v>
      </c>
      <c r="T90" s="47">
        <v>13</v>
      </c>
      <c r="U90" s="48">
        <v>75.394475999999997</v>
      </c>
      <c r="V90" s="48">
        <v>2.1549999999999998E-3</v>
      </c>
      <c r="W90" s="48">
        <v>5.6280000000000002E-3</v>
      </c>
      <c r="X90" s="49"/>
      <c r="Y90" s="48">
        <v>0.23202614379084968</v>
      </c>
      <c r="Z90" s="48"/>
      <c r="AA90" s="71">
        <v>90</v>
      </c>
      <c r="AB90" s="71"/>
      <c r="AC90" s="116">
        <v>1</v>
      </c>
      <c r="AD90" s="76"/>
      <c r="AE90" s="76">
        <v>1356</v>
      </c>
      <c r="AF90" s="76">
        <v>2579</v>
      </c>
      <c r="AG90" s="76">
        <v>3180</v>
      </c>
      <c r="AH90" s="76">
        <v>319</v>
      </c>
      <c r="AI90" s="76">
        <v>3600</v>
      </c>
      <c r="AJ90" s="76"/>
      <c r="AK90" s="76"/>
      <c r="AL90" s="92"/>
      <c r="AM90" s="76"/>
      <c r="AN90" s="76">
        <v>40477.307222222225</v>
      </c>
      <c r="AO90" s="76" t="s">
        <v>60</v>
      </c>
      <c r="AP90" s="76"/>
      <c r="AQ90" s="92"/>
      <c r="AR90" s="76"/>
      <c r="AS90" s="2"/>
      <c r="AT90" s="3"/>
      <c r="AU90" s="3"/>
      <c r="AV90" s="3"/>
      <c r="AW90" s="3"/>
    </row>
    <row r="91" spans="1:49" x14ac:dyDescent="0.25">
      <c r="A91" s="65"/>
      <c r="B91" s="66"/>
      <c r="C91" s="66"/>
      <c r="D91" s="67"/>
      <c r="E91" s="68"/>
      <c r="F91" s="93"/>
      <c r="G91" s="66"/>
      <c r="H91" s="69"/>
      <c r="I91" s="70"/>
      <c r="J91" s="70"/>
      <c r="K91" s="69"/>
      <c r="L91" s="72"/>
      <c r="M91" s="73">
        <v>2954.614990234375</v>
      </c>
      <c r="N91" s="73">
        <v>6593.49072265625</v>
      </c>
      <c r="O91" s="74"/>
      <c r="P91" s="75"/>
      <c r="Q91" s="75"/>
      <c r="R91" s="78">
        <f t="shared" si="1"/>
        <v>10</v>
      </c>
      <c r="S91" s="47">
        <v>3</v>
      </c>
      <c r="T91" s="47">
        <v>7</v>
      </c>
      <c r="U91" s="48">
        <v>133.58113499999999</v>
      </c>
      <c r="V91" s="48">
        <v>2.049E-3</v>
      </c>
      <c r="W91" s="48">
        <v>1.621E-3</v>
      </c>
      <c r="X91" s="49"/>
      <c r="Y91" s="48">
        <v>0.14285714285714285</v>
      </c>
      <c r="Z91" s="48"/>
      <c r="AA91" s="71">
        <v>91</v>
      </c>
      <c r="AB91" s="71"/>
      <c r="AC91" s="116">
        <v>1</v>
      </c>
      <c r="AD91" s="76"/>
      <c r="AE91" s="76">
        <v>5928</v>
      </c>
      <c r="AF91" s="76">
        <v>21212</v>
      </c>
      <c r="AG91" s="76">
        <v>5277</v>
      </c>
      <c r="AH91" s="76">
        <v>4318</v>
      </c>
      <c r="AI91" s="76">
        <v>3600</v>
      </c>
      <c r="AJ91" s="76"/>
      <c r="AK91" s="76"/>
      <c r="AL91" s="92"/>
      <c r="AM91" s="76"/>
      <c r="AN91" s="76">
        <v>39955.38449074074</v>
      </c>
      <c r="AO91" s="76" t="s">
        <v>60</v>
      </c>
      <c r="AP91" s="76"/>
      <c r="AQ91" s="92"/>
      <c r="AR91" s="76"/>
      <c r="AS91" s="2"/>
      <c r="AT91" s="3"/>
      <c r="AU91" s="3"/>
      <c r="AV91" s="3"/>
      <c r="AW91" s="3"/>
    </row>
    <row r="92" spans="1:49" x14ac:dyDescent="0.25">
      <c r="A92" s="65"/>
      <c r="B92" s="66"/>
      <c r="C92" s="66"/>
      <c r="D92" s="67"/>
      <c r="E92" s="68"/>
      <c r="F92" s="93"/>
      <c r="G92" s="66"/>
      <c r="H92" s="69"/>
      <c r="I92" s="70"/>
      <c r="J92" s="70"/>
      <c r="K92" s="69"/>
      <c r="L92" s="72"/>
      <c r="M92" s="73">
        <v>3190.55810546875</v>
      </c>
      <c r="N92" s="73">
        <v>6740.11865234375</v>
      </c>
      <c r="O92" s="74"/>
      <c r="P92" s="75"/>
      <c r="Q92" s="75"/>
      <c r="R92" s="78">
        <f t="shared" si="1"/>
        <v>14</v>
      </c>
      <c r="S92" s="47">
        <v>5</v>
      </c>
      <c r="T92" s="47">
        <v>9</v>
      </c>
      <c r="U92" s="48">
        <v>8.8280899999999995</v>
      </c>
      <c r="V92" s="48">
        <v>2.0579999999999999E-3</v>
      </c>
      <c r="W92" s="48">
        <v>3.1519999999999999E-3</v>
      </c>
      <c r="X92" s="49"/>
      <c r="Y92" s="48">
        <v>0.55555555555555558</v>
      </c>
      <c r="Z92" s="48"/>
      <c r="AA92" s="71">
        <v>92</v>
      </c>
      <c r="AB92" s="71"/>
      <c r="AC92" s="116">
        <v>1</v>
      </c>
      <c r="AD92" s="76"/>
      <c r="AE92" s="76">
        <v>1179</v>
      </c>
      <c r="AF92" s="76">
        <v>1931</v>
      </c>
      <c r="AG92" s="76">
        <v>2786</v>
      </c>
      <c r="AH92" s="76">
        <v>692</v>
      </c>
      <c r="AI92" s="76">
        <v>3600</v>
      </c>
      <c r="AJ92" s="76"/>
      <c r="AK92" s="76"/>
      <c r="AL92" s="92"/>
      <c r="AM92" s="76"/>
      <c r="AN92" s="76">
        <v>40197.607268518521</v>
      </c>
      <c r="AO92" s="76" t="s">
        <v>60</v>
      </c>
      <c r="AP92" s="76"/>
      <c r="AQ92" s="92"/>
      <c r="AR92" s="76"/>
      <c r="AS92" s="2"/>
      <c r="AT92" s="3"/>
      <c r="AU92" s="3"/>
      <c r="AV92" s="3"/>
      <c r="AW92" s="3"/>
    </row>
    <row r="93" spans="1:49" x14ac:dyDescent="0.25">
      <c r="A93" s="65"/>
      <c r="B93" s="66"/>
      <c r="C93" s="66"/>
      <c r="D93" s="67"/>
      <c r="E93" s="68"/>
      <c r="F93" s="93"/>
      <c r="G93" s="66"/>
      <c r="H93" s="69"/>
      <c r="I93" s="70"/>
      <c r="J93" s="70"/>
      <c r="K93" s="69"/>
      <c r="L93" s="72"/>
      <c r="M93" s="73">
        <v>2230.56298828125</v>
      </c>
      <c r="N93" s="73">
        <v>5367.60009765625</v>
      </c>
      <c r="O93" s="74"/>
      <c r="P93" s="75"/>
      <c r="Q93" s="75"/>
      <c r="R93" s="78">
        <f t="shared" si="1"/>
        <v>3</v>
      </c>
      <c r="S93" s="47">
        <v>2</v>
      </c>
      <c r="T93" s="47">
        <v>1</v>
      </c>
      <c r="U93" s="48">
        <v>2.6755580000000001</v>
      </c>
      <c r="V93" s="48">
        <v>1.9919999999999998E-3</v>
      </c>
      <c r="W93" s="48">
        <v>1.186E-3</v>
      </c>
      <c r="X93" s="49"/>
      <c r="Y93" s="48">
        <v>0.33333333333333331</v>
      </c>
      <c r="Z93" s="48"/>
      <c r="AA93" s="71">
        <v>93</v>
      </c>
      <c r="AB93" s="71"/>
      <c r="AC93" s="116">
        <v>1</v>
      </c>
      <c r="AD93" s="76"/>
      <c r="AE93" s="76">
        <v>1577</v>
      </c>
      <c r="AF93" s="76">
        <v>6458</v>
      </c>
      <c r="AG93" s="76">
        <v>11731</v>
      </c>
      <c r="AH93" s="76">
        <v>5966</v>
      </c>
      <c r="AI93" s="76">
        <v>3600</v>
      </c>
      <c r="AJ93" s="76"/>
      <c r="AK93" s="76"/>
      <c r="AL93" s="92"/>
      <c r="AM93" s="76"/>
      <c r="AN93" s="76">
        <v>40426.701805555553</v>
      </c>
      <c r="AO93" s="76" t="s">
        <v>60</v>
      </c>
      <c r="AP93" s="76"/>
      <c r="AQ93" s="92"/>
      <c r="AR93" s="76"/>
      <c r="AS93" s="2"/>
      <c r="AT93" s="3"/>
      <c r="AU93" s="3"/>
      <c r="AV93" s="3"/>
      <c r="AW93" s="3"/>
    </row>
    <row r="94" spans="1:49" x14ac:dyDescent="0.25">
      <c r="A94" s="65"/>
      <c r="B94" s="66"/>
      <c r="C94" s="66"/>
      <c r="D94" s="67"/>
      <c r="E94" s="68"/>
      <c r="F94" s="93"/>
      <c r="G94" s="66"/>
      <c r="H94" s="69"/>
      <c r="I94" s="70"/>
      <c r="J94" s="70"/>
      <c r="K94" s="69"/>
      <c r="L94" s="72"/>
      <c r="M94" s="73">
        <v>6126.7568359375</v>
      </c>
      <c r="N94" s="73">
        <v>7704.43408203125</v>
      </c>
      <c r="O94" s="74"/>
      <c r="P94" s="75"/>
      <c r="Q94" s="75"/>
      <c r="R94" s="78">
        <f t="shared" si="1"/>
        <v>16</v>
      </c>
      <c r="S94" s="47">
        <v>5</v>
      </c>
      <c r="T94" s="47">
        <v>11</v>
      </c>
      <c r="U94" s="48">
        <v>101.682361</v>
      </c>
      <c r="V94" s="48">
        <v>1.98E-3</v>
      </c>
      <c r="W94" s="48">
        <v>2.846E-3</v>
      </c>
      <c r="X94" s="49"/>
      <c r="Y94" s="48">
        <v>0.23636363636363636</v>
      </c>
      <c r="Z94" s="48"/>
      <c r="AA94" s="71">
        <v>94</v>
      </c>
      <c r="AB94" s="71"/>
      <c r="AC94" s="116">
        <v>1</v>
      </c>
      <c r="AD94" s="76"/>
      <c r="AE94" s="76">
        <v>1231</v>
      </c>
      <c r="AF94" s="76">
        <v>3547</v>
      </c>
      <c r="AG94" s="76">
        <v>4855</v>
      </c>
      <c r="AH94" s="76">
        <v>1692</v>
      </c>
      <c r="AI94" s="76">
        <v>3600</v>
      </c>
      <c r="AJ94" s="76"/>
      <c r="AK94" s="76"/>
      <c r="AL94" s="92"/>
      <c r="AM94" s="76"/>
      <c r="AN94" s="76">
        <v>40142.476886574077</v>
      </c>
      <c r="AO94" s="76" t="s">
        <v>60</v>
      </c>
      <c r="AP94" s="76"/>
      <c r="AQ94" s="92"/>
      <c r="AR94" s="76"/>
      <c r="AS94" s="2"/>
      <c r="AT94" s="3"/>
      <c r="AU94" s="3"/>
      <c r="AV94" s="3"/>
      <c r="AW94" s="3"/>
    </row>
    <row r="95" spans="1:49" x14ac:dyDescent="0.25">
      <c r="A95" s="65"/>
      <c r="B95" s="66"/>
      <c r="C95" s="66"/>
      <c r="D95" s="67"/>
      <c r="E95" s="68"/>
      <c r="F95" s="93"/>
      <c r="G95" s="66"/>
      <c r="H95" s="69"/>
      <c r="I95" s="70"/>
      <c r="J95" s="70"/>
      <c r="K95" s="69"/>
      <c r="L95" s="72"/>
      <c r="M95" s="73">
        <v>5812.01708984375</v>
      </c>
      <c r="N95" s="73">
        <v>6906.4697265625</v>
      </c>
      <c r="O95" s="74"/>
      <c r="P95" s="75"/>
      <c r="Q95" s="75"/>
      <c r="R95" s="78">
        <f t="shared" si="1"/>
        <v>24</v>
      </c>
      <c r="S95" s="47">
        <v>14</v>
      </c>
      <c r="T95" s="47">
        <v>10</v>
      </c>
      <c r="U95" s="48">
        <v>278.65005200000002</v>
      </c>
      <c r="V95" s="48">
        <v>2.212E-3</v>
      </c>
      <c r="W95" s="48">
        <v>5.6340000000000001E-3</v>
      </c>
      <c r="X95" s="49"/>
      <c r="Y95" s="48">
        <v>0.2046783625730994</v>
      </c>
      <c r="Z95" s="48"/>
      <c r="AA95" s="71">
        <v>95</v>
      </c>
      <c r="AB95" s="71"/>
      <c r="AC95" s="116">
        <v>1</v>
      </c>
      <c r="AD95" s="76"/>
      <c r="AE95" s="76">
        <v>1205</v>
      </c>
      <c r="AF95" s="76">
        <v>6370</v>
      </c>
      <c r="AG95" s="76">
        <v>8677</v>
      </c>
      <c r="AH95" s="76">
        <v>1835</v>
      </c>
      <c r="AI95" s="76">
        <v>3600</v>
      </c>
      <c r="AJ95" s="76"/>
      <c r="AK95" s="76"/>
      <c r="AL95" s="92"/>
      <c r="AM95" s="76"/>
      <c r="AN95" s="76">
        <v>40168.448969907404</v>
      </c>
      <c r="AO95" s="76" t="s">
        <v>60</v>
      </c>
      <c r="AP95" s="76"/>
      <c r="AQ95" s="92"/>
      <c r="AR95" s="76"/>
      <c r="AS95" s="2"/>
      <c r="AT95" s="3"/>
      <c r="AU95" s="3"/>
      <c r="AV95" s="3"/>
      <c r="AW95" s="3"/>
    </row>
    <row r="96" spans="1:49" x14ac:dyDescent="0.25">
      <c r="A96" s="65"/>
      <c r="B96" s="66"/>
      <c r="C96" s="66"/>
      <c r="D96" s="67"/>
      <c r="E96" s="68"/>
      <c r="F96" s="93"/>
      <c r="G96" s="66"/>
      <c r="H96" s="69"/>
      <c r="I96" s="70"/>
      <c r="J96" s="70"/>
      <c r="K96" s="69"/>
      <c r="L96" s="72"/>
      <c r="M96" s="73">
        <v>4578.94921875</v>
      </c>
      <c r="N96" s="73">
        <v>5997.39208984375</v>
      </c>
      <c r="O96" s="74"/>
      <c r="P96" s="75"/>
      <c r="Q96" s="75"/>
      <c r="R96" s="78">
        <f t="shared" si="1"/>
        <v>59</v>
      </c>
      <c r="S96" s="47">
        <v>33</v>
      </c>
      <c r="T96" s="47">
        <v>26</v>
      </c>
      <c r="U96" s="48">
        <v>1368.2510239999999</v>
      </c>
      <c r="V96" s="48">
        <v>2.4880000000000002E-3</v>
      </c>
      <c r="W96" s="48">
        <v>9.8250000000000004E-3</v>
      </c>
      <c r="X96" s="49"/>
      <c r="Y96" s="48">
        <v>0.15769230769230769</v>
      </c>
      <c r="Z96" s="48"/>
      <c r="AA96" s="71">
        <v>96</v>
      </c>
      <c r="AB96" s="71"/>
      <c r="AC96" s="116">
        <v>1</v>
      </c>
      <c r="AD96" s="76"/>
      <c r="AE96" s="76">
        <v>28851</v>
      </c>
      <c r="AF96" s="76">
        <v>40439</v>
      </c>
      <c r="AG96" s="76">
        <v>44768</v>
      </c>
      <c r="AH96" s="76">
        <v>25718</v>
      </c>
      <c r="AI96" s="76">
        <v>3600</v>
      </c>
      <c r="AJ96" s="76"/>
      <c r="AK96" s="76"/>
      <c r="AL96" s="92"/>
      <c r="AM96" s="76"/>
      <c r="AN96" s="76">
        <v>39857.531122685185</v>
      </c>
      <c r="AO96" s="76" t="s">
        <v>60</v>
      </c>
      <c r="AP96" s="76"/>
      <c r="AQ96" s="92"/>
      <c r="AR96" s="76"/>
      <c r="AS96" s="2"/>
      <c r="AT96" s="3"/>
      <c r="AU96" s="3"/>
      <c r="AV96" s="3"/>
      <c r="AW96" s="3"/>
    </row>
    <row r="97" spans="1:49" x14ac:dyDescent="0.25">
      <c r="A97" s="65"/>
      <c r="B97" s="66"/>
      <c r="C97" s="66"/>
      <c r="D97" s="67"/>
      <c r="E97" s="68"/>
      <c r="F97" s="93"/>
      <c r="G97" s="66"/>
      <c r="H97" s="69"/>
      <c r="I97" s="70"/>
      <c r="J97" s="70"/>
      <c r="K97" s="69"/>
      <c r="L97" s="72"/>
      <c r="M97" s="73">
        <v>4300.68017578125</v>
      </c>
      <c r="N97" s="73">
        <v>2324.43115234375</v>
      </c>
      <c r="O97" s="74"/>
      <c r="P97" s="75"/>
      <c r="Q97" s="75"/>
      <c r="R97" s="78">
        <f t="shared" si="1"/>
        <v>5</v>
      </c>
      <c r="S97" s="47">
        <v>5</v>
      </c>
      <c r="T97" s="47">
        <v>0</v>
      </c>
      <c r="U97" s="48">
        <v>32.162252000000002</v>
      </c>
      <c r="V97" s="48">
        <v>1.848E-3</v>
      </c>
      <c r="W97" s="48">
        <v>1.2099999999999999E-3</v>
      </c>
      <c r="X97" s="49"/>
      <c r="Y97" s="48">
        <v>0.2</v>
      </c>
      <c r="Z97" s="48"/>
      <c r="AA97" s="71">
        <v>97</v>
      </c>
      <c r="AB97" s="71"/>
      <c r="AC97" s="116">
        <v>1</v>
      </c>
      <c r="AD97" s="76"/>
      <c r="AE97" s="76">
        <v>9567</v>
      </c>
      <c r="AF97" s="76">
        <v>19134</v>
      </c>
      <c r="AG97" s="76">
        <v>6003</v>
      </c>
      <c r="AH97" s="76">
        <v>2170</v>
      </c>
      <c r="AI97" s="76">
        <v>7200</v>
      </c>
      <c r="AJ97" s="76"/>
      <c r="AK97" s="76"/>
      <c r="AL97" s="92"/>
      <c r="AM97" s="76"/>
      <c r="AN97" s="76">
        <v>40128.717719907407</v>
      </c>
      <c r="AO97" s="76" t="s">
        <v>60</v>
      </c>
      <c r="AP97" s="76"/>
      <c r="AQ97" s="92"/>
      <c r="AR97" s="76"/>
      <c r="AS97" s="2"/>
      <c r="AT97" s="3"/>
      <c r="AU97" s="3"/>
      <c r="AV97" s="3"/>
      <c r="AW97" s="3"/>
    </row>
    <row r="98" spans="1:49" x14ac:dyDescent="0.25">
      <c r="A98" s="65"/>
      <c r="B98" s="66"/>
      <c r="C98" s="66"/>
      <c r="D98" s="67"/>
      <c r="E98" s="68"/>
      <c r="F98" s="93"/>
      <c r="G98" s="66"/>
      <c r="H98" s="69"/>
      <c r="I98" s="70"/>
      <c r="J98" s="70"/>
      <c r="K98" s="69"/>
      <c r="L98" s="72"/>
      <c r="M98" s="73">
        <v>8998.4189453125</v>
      </c>
      <c r="N98" s="73">
        <v>7331.68408203125</v>
      </c>
      <c r="O98" s="74"/>
      <c r="P98" s="75"/>
      <c r="Q98" s="75"/>
      <c r="R98" s="78">
        <f t="shared" si="1"/>
        <v>3</v>
      </c>
      <c r="S98" s="47">
        <v>1</v>
      </c>
      <c r="T98" s="47">
        <v>2</v>
      </c>
      <c r="U98" s="48">
        <v>10.742964000000001</v>
      </c>
      <c r="V98" s="48">
        <v>1.536E-3</v>
      </c>
      <c r="W98" s="48">
        <v>1.4899999999999999E-4</v>
      </c>
      <c r="X98" s="49"/>
      <c r="Y98" s="48">
        <v>0</v>
      </c>
      <c r="Z98" s="48"/>
      <c r="AA98" s="71">
        <v>98</v>
      </c>
      <c r="AB98" s="71"/>
      <c r="AC98" s="116">
        <v>1</v>
      </c>
      <c r="AD98" s="76"/>
      <c r="AE98" s="76">
        <v>1357</v>
      </c>
      <c r="AF98" s="76">
        <v>2030</v>
      </c>
      <c r="AG98" s="76">
        <v>669</v>
      </c>
      <c r="AH98" s="76">
        <v>365</v>
      </c>
      <c r="AI98" s="76"/>
      <c r="AJ98" s="76"/>
      <c r="AK98" s="76"/>
      <c r="AL98" s="92"/>
      <c r="AM98" s="76"/>
      <c r="AN98" s="76">
        <v>39931.413946759261</v>
      </c>
      <c r="AO98" s="76" t="s">
        <v>60</v>
      </c>
      <c r="AP98" s="76"/>
      <c r="AQ98" s="92"/>
      <c r="AR98" s="76"/>
      <c r="AS98" s="2"/>
      <c r="AT98" s="3"/>
      <c r="AU98" s="3"/>
      <c r="AV98" s="3"/>
      <c r="AW98" s="3"/>
    </row>
    <row r="99" spans="1:49" x14ac:dyDescent="0.25">
      <c r="A99" s="65"/>
      <c r="B99" s="66"/>
      <c r="C99" s="66"/>
      <c r="D99" s="67"/>
      <c r="E99" s="68"/>
      <c r="F99" s="93"/>
      <c r="G99" s="66"/>
      <c r="H99" s="69"/>
      <c r="I99" s="70"/>
      <c r="J99" s="70"/>
      <c r="K99" s="69"/>
      <c r="L99" s="72"/>
      <c r="M99" s="73">
        <v>2897.98486328125</v>
      </c>
      <c r="N99" s="73">
        <v>7222.83740234375</v>
      </c>
      <c r="O99" s="74"/>
      <c r="P99" s="75"/>
      <c r="Q99" s="75"/>
      <c r="R99" s="78">
        <f t="shared" si="1"/>
        <v>4</v>
      </c>
      <c r="S99" s="47">
        <v>1</v>
      </c>
      <c r="T99" s="47">
        <v>3</v>
      </c>
      <c r="U99" s="48">
        <v>34.971668999999999</v>
      </c>
      <c r="V99" s="48">
        <v>1.9610000000000001E-3</v>
      </c>
      <c r="W99" s="48">
        <v>1.134E-3</v>
      </c>
      <c r="X99" s="49"/>
      <c r="Y99" s="48">
        <v>0.16666666666666666</v>
      </c>
      <c r="Z99" s="48"/>
      <c r="AA99" s="71">
        <v>99</v>
      </c>
      <c r="AB99" s="71"/>
      <c r="AC99" s="116">
        <v>1</v>
      </c>
      <c r="AD99" s="76"/>
      <c r="AE99" s="76">
        <v>121</v>
      </c>
      <c r="AF99" s="76">
        <v>1992</v>
      </c>
      <c r="AG99" s="76">
        <v>2643</v>
      </c>
      <c r="AH99" s="76">
        <v>29</v>
      </c>
      <c r="AI99" s="76">
        <v>3600</v>
      </c>
      <c r="AJ99" s="76"/>
      <c r="AK99" s="76"/>
      <c r="AL99" s="92"/>
      <c r="AM99" s="76"/>
      <c r="AN99" s="76">
        <v>40330.330914351849</v>
      </c>
      <c r="AO99" s="76" t="s">
        <v>60</v>
      </c>
      <c r="AP99" s="76"/>
      <c r="AQ99" s="92"/>
      <c r="AR99" s="76"/>
      <c r="AS99" s="2"/>
      <c r="AT99" s="3"/>
      <c r="AU99" s="3"/>
      <c r="AV99" s="3"/>
      <c r="AW99" s="3"/>
    </row>
    <row r="100" spans="1:49" x14ac:dyDescent="0.25">
      <c r="A100" s="65"/>
      <c r="B100" s="66"/>
      <c r="C100" s="66"/>
      <c r="D100" s="67"/>
      <c r="E100" s="68"/>
      <c r="F100" s="93"/>
      <c r="G100" s="66"/>
      <c r="H100" s="69"/>
      <c r="I100" s="70"/>
      <c r="J100" s="70"/>
      <c r="K100" s="69"/>
      <c r="L100" s="72"/>
      <c r="M100" s="73">
        <v>7277.02099609375</v>
      </c>
      <c r="N100" s="73">
        <v>3807.9267578125</v>
      </c>
      <c r="O100" s="74"/>
      <c r="P100" s="75"/>
      <c r="Q100" s="75"/>
      <c r="R100" s="78">
        <f t="shared" si="1"/>
        <v>13</v>
      </c>
      <c r="S100" s="47">
        <v>13</v>
      </c>
      <c r="T100" s="47">
        <v>0</v>
      </c>
      <c r="U100" s="48">
        <v>54.678629000000001</v>
      </c>
      <c r="V100" s="48">
        <v>2.088E-3</v>
      </c>
      <c r="W100" s="48">
        <v>4.0819999999999997E-3</v>
      </c>
      <c r="X100" s="49"/>
      <c r="Y100" s="48">
        <v>0.20512820512820512</v>
      </c>
      <c r="Z100" s="48"/>
      <c r="AA100" s="71">
        <v>100</v>
      </c>
      <c r="AB100" s="71"/>
      <c r="AC100" s="116">
        <v>1</v>
      </c>
      <c r="AD100" s="76"/>
      <c r="AE100" s="76">
        <v>794</v>
      </c>
      <c r="AF100" s="76">
        <v>4499</v>
      </c>
      <c r="AG100" s="76">
        <v>4711</v>
      </c>
      <c r="AH100" s="76">
        <v>619</v>
      </c>
      <c r="AI100" s="76">
        <v>3600</v>
      </c>
      <c r="AJ100" s="76"/>
      <c r="AK100" s="76"/>
      <c r="AL100" s="92"/>
      <c r="AM100" s="76"/>
      <c r="AN100" s="76">
        <v>40095.482997685183</v>
      </c>
      <c r="AO100" s="76" t="s">
        <v>60</v>
      </c>
      <c r="AP100" s="76"/>
      <c r="AQ100" s="92"/>
      <c r="AR100" s="76"/>
      <c r="AS100" s="2"/>
      <c r="AT100" s="3"/>
      <c r="AU100" s="3"/>
      <c r="AV100" s="3"/>
      <c r="AW100" s="3"/>
    </row>
    <row r="101" spans="1:49" x14ac:dyDescent="0.25">
      <c r="A101" s="65"/>
      <c r="B101" s="66"/>
      <c r="C101" s="66"/>
      <c r="D101" s="67"/>
      <c r="E101" s="68"/>
      <c r="F101" s="93"/>
      <c r="G101" s="66"/>
      <c r="H101" s="69"/>
      <c r="I101" s="70"/>
      <c r="J101" s="70"/>
      <c r="K101" s="69"/>
      <c r="L101" s="72"/>
      <c r="M101" s="73">
        <v>336.5880126953125</v>
      </c>
      <c r="N101" s="73">
        <v>6890.34130859375</v>
      </c>
      <c r="O101" s="74"/>
      <c r="P101" s="75"/>
      <c r="Q101" s="75"/>
      <c r="R101" s="78">
        <f t="shared" si="1"/>
        <v>1</v>
      </c>
      <c r="S101" s="47">
        <v>1</v>
      </c>
      <c r="T101" s="47">
        <v>0</v>
      </c>
      <c r="U101" s="48">
        <v>0</v>
      </c>
      <c r="V101" s="48">
        <v>1.4430000000000001E-3</v>
      </c>
      <c r="W101" s="48">
        <v>5.1999999999999997E-5</v>
      </c>
      <c r="X101" s="49"/>
      <c r="Y101" s="48">
        <v>0</v>
      </c>
      <c r="Z101" s="48"/>
      <c r="AA101" s="71">
        <v>101</v>
      </c>
      <c r="AB101" s="71"/>
      <c r="AC101" s="116">
        <v>1</v>
      </c>
      <c r="AD101" s="76"/>
      <c r="AE101" s="76">
        <v>214</v>
      </c>
      <c r="AF101" s="76">
        <v>528</v>
      </c>
      <c r="AG101" s="76">
        <v>787</v>
      </c>
      <c r="AH101" s="76">
        <v>345</v>
      </c>
      <c r="AI101" s="76">
        <v>3600</v>
      </c>
      <c r="AJ101" s="76"/>
      <c r="AK101" s="76"/>
      <c r="AL101" s="92"/>
      <c r="AM101" s="76"/>
      <c r="AN101" s="76">
        <v>39884.57267361111</v>
      </c>
      <c r="AO101" s="76" t="s">
        <v>60</v>
      </c>
      <c r="AP101" s="76"/>
      <c r="AQ101" s="92"/>
      <c r="AR101" s="76"/>
      <c r="AS101" s="2"/>
      <c r="AT101" s="3"/>
      <c r="AU101" s="3"/>
      <c r="AV101" s="3"/>
      <c r="AW101" s="3"/>
    </row>
    <row r="102" spans="1:49" x14ac:dyDescent="0.25">
      <c r="A102" s="65"/>
      <c r="B102" s="66"/>
      <c r="C102" s="66"/>
      <c r="D102" s="67"/>
      <c r="E102" s="68"/>
      <c r="F102" s="93"/>
      <c r="G102" s="66"/>
      <c r="H102" s="69"/>
      <c r="I102" s="70"/>
      <c r="J102" s="70"/>
      <c r="K102" s="69"/>
      <c r="L102" s="72"/>
      <c r="M102" s="73">
        <v>4849.9833984375</v>
      </c>
      <c r="N102" s="73">
        <v>8674.56640625</v>
      </c>
      <c r="O102" s="74"/>
      <c r="P102" s="75"/>
      <c r="Q102" s="75"/>
      <c r="R102" s="78">
        <f t="shared" si="1"/>
        <v>5</v>
      </c>
      <c r="S102" s="47">
        <v>4</v>
      </c>
      <c r="T102" s="47">
        <v>1</v>
      </c>
      <c r="U102" s="48">
        <v>4.1257020000000004</v>
      </c>
      <c r="V102" s="48">
        <v>1.8079999999999999E-3</v>
      </c>
      <c r="W102" s="48">
        <v>1.1529999999999999E-3</v>
      </c>
      <c r="X102" s="49"/>
      <c r="Y102" s="48">
        <v>0.25</v>
      </c>
      <c r="Z102" s="48"/>
      <c r="AA102" s="71">
        <v>102</v>
      </c>
      <c r="AB102" s="71"/>
      <c r="AC102" s="116">
        <v>1</v>
      </c>
      <c r="AD102" s="76"/>
      <c r="AE102" s="76">
        <v>1134</v>
      </c>
      <c r="AF102" s="76">
        <v>5894</v>
      </c>
      <c r="AG102" s="76">
        <v>4480</v>
      </c>
      <c r="AH102" s="76">
        <v>541</v>
      </c>
      <c r="AI102" s="76">
        <v>3600</v>
      </c>
      <c r="AJ102" s="76"/>
      <c r="AK102" s="76"/>
      <c r="AL102" s="92"/>
      <c r="AM102" s="76"/>
      <c r="AN102" s="76">
        <v>39846.912928240738</v>
      </c>
      <c r="AO102" s="76" t="s">
        <v>60</v>
      </c>
      <c r="AP102" s="76"/>
      <c r="AQ102" s="92"/>
      <c r="AR102" s="76"/>
      <c r="AS102" s="2"/>
      <c r="AT102" s="3"/>
      <c r="AU102" s="3"/>
      <c r="AV102" s="3"/>
      <c r="AW102" s="3"/>
    </row>
    <row r="103" spans="1:49" x14ac:dyDescent="0.25">
      <c r="A103" s="65"/>
      <c r="B103" s="66"/>
      <c r="C103" s="66"/>
      <c r="D103" s="67"/>
      <c r="E103" s="68"/>
      <c r="F103" s="93"/>
      <c r="G103" s="66"/>
      <c r="H103" s="69"/>
      <c r="I103" s="70"/>
      <c r="J103" s="70"/>
      <c r="K103" s="69"/>
      <c r="L103" s="72"/>
      <c r="M103" s="73">
        <v>6277.59912109375</v>
      </c>
      <c r="N103" s="73">
        <v>6078.55859375</v>
      </c>
      <c r="O103" s="74"/>
      <c r="P103" s="75"/>
      <c r="Q103" s="75"/>
      <c r="R103" s="78">
        <f t="shared" si="1"/>
        <v>24</v>
      </c>
      <c r="S103" s="47">
        <v>8</v>
      </c>
      <c r="T103" s="47">
        <v>16</v>
      </c>
      <c r="U103" s="48">
        <v>532.39681399999995</v>
      </c>
      <c r="V103" s="48">
        <v>2.2520000000000001E-3</v>
      </c>
      <c r="W103" s="48">
        <v>5.6509999999999998E-3</v>
      </c>
      <c r="X103" s="49"/>
      <c r="Y103" s="48">
        <v>0.17836257309941519</v>
      </c>
      <c r="Z103" s="48"/>
      <c r="AA103" s="71">
        <v>103</v>
      </c>
      <c r="AB103" s="71"/>
      <c r="AC103" s="116">
        <v>1</v>
      </c>
      <c r="AD103" s="76"/>
      <c r="AE103" s="76">
        <v>494</v>
      </c>
      <c r="AF103" s="76">
        <v>1333</v>
      </c>
      <c r="AG103" s="76">
        <v>2137</v>
      </c>
      <c r="AH103" s="76">
        <v>1203</v>
      </c>
      <c r="AI103" s="76">
        <v>-25200</v>
      </c>
      <c r="AJ103" s="76"/>
      <c r="AK103" s="76"/>
      <c r="AL103" s="92"/>
      <c r="AM103" s="76"/>
      <c r="AN103" s="76">
        <v>42052.426099537035</v>
      </c>
      <c r="AO103" s="76" t="s">
        <v>60</v>
      </c>
      <c r="AP103" s="76"/>
      <c r="AQ103" s="92"/>
      <c r="AR103" s="76"/>
      <c r="AS103" s="2"/>
      <c r="AT103" s="3"/>
      <c r="AU103" s="3"/>
      <c r="AV103" s="3"/>
      <c r="AW103" s="3"/>
    </row>
    <row r="104" spans="1:49" x14ac:dyDescent="0.25">
      <c r="A104" s="65"/>
      <c r="B104" s="66"/>
      <c r="C104" s="66"/>
      <c r="D104" s="67"/>
      <c r="E104" s="68"/>
      <c r="F104" s="93"/>
      <c r="G104" s="66"/>
      <c r="H104" s="69"/>
      <c r="I104" s="70"/>
      <c r="J104" s="70"/>
      <c r="K104" s="69"/>
      <c r="L104" s="72"/>
      <c r="M104" s="73">
        <v>3116.2685546875</v>
      </c>
      <c r="N104" s="73">
        <v>5312.341796875</v>
      </c>
      <c r="O104" s="74"/>
      <c r="P104" s="75"/>
      <c r="Q104" s="75"/>
      <c r="R104" s="78">
        <f t="shared" si="1"/>
        <v>6</v>
      </c>
      <c r="S104" s="47">
        <v>5</v>
      </c>
      <c r="T104" s="47">
        <v>1</v>
      </c>
      <c r="U104" s="48">
        <v>2.81847</v>
      </c>
      <c r="V104" s="48">
        <v>2.0699999999999998E-3</v>
      </c>
      <c r="W104" s="48">
        <v>3.0460000000000001E-3</v>
      </c>
      <c r="X104" s="49"/>
      <c r="Y104" s="48">
        <v>0.43333333333333335</v>
      </c>
      <c r="Z104" s="48"/>
      <c r="AA104" s="71">
        <v>104</v>
      </c>
      <c r="AB104" s="71"/>
      <c r="AC104" s="116">
        <v>1</v>
      </c>
      <c r="AD104" s="76"/>
      <c r="AE104" s="76">
        <v>300</v>
      </c>
      <c r="AF104" s="76">
        <v>2349</v>
      </c>
      <c r="AG104" s="76">
        <v>2758</v>
      </c>
      <c r="AH104" s="76">
        <v>593</v>
      </c>
      <c r="AI104" s="76">
        <v>3600</v>
      </c>
      <c r="AJ104" s="76"/>
      <c r="AK104" s="76"/>
      <c r="AL104" s="92"/>
      <c r="AM104" s="76"/>
      <c r="AN104" s="76">
        <v>40785.901574074072</v>
      </c>
      <c r="AO104" s="76" t="s">
        <v>60</v>
      </c>
      <c r="AP104" s="76"/>
      <c r="AQ104" s="92"/>
      <c r="AR104" s="76"/>
      <c r="AS104" s="2"/>
      <c r="AT104" s="3"/>
      <c r="AU104" s="3"/>
      <c r="AV104" s="3"/>
      <c r="AW104" s="3"/>
    </row>
    <row r="105" spans="1:49" x14ac:dyDescent="0.25">
      <c r="A105" s="65"/>
      <c r="B105" s="66"/>
      <c r="C105" s="66"/>
      <c r="D105" s="67"/>
      <c r="E105" s="68"/>
      <c r="F105" s="93"/>
      <c r="G105" s="66"/>
      <c r="H105" s="69"/>
      <c r="I105" s="70"/>
      <c r="J105" s="70"/>
      <c r="K105" s="69"/>
      <c r="L105" s="72"/>
      <c r="M105" s="73">
        <v>8434.3369140625</v>
      </c>
      <c r="N105" s="73">
        <v>4451.14404296875</v>
      </c>
      <c r="O105" s="74"/>
      <c r="P105" s="75"/>
      <c r="Q105" s="75"/>
      <c r="R105" s="78">
        <f t="shared" si="1"/>
        <v>6</v>
      </c>
      <c r="S105" s="47">
        <v>3</v>
      </c>
      <c r="T105" s="47">
        <v>3</v>
      </c>
      <c r="U105" s="48">
        <v>17.794203</v>
      </c>
      <c r="V105" s="48">
        <v>1.931E-3</v>
      </c>
      <c r="W105" s="48">
        <v>1.81E-3</v>
      </c>
      <c r="X105" s="49"/>
      <c r="Y105" s="48">
        <v>0.45</v>
      </c>
      <c r="Z105" s="48"/>
      <c r="AA105" s="71">
        <v>105</v>
      </c>
      <c r="AB105" s="71"/>
      <c r="AC105" s="116">
        <v>1</v>
      </c>
      <c r="AD105" s="76"/>
      <c r="AE105" s="76">
        <v>185</v>
      </c>
      <c r="AF105" s="76">
        <v>581</v>
      </c>
      <c r="AG105" s="76">
        <v>2398</v>
      </c>
      <c r="AH105" s="76">
        <v>492</v>
      </c>
      <c r="AI105" s="76">
        <v>3600</v>
      </c>
      <c r="AJ105" s="76"/>
      <c r="AK105" s="76"/>
      <c r="AL105" s="76"/>
      <c r="AM105" s="76"/>
      <c r="AN105" s="76">
        <v>41113.633912037039</v>
      </c>
      <c r="AO105" s="76" t="s">
        <v>60</v>
      </c>
      <c r="AP105" s="76"/>
      <c r="AQ105" s="92"/>
      <c r="AR105" s="76"/>
      <c r="AS105" s="2"/>
      <c r="AT105" s="3"/>
      <c r="AU105" s="3"/>
      <c r="AV105" s="3"/>
      <c r="AW105" s="3"/>
    </row>
    <row r="106" spans="1:49" x14ac:dyDescent="0.25">
      <c r="A106" s="65"/>
      <c r="B106" s="66"/>
      <c r="C106" s="66"/>
      <c r="D106" s="67"/>
      <c r="E106" s="68"/>
      <c r="F106" s="93"/>
      <c r="G106" s="66"/>
      <c r="H106" s="69"/>
      <c r="I106" s="70"/>
      <c r="J106" s="70"/>
      <c r="K106" s="69"/>
      <c r="L106" s="72"/>
      <c r="M106" s="73">
        <v>5888.98974609375</v>
      </c>
      <c r="N106" s="73">
        <v>737.91192626953125</v>
      </c>
      <c r="O106" s="74"/>
      <c r="P106" s="75"/>
      <c r="Q106" s="75"/>
      <c r="R106" s="78">
        <f t="shared" si="1"/>
        <v>3</v>
      </c>
      <c r="S106" s="47">
        <v>2</v>
      </c>
      <c r="T106" s="47">
        <v>1</v>
      </c>
      <c r="U106" s="48">
        <v>0</v>
      </c>
      <c r="V106" s="48">
        <v>1.6980000000000001E-3</v>
      </c>
      <c r="W106" s="48">
        <v>6.9999999999999999E-4</v>
      </c>
      <c r="X106" s="49"/>
      <c r="Y106" s="48">
        <v>0.5</v>
      </c>
      <c r="Z106" s="48"/>
      <c r="AA106" s="71">
        <v>106</v>
      </c>
      <c r="AB106" s="71"/>
      <c r="AC106" s="116">
        <v>1</v>
      </c>
      <c r="AD106" s="76"/>
      <c r="AE106" s="76">
        <v>578</v>
      </c>
      <c r="AF106" s="76">
        <v>2763</v>
      </c>
      <c r="AG106" s="76">
        <v>3964</v>
      </c>
      <c r="AH106" s="76">
        <v>1871</v>
      </c>
      <c r="AI106" s="76">
        <v>3600</v>
      </c>
      <c r="AJ106" s="76"/>
      <c r="AK106" s="76"/>
      <c r="AL106" s="92"/>
      <c r="AM106" s="76"/>
      <c r="AN106" s="76">
        <v>41046.558113425926</v>
      </c>
      <c r="AO106" s="76" t="s">
        <v>60</v>
      </c>
      <c r="AP106" s="76"/>
      <c r="AQ106" s="92"/>
      <c r="AR106" s="76"/>
      <c r="AS106" s="2"/>
      <c r="AT106" s="3"/>
      <c r="AU106" s="3"/>
      <c r="AV106" s="3"/>
      <c r="AW106" s="3"/>
    </row>
    <row r="107" spans="1:49" x14ac:dyDescent="0.25">
      <c r="A107" s="65"/>
      <c r="B107" s="66"/>
      <c r="C107" s="66"/>
      <c r="D107" s="67"/>
      <c r="E107" s="68"/>
      <c r="F107" s="93"/>
      <c r="G107" s="66"/>
      <c r="H107" s="69"/>
      <c r="I107" s="70"/>
      <c r="J107" s="70"/>
      <c r="K107" s="69"/>
      <c r="L107" s="72"/>
      <c r="M107" s="73"/>
      <c r="N107" s="73"/>
      <c r="O107" s="74"/>
      <c r="P107" s="75"/>
      <c r="Q107" s="75"/>
      <c r="R107" s="78">
        <f t="shared" si="1"/>
        <v>0</v>
      </c>
      <c r="S107" s="47"/>
      <c r="T107" s="47"/>
      <c r="U107" s="48"/>
      <c r="V107" s="48"/>
      <c r="W107" s="48"/>
      <c r="X107" s="49"/>
      <c r="Y107" s="48"/>
      <c r="Z107" s="48"/>
      <c r="AA107" s="71">
        <v>107</v>
      </c>
      <c r="AB107" s="71"/>
      <c r="AC107" s="116">
        <v>1</v>
      </c>
      <c r="AD107" s="76"/>
      <c r="AE107" s="76">
        <v>726</v>
      </c>
      <c r="AF107" s="76">
        <v>1145</v>
      </c>
      <c r="AG107" s="76">
        <v>484</v>
      </c>
      <c r="AH107" s="76">
        <v>248</v>
      </c>
      <c r="AI107" s="76">
        <v>3600</v>
      </c>
      <c r="AJ107" s="76"/>
      <c r="AK107" s="76"/>
      <c r="AL107" s="92"/>
      <c r="AM107" s="76"/>
      <c r="AN107" s="76">
        <v>39951.806215277778</v>
      </c>
      <c r="AO107" s="76" t="s">
        <v>60</v>
      </c>
      <c r="AP107" s="76"/>
      <c r="AQ107" s="92"/>
      <c r="AR107" s="76"/>
      <c r="AS107" s="2"/>
      <c r="AT107" s="3"/>
      <c r="AU107" s="3"/>
      <c r="AV107" s="3"/>
      <c r="AW107" s="3"/>
    </row>
    <row r="108" spans="1:49" x14ac:dyDescent="0.25">
      <c r="A108" s="65"/>
      <c r="B108" s="66"/>
      <c r="C108" s="66"/>
      <c r="D108" s="67"/>
      <c r="E108" s="68"/>
      <c r="F108" s="93"/>
      <c r="G108" s="66"/>
      <c r="H108" s="69"/>
      <c r="I108" s="70"/>
      <c r="J108" s="70"/>
      <c r="K108" s="69"/>
      <c r="L108" s="72"/>
      <c r="M108" s="73">
        <v>7170.87939453125</v>
      </c>
      <c r="N108" s="73">
        <v>7590.173828125</v>
      </c>
      <c r="O108" s="74"/>
      <c r="P108" s="75"/>
      <c r="Q108" s="75"/>
      <c r="R108" s="78">
        <f t="shared" si="1"/>
        <v>6</v>
      </c>
      <c r="S108" s="47">
        <v>3</v>
      </c>
      <c r="T108" s="47">
        <v>3</v>
      </c>
      <c r="U108" s="48">
        <v>420.30146300000001</v>
      </c>
      <c r="V108" s="48">
        <v>1.8979999999999999E-3</v>
      </c>
      <c r="W108" s="48">
        <v>1.8519999999999999E-3</v>
      </c>
      <c r="X108" s="49"/>
      <c r="Y108" s="48">
        <v>0.26666666666666666</v>
      </c>
      <c r="Z108" s="48"/>
      <c r="AA108" s="71">
        <v>108</v>
      </c>
      <c r="AB108" s="71"/>
      <c r="AC108" s="116">
        <v>1</v>
      </c>
      <c r="AD108" s="76"/>
      <c r="AE108" s="76">
        <v>2467</v>
      </c>
      <c r="AF108" s="76">
        <v>5072</v>
      </c>
      <c r="AG108" s="76">
        <v>5073</v>
      </c>
      <c r="AH108" s="76">
        <v>1807</v>
      </c>
      <c r="AI108" s="76">
        <v>-36000</v>
      </c>
      <c r="AJ108" s="76"/>
      <c r="AK108" s="76"/>
      <c r="AL108" s="92"/>
      <c r="AM108" s="76"/>
      <c r="AN108" s="76">
        <v>40364.534444444442</v>
      </c>
      <c r="AO108" s="76" t="s">
        <v>60</v>
      </c>
      <c r="AP108" s="76"/>
      <c r="AQ108" s="92"/>
      <c r="AR108" s="76"/>
      <c r="AS108" s="2"/>
      <c r="AT108" s="3"/>
      <c r="AU108" s="3"/>
      <c r="AV108" s="3"/>
      <c r="AW108" s="3"/>
    </row>
    <row r="109" spans="1:49" x14ac:dyDescent="0.25">
      <c r="A109" s="65"/>
      <c r="B109" s="66"/>
      <c r="C109" s="66"/>
      <c r="D109" s="67"/>
      <c r="E109" s="68"/>
      <c r="F109" s="93"/>
      <c r="G109" s="66"/>
      <c r="H109" s="69"/>
      <c r="I109" s="70"/>
      <c r="J109" s="70"/>
      <c r="K109" s="69"/>
      <c r="L109" s="72"/>
      <c r="M109" s="73">
        <v>6242.4609375</v>
      </c>
      <c r="N109" s="73">
        <v>9161.9521484375</v>
      </c>
      <c r="O109" s="74"/>
      <c r="P109" s="75"/>
      <c r="Q109" s="75"/>
      <c r="R109" s="78">
        <f t="shared" si="1"/>
        <v>4</v>
      </c>
      <c r="S109" s="47">
        <v>3</v>
      </c>
      <c r="T109" s="47">
        <v>1</v>
      </c>
      <c r="U109" s="48">
        <v>2.5111110000000001</v>
      </c>
      <c r="V109" s="48">
        <v>1.647E-3</v>
      </c>
      <c r="W109" s="48">
        <v>5.62E-4</v>
      </c>
      <c r="X109" s="49"/>
      <c r="Y109" s="48">
        <v>0</v>
      </c>
      <c r="Z109" s="48"/>
      <c r="AA109" s="71">
        <v>109</v>
      </c>
      <c r="AB109" s="71"/>
      <c r="AC109" s="116">
        <v>1</v>
      </c>
      <c r="AD109" s="76"/>
      <c r="AE109" s="76">
        <v>110</v>
      </c>
      <c r="AF109" s="76">
        <v>685</v>
      </c>
      <c r="AG109" s="76">
        <v>204</v>
      </c>
      <c r="AH109" s="76">
        <v>9</v>
      </c>
      <c r="AI109" s="76">
        <v>3600</v>
      </c>
      <c r="AJ109" s="76"/>
      <c r="AK109" s="76"/>
      <c r="AL109" s="92"/>
      <c r="AM109" s="76"/>
      <c r="AN109" s="76">
        <v>40884.580833333333</v>
      </c>
      <c r="AO109" s="76" t="s">
        <v>60</v>
      </c>
      <c r="AP109" s="76"/>
      <c r="AQ109" s="92"/>
      <c r="AR109" s="76"/>
      <c r="AS109" s="2"/>
      <c r="AT109" s="3"/>
      <c r="AU109" s="3"/>
      <c r="AV109" s="3"/>
      <c r="AW109" s="3"/>
    </row>
    <row r="110" spans="1:49" x14ac:dyDescent="0.25">
      <c r="A110" s="65"/>
      <c r="B110" s="66"/>
      <c r="C110" s="66"/>
      <c r="D110" s="67"/>
      <c r="E110" s="68"/>
      <c r="F110" s="93"/>
      <c r="G110" s="66"/>
      <c r="H110" s="69"/>
      <c r="I110" s="70"/>
      <c r="J110" s="70"/>
      <c r="K110" s="69"/>
      <c r="L110" s="72"/>
      <c r="M110" s="73">
        <v>8196.1396484375</v>
      </c>
      <c r="N110" s="73">
        <v>7049.328125</v>
      </c>
      <c r="O110" s="74"/>
      <c r="P110" s="75"/>
      <c r="Q110" s="75"/>
      <c r="R110" s="78">
        <f t="shared" si="1"/>
        <v>5</v>
      </c>
      <c r="S110" s="47">
        <v>2</v>
      </c>
      <c r="T110" s="47">
        <v>3</v>
      </c>
      <c r="U110" s="48">
        <v>2.545204</v>
      </c>
      <c r="V110" s="48">
        <v>1.751E-3</v>
      </c>
      <c r="W110" s="48">
        <v>8.9400000000000005E-4</v>
      </c>
      <c r="X110" s="49"/>
      <c r="Y110" s="48">
        <v>0.16666666666666666</v>
      </c>
      <c r="Z110" s="48"/>
      <c r="AA110" s="71">
        <v>110</v>
      </c>
      <c r="AB110" s="71"/>
      <c r="AC110" s="116">
        <v>1</v>
      </c>
      <c r="AD110" s="76"/>
      <c r="AE110" s="76">
        <v>646</v>
      </c>
      <c r="AF110" s="76">
        <v>1580</v>
      </c>
      <c r="AG110" s="76">
        <v>1923</v>
      </c>
      <c r="AH110" s="76">
        <v>1643</v>
      </c>
      <c r="AI110" s="76"/>
      <c r="AJ110" s="76"/>
      <c r="AK110" s="76"/>
      <c r="AL110" s="92"/>
      <c r="AM110" s="76"/>
      <c r="AN110" s="76">
        <v>41325.383969907409</v>
      </c>
      <c r="AO110" s="76" t="s">
        <v>60</v>
      </c>
      <c r="AP110" s="76"/>
      <c r="AQ110" s="92"/>
      <c r="AR110" s="76"/>
      <c r="AS110" s="2"/>
      <c r="AT110" s="3"/>
      <c r="AU110" s="3"/>
      <c r="AV110" s="3"/>
      <c r="AW110" s="3"/>
    </row>
    <row r="111" spans="1:49" x14ac:dyDescent="0.25">
      <c r="A111" s="65"/>
      <c r="B111" s="66"/>
      <c r="C111" s="66"/>
      <c r="D111" s="67"/>
      <c r="E111" s="68"/>
      <c r="F111" s="93"/>
      <c r="G111" s="66"/>
      <c r="H111" s="69"/>
      <c r="I111" s="70"/>
      <c r="J111" s="70"/>
      <c r="K111" s="69"/>
      <c r="L111" s="72"/>
      <c r="M111" s="73">
        <v>7127.97509765625</v>
      </c>
      <c r="N111" s="73">
        <v>6280.73095703125</v>
      </c>
      <c r="O111" s="74"/>
      <c r="P111" s="75"/>
      <c r="Q111" s="75"/>
      <c r="R111" s="78">
        <f t="shared" si="1"/>
        <v>15</v>
      </c>
      <c r="S111" s="47">
        <v>6</v>
      </c>
      <c r="T111" s="47">
        <v>9</v>
      </c>
      <c r="U111" s="48">
        <v>22.498987</v>
      </c>
      <c r="V111" s="48">
        <v>2.1050000000000001E-3</v>
      </c>
      <c r="W111" s="48">
        <v>4.1949999999999999E-3</v>
      </c>
      <c r="X111" s="49"/>
      <c r="Y111" s="48">
        <v>0.37272727272727274</v>
      </c>
      <c r="Z111" s="48"/>
      <c r="AA111" s="71">
        <v>111</v>
      </c>
      <c r="AB111" s="71"/>
      <c r="AC111" s="116">
        <v>1</v>
      </c>
      <c r="AD111" s="76"/>
      <c r="AE111" s="76">
        <v>883</v>
      </c>
      <c r="AF111" s="76">
        <v>2966</v>
      </c>
      <c r="AG111" s="76">
        <v>2577</v>
      </c>
      <c r="AH111" s="76">
        <v>494</v>
      </c>
      <c r="AI111" s="76">
        <v>3600</v>
      </c>
      <c r="AJ111" s="76"/>
      <c r="AK111" s="76"/>
      <c r="AL111" s="92"/>
      <c r="AM111" s="76"/>
      <c r="AN111" s="76">
        <v>40514.632962962962</v>
      </c>
      <c r="AO111" s="76" t="s">
        <v>60</v>
      </c>
      <c r="AP111" s="76"/>
      <c r="AQ111" s="92"/>
      <c r="AR111" s="76"/>
      <c r="AS111" s="2"/>
      <c r="AT111" s="3"/>
      <c r="AU111" s="3"/>
      <c r="AV111" s="3"/>
      <c r="AW111" s="3"/>
    </row>
    <row r="112" spans="1:49" x14ac:dyDescent="0.25">
      <c r="A112" s="65"/>
      <c r="B112" s="66"/>
      <c r="C112" s="66"/>
      <c r="D112" s="67"/>
      <c r="E112" s="68"/>
      <c r="F112" s="93"/>
      <c r="G112" s="66"/>
      <c r="H112" s="69"/>
      <c r="I112" s="70"/>
      <c r="J112" s="70"/>
      <c r="K112" s="69"/>
      <c r="L112" s="72"/>
      <c r="M112" s="73">
        <v>3855.73486328125</v>
      </c>
      <c r="N112" s="73">
        <v>4258.35693359375</v>
      </c>
      <c r="O112" s="74"/>
      <c r="P112" s="75"/>
      <c r="Q112" s="75"/>
      <c r="R112" s="78">
        <f t="shared" si="1"/>
        <v>20</v>
      </c>
      <c r="S112" s="47">
        <v>9</v>
      </c>
      <c r="T112" s="47">
        <v>11</v>
      </c>
      <c r="U112" s="48">
        <v>81.220628000000005</v>
      </c>
      <c r="V112" s="48">
        <v>2.1879999999999998E-3</v>
      </c>
      <c r="W112" s="48">
        <v>4.8820000000000001E-3</v>
      </c>
      <c r="X112" s="49"/>
      <c r="Y112" s="48">
        <v>0.32857142857142857</v>
      </c>
      <c r="Z112" s="48"/>
      <c r="AA112" s="71">
        <v>112</v>
      </c>
      <c r="AB112" s="71"/>
      <c r="AC112" s="116">
        <v>1</v>
      </c>
      <c r="AD112" s="76"/>
      <c r="AE112" s="76">
        <v>1688</v>
      </c>
      <c r="AF112" s="76">
        <v>1646</v>
      </c>
      <c r="AG112" s="76">
        <v>2585</v>
      </c>
      <c r="AH112" s="76">
        <v>525</v>
      </c>
      <c r="AI112" s="76">
        <v>3600</v>
      </c>
      <c r="AJ112" s="76"/>
      <c r="AK112" s="76"/>
      <c r="AL112" s="92"/>
      <c r="AM112" s="76"/>
      <c r="AN112" s="76">
        <v>41800.485277777778</v>
      </c>
      <c r="AO112" s="76" t="s">
        <v>60</v>
      </c>
      <c r="AP112" s="76"/>
      <c r="AQ112" s="92"/>
      <c r="AR112" s="76"/>
      <c r="AS112" s="2"/>
      <c r="AT112" s="3"/>
      <c r="AU112" s="3"/>
      <c r="AV112" s="3"/>
      <c r="AW112" s="3"/>
    </row>
    <row r="113" spans="1:49" x14ac:dyDescent="0.25">
      <c r="A113" s="65"/>
      <c r="B113" s="66"/>
      <c r="C113" s="66"/>
      <c r="D113" s="67"/>
      <c r="E113" s="68"/>
      <c r="F113" s="93"/>
      <c r="G113" s="66"/>
      <c r="H113" s="69"/>
      <c r="I113" s="70"/>
      <c r="J113" s="70"/>
      <c r="K113" s="69"/>
      <c r="L113" s="72"/>
      <c r="M113" s="73">
        <v>5833.88427734375</v>
      </c>
      <c r="N113" s="73">
        <v>8218.2451171875</v>
      </c>
      <c r="O113" s="74"/>
      <c r="P113" s="75"/>
      <c r="Q113" s="75"/>
      <c r="R113" s="78">
        <f t="shared" si="1"/>
        <v>8</v>
      </c>
      <c r="S113" s="47">
        <v>5</v>
      </c>
      <c r="T113" s="47">
        <v>3</v>
      </c>
      <c r="U113" s="48">
        <v>7.435676</v>
      </c>
      <c r="V113" s="48">
        <v>1.9120000000000001E-3</v>
      </c>
      <c r="W113" s="48">
        <v>1.851E-3</v>
      </c>
      <c r="X113" s="49"/>
      <c r="Y113" s="48">
        <v>0.23333333333333334</v>
      </c>
      <c r="Z113" s="48"/>
      <c r="AA113" s="71">
        <v>113</v>
      </c>
      <c r="AB113" s="71"/>
      <c r="AC113" s="116">
        <v>1</v>
      </c>
      <c r="AD113" s="76"/>
      <c r="AE113" s="76">
        <v>1978</v>
      </c>
      <c r="AF113" s="76">
        <v>4521</v>
      </c>
      <c r="AG113" s="76">
        <v>5618</v>
      </c>
      <c r="AH113" s="76">
        <v>1104</v>
      </c>
      <c r="AI113" s="76">
        <v>3600</v>
      </c>
      <c r="AJ113" s="76"/>
      <c r="AK113" s="76"/>
      <c r="AL113" s="92"/>
      <c r="AM113" s="76"/>
      <c r="AN113" s="76">
        <v>40399.631261574075</v>
      </c>
      <c r="AO113" s="76" t="s">
        <v>60</v>
      </c>
      <c r="AP113" s="76"/>
      <c r="AQ113" s="92"/>
      <c r="AR113" s="76"/>
      <c r="AS113" s="2"/>
      <c r="AT113" s="3"/>
      <c r="AU113" s="3"/>
      <c r="AV113" s="3"/>
      <c r="AW113" s="3"/>
    </row>
    <row r="114" spans="1:49" x14ac:dyDescent="0.25">
      <c r="A114" s="65"/>
      <c r="B114" s="66"/>
      <c r="C114" s="66"/>
      <c r="D114" s="67"/>
      <c r="E114" s="68"/>
      <c r="F114" s="93"/>
      <c r="G114" s="66"/>
      <c r="H114" s="69"/>
      <c r="I114" s="70"/>
      <c r="J114" s="70"/>
      <c r="K114" s="69"/>
      <c r="L114" s="72"/>
      <c r="M114" s="73">
        <v>7282.98681640625</v>
      </c>
      <c r="N114" s="73">
        <v>6731.978515625</v>
      </c>
      <c r="O114" s="74"/>
      <c r="P114" s="75"/>
      <c r="Q114" s="75"/>
      <c r="R114" s="78">
        <f t="shared" si="1"/>
        <v>15</v>
      </c>
      <c r="S114" s="47">
        <v>6</v>
      </c>
      <c r="T114" s="47">
        <v>9</v>
      </c>
      <c r="U114" s="48">
        <v>29.195786999999999</v>
      </c>
      <c r="V114" s="48">
        <v>2.0240000000000002E-3</v>
      </c>
      <c r="W114" s="48">
        <v>4.522E-3</v>
      </c>
      <c r="X114" s="49"/>
      <c r="Y114" s="48">
        <v>0.34848484848484851</v>
      </c>
      <c r="Z114" s="48"/>
      <c r="AA114" s="71">
        <v>114</v>
      </c>
      <c r="AB114" s="71"/>
      <c r="AC114" s="116">
        <v>1</v>
      </c>
      <c r="AD114" s="76"/>
      <c r="AE114" s="76">
        <v>720</v>
      </c>
      <c r="AF114" s="76">
        <v>1053</v>
      </c>
      <c r="AG114" s="76">
        <v>949</v>
      </c>
      <c r="AH114" s="76">
        <v>601</v>
      </c>
      <c r="AI114" s="76"/>
      <c r="AJ114" s="76"/>
      <c r="AK114" s="76"/>
      <c r="AL114" s="92"/>
      <c r="AM114" s="76"/>
      <c r="AN114" s="76">
        <v>40870.630844907406</v>
      </c>
      <c r="AO114" s="76" t="s">
        <v>60</v>
      </c>
      <c r="AP114" s="76"/>
      <c r="AQ114" s="92"/>
      <c r="AR114" s="76"/>
      <c r="AS114" s="2"/>
      <c r="AT114" s="3"/>
      <c r="AU114" s="3"/>
      <c r="AV114" s="3"/>
      <c r="AW114" s="3"/>
    </row>
    <row r="115" spans="1:49" x14ac:dyDescent="0.25">
      <c r="A115" s="65"/>
      <c r="B115" s="66"/>
      <c r="C115" s="66"/>
      <c r="D115" s="67"/>
      <c r="E115" s="68"/>
      <c r="F115" s="93"/>
      <c r="G115" s="66"/>
      <c r="H115" s="69"/>
      <c r="I115" s="70"/>
      <c r="J115" s="70"/>
      <c r="K115" s="69"/>
      <c r="L115" s="72"/>
      <c r="M115" s="73">
        <v>6654.044921875</v>
      </c>
      <c r="N115" s="73">
        <v>3437.340087890625</v>
      </c>
      <c r="O115" s="74"/>
      <c r="P115" s="75"/>
      <c r="Q115" s="75"/>
      <c r="R115" s="78">
        <f t="shared" si="1"/>
        <v>22</v>
      </c>
      <c r="S115" s="47">
        <v>11</v>
      </c>
      <c r="T115" s="47">
        <v>11</v>
      </c>
      <c r="U115" s="48">
        <v>69.060209999999998</v>
      </c>
      <c r="V115" s="48">
        <v>2.1930000000000001E-3</v>
      </c>
      <c r="W115" s="48">
        <v>6.1110000000000001E-3</v>
      </c>
      <c r="X115" s="49"/>
      <c r="Y115" s="48">
        <v>0.39047619047619048</v>
      </c>
      <c r="Z115" s="48"/>
      <c r="AA115" s="71">
        <v>115</v>
      </c>
      <c r="AB115" s="71"/>
      <c r="AC115" s="116">
        <v>1</v>
      </c>
      <c r="AD115" s="76"/>
      <c r="AE115" s="76">
        <v>668</v>
      </c>
      <c r="AF115" s="76">
        <v>924</v>
      </c>
      <c r="AG115" s="76">
        <v>776</v>
      </c>
      <c r="AH115" s="76">
        <v>283</v>
      </c>
      <c r="AI115" s="76">
        <v>3600</v>
      </c>
      <c r="AJ115" s="76"/>
      <c r="AK115" s="76"/>
      <c r="AL115" s="92"/>
      <c r="AM115" s="76"/>
      <c r="AN115" s="76">
        <v>40106.578043981484</v>
      </c>
      <c r="AO115" s="76" t="s">
        <v>60</v>
      </c>
      <c r="AP115" s="76"/>
      <c r="AQ115" s="92"/>
      <c r="AR115" s="76"/>
      <c r="AS115" s="2"/>
      <c r="AT115" s="3"/>
      <c r="AU115" s="3"/>
      <c r="AV115" s="3"/>
      <c r="AW115" s="3"/>
    </row>
    <row r="116" spans="1:49" x14ac:dyDescent="0.25">
      <c r="A116" s="65"/>
      <c r="B116" s="66"/>
      <c r="C116" s="66"/>
      <c r="D116" s="67"/>
      <c r="E116" s="68"/>
      <c r="F116" s="93"/>
      <c r="G116" s="66"/>
      <c r="H116" s="69"/>
      <c r="I116" s="70"/>
      <c r="J116" s="70"/>
      <c r="K116" s="69"/>
      <c r="L116" s="72"/>
      <c r="M116" s="73">
        <v>8761.3828125</v>
      </c>
      <c r="N116" s="73">
        <v>9510.3359375</v>
      </c>
      <c r="O116" s="74"/>
      <c r="P116" s="75"/>
      <c r="Q116" s="75"/>
      <c r="R116" s="78">
        <f t="shared" si="1"/>
        <v>1</v>
      </c>
      <c r="S116" s="47">
        <v>1</v>
      </c>
      <c r="T116" s="47">
        <v>0</v>
      </c>
      <c r="U116" s="48">
        <v>0</v>
      </c>
      <c r="V116" s="48">
        <v>1.359E-3</v>
      </c>
      <c r="W116" s="48">
        <v>5.8999999999999998E-5</v>
      </c>
      <c r="X116" s="49"/>
      <c r="Y116" s="48">
        <v>0</v>
      </c>
      <c r="Z116" s="48"/>
      <c r="AA116" s="71">
        <v>116</v>
      </c>
      <c r="AB116" s="71"/>
      <c r="AC116" s="116">
        <v>1</v>
      </c>
      <c r="AD116" s="76"/>
      <c r="AE116" s="76">
        <v>46</v>
      </c>
      <c r="AF116" s="76">
        <v>83</v>
      </c>
      <c r="AG116" s="76">
        <v>97</v>
      </c>
      <c r="AH116" s="76">
        <v>1</v>
      </c>
      <c r="AI116" s="76">
        <v>3600</v>
      </c>
      <c r="AJ116" s="76"/>
      <c r="AK116" s="76"/>
      <c r="AL116" s="92"/>
      <c r="AM116" s="76"/>
      <c r="AN116" s="76">
        <v>40302.397060185183</v>
      </c>
      <c r="AO116" s="76" t="s">
        <v>60</v>
      </c>
      <c r="AP116" s="76"/>
      <c r="AQ116" s="92"/>
      <c r="AR116" s="76"/>
      <c r="AS116" s="2"/>
      <c r="AT116" s="3"/>
      <c r="AU116" s="3"/>
      <c r="AV116" s="3"/>
      <c r="AW116" s="3"/>
    </row>
    <row r="117" spans="1:49" x14ac:dyDescent="0.25">
      <c r="A117" s="65"/>
      <c r="B117" s="66"/>
      <c r="C117" s="66"/>
      <c r="D117" s="67"/>
      <c r="E117" s="68"/>
      <c r="F117" s="93"/>
      <c r="G117" s="66"/>
      <c r="H117" s="69"/>
      <c r="I117" s="70"/>
      <c r="J117" s="70"/>
      <c r="K117" s="69"/>
      <c r="L117" s="72"/>
      <c r="M117" s="73">
        <v>5968.02685546875</v>
      </c>
      <c r="N117" s="73">
        <v>5444.58203125</v>
      </c>
      <c r="O117" s="74"/>
      <c r="P117" s="75"/>
      <c r="Q117" s="75"/>
      <c r="R117" s="78">
        <f t="shared" si="1"/>
        <v>73</v>
      </c>
      <c r="S117" s="47">
        <v>39</v>
      </c>
      <c r="T117" s="47">
        <v>34</v>
      </c>
      <c r="U117" s="48">
        <v>1318.4055519999999</v>
      </c>
      <c r="V117" s="48">
        <v>2.5509999999999999E-3</v>
      </c>
      <c r="W117" s="48">
        <v>1.5726E-2</v>
      </c>
      <c r="X117" s="49"/>
      <c r="Y117" s="48">
        <v>0.19412191582002902</v>
      </c>
      <c r="Z117" s="48"/>
      <c r="AA117" s="71">
        <v>117</v>
      </c>
      <c r="AB117" s="71"/>
      <c r="AC117" s="116">
        <v>1</v>
      </c>
      <c r="AD117" s="76"/>
      <c r="AE117" s="76">
        <v>2395</v>
      </c>
      <c r="AF117" s="76">
        <v>6959</v>
      </c>
      <c r="AG117" s="76">
        <v>6897</v>
      </c>
      <c r="AH117" s="76">
        <v>3716</v>
      </c>
      <c r="AI117" s="76">
        <v>3600</v>
      </c>
      <c r="AJ117" s="76"/>
      <c r="AK117" s="76"/>
      <c r="AL117" s="92"/>
      <c r="AM117" s="76"/>
      <c r="AN117" s="76">
        <v>40961.491284722222</v>
      </c>
      <c r="AO117" s="76" t="s">
        <v>60</v>
      </c>
      <c r="AP117" s="76"/>
      <c r="AQ117" s="92"/>
      <c r="AR117" s="76"/>
      <c r="AS117" s="2"/>
      <c r="AT117" s="3"/>
      <c r="AU117" s="3"/>
      <c r="AV117" s="3"/>
      <c r="AW117" s="3"/>
    </row>
    <row r="118" spans="1:49" x14ac:dyDescent="0.25">
      <c r="A118" s="65"/>
      <c r="B118" s="66"/>
      <c r="C118" s="66"/>
      <c r="D118" s="67"/>
      <c r="E118" s="68"/>
      <c r="F118" s="93"/>
      <c r="G118" s="66"/>
      <c r="H118" s="69"/>
      <c r="I118" s="70"/>
      <c r="J118" s="70"/>
      <c r="K118" s="69"/>
      <c r="L118" s="72"/>
      <c r="M118" s="73">
        <v>7366.1845703125</v>
      </c>
      <c r="N118" s="73">
        <v>5518.6513671875</v>
      </c>
      <c r="O118" s="74"/>
      <c r="P118" s="75"/>
      <c r="Q118" s="75"/>
      <c r="R118" s="78">
        <f t="shared" si="1"/>
        <v>18</v>
      </c>
      <c r="S118" s="47">
        <v>16</v>
      </c>
      <c r="T118" s="47">
        <v>2</v>
      </c>
      <c r="U118" s="48">
        <v>34.046581000000003</v>
      </c>
      <c r="V118" s="48">
        <v>2.1649999999999998E-3</v>
      </c>
      <c r="W118" s="48">
        <v>6.3010000000000002E-3</v>
      </c>
      <c r="X118" s="49"/>
      <c r="Y118" s="48">
        <v>0.34558823529411764</v>
      </c>
      <c r="Z118" s="48"/>
      <c r="AA118" s="71">
        <v>118</v>
      </c>
      <c r="AB118" s="71"/>
      <c r="AC118" s="116">
        <v>1</v>
      </c>
      <c r="AD118" s="76"/>
      <c r="AE118" s="76">
        <v>335</v>
      </c>
      <c r="AF118" s="76">
        <v>3142</v>
      </c>
      <c r="AG118" s="76">
        <v>2224</v>
      </c>
      <c r="AH118" s="76">
        <v>128</v>
      </c>
      <c r="AI118" s="76">
        <v>3600</v>
      </c>
      <c r="AJ118" s="76"/>
      <c r="AK118" s="76"/>
      <c r="AL118" s="92"/>
      <c r="AM118" s="76"/>
      <c r="AN118" s="76">
        <v>40116.536574074074</v>
      </c>
      <c r="AO118" s="76" t="s">
        <v>60</v>
      </c>
      <c r="AP118" s="76"/>
      <c r="AQ118" s="92"/>
      <c r="AR118" s="76"/>
      <c r="AS118" s="2"/>
      <c r="AT118" s="3"/>
      <c r="AU118" s="3"/>
      <c r="AV118" s="3"/>
      <c r="AW118" s="3"/>
    </row>
    <row r="119" spans="1:49" x14ac:dyDescent="0.25">
      <c r="A119" s="65"/>
      <c r="B119" s="66"/>
      <c r="C119" s="66"/>
      <c r="D119" s="67"/>
      <c r="E119" s="68"/>
      <c r="F119" s="93"/>
      <c r="G119" s="66"/>
      <c r="H119" s="69"/>
      <c r="I119" s="70"/>
      <c r="J119" s="70"/>
      <c r="K119" s="69"/>
      <c r="L119" s="72"/>
      <c r="M119" s="73">
        <v>8561.6513671875</v>
      </c>
      <c r="N119" s="73">
        <v>3744.349365234375</v>
      </c>
      <c r="O119" s="74"/>
      <c r="P119" s="75"/>
      <c r="Q119" s="75"/>
      <c r="R119" s="78">
        <f t="shared" si="1"/>
        <v>6</v>
      </c>
      <c r="S119" s="47">
        <v>2</v>
      </c>
      <c r="T119" s="47">
        <v>4</v>
      </c>
      <c r="U119" s="48">
        <v>8.3537269999999992</v>
      </c>
      <c r="V119" s="48">
        <v>1.828E-3</v>
      </c>
      <c r="W119" s="48">
        <v>1.5770000000000001E-3</v>
      </c>
      <c r="X119" s="49"/>
      <c r="Y119" s="48">
        <v>0.5</v>
      </c>
      <c r="Z119" s="48"/>
      <c r="AA119" s="71">
        <v>119</v>
      </c>
      <c r="AB119" s="71"/>
      <c r="AC119" s="116">
        <v>1</v>
      </c>
      <c r="AD119" s="76"/>
      <c r="AE119" s="76">
        <v>1412</v>
      </c>
      <c r="AF119" s="76">
        <v>8314</v>
      </c>
      <c r="AG119" s="76">
        <v>5478</v>
      </c>
      <c r="AH119" s="76">
        <v>1064</v>
      </c>
      <c r="AI119" s="76">
        <v>3600</v>
      </c>
      <c r="AJ119" s="76"/>
      <c r="AK119" s="76"/>
      <c r="AL119" s="92"/>
      <c r="AM119" s="76"/>
      <c r="AN119" s="76">
        <v>39954.624374999999</v>
      </c>
      <c r="AO119" s="76" t="s">
        <v>60</v>
      </c>
      <c r="AP119" s="76"/>
      <c r="AQ119" s="92"/>
      <c r="AR119" s="76"/>
      <c r="AS119" s="2"/>
      <c r="AT119" s="3"/>
      <c r="AU119" s="3"/>
      <c r="AV119" s="3"/>
      <c r="AW119" s="3"/>
    </row>
    <row r="120" spans="1:49" x14ac:dyDescent="0.25">
      <c r="A120" s="65"/>
      <c r="B120" s="66"/>
      <c r="C120" s="66"/>
      <c r="D120" s="67"/>
      <c r="E120" s="68"/>
      <c r="F120" s="93"/>
      <c r="G120" s="66"/>
      <c r="H120" s="69"/>
      <c r="I120" s="70"/>
      <c r="J120" s="70"/>
      <c r="K120" s="69"/>
      <c r="L120" s="72"/>
      <c r="M120" s="73">
        <v>4814.8232421875</v>
      </c>
      <c r="N120" s="73">
        <v>6700.32958984375</v>
      </c>
      <c r="O120" s="74"/>
      <c r="P120" s="75"/>
      <c r="Q120" s="75"/>
      <c r="R120" s="78">
        <f t="shared" si="1"/>
        <v>27</v>
      </c>
      <c r="S120" s="47">
        <v>16</v>
      </c>
      <c r="T120" s="47">
        <v>11</v>
      </c>
      <c r="U120" s="48">
        <v>525.51177700000005</v>
      </c>
      <c r="V120" s="48">
        <v>2.2269999999999998E-3</v>
      </c>
      <c r="W120" s="48">
        <v>6.8849999999999996E-3</v>
      </c>
      <c r="X120" s="49"/>
      <c r="Y120" s="48">
        <v>0.24761904761904763</v>
      </c>
      <c r="Z120" s="48"/>
      <c r="AA120" s="71">
        <v>120</v>
      </c>
      <c r="AB120" s="71"/>
      <c r="AC120" s="116">
        <v>1</v>
      </c>
      <c r="AD120" s="76"/>
      <c r="AE120" s="76">
        <v>2118</v>
      </c>
      <c r="AF120" s="76">
        <v>3481</v>
      </c>
      <c r="AG120" s="76">
        <v>7762</v>
      </c>
      <c r="AH120" s="76">
        <v>1388</v>
      </c>
      <c r="AI120" s="76">
        <v>3600</v>
      </c>
      <c r="AJ120" s="76"/>
      <c r="AK120" s="76"/>
      <c r="AL120" s="92"/>
      <c r="AM120" s="76"/>
      <c r="AN120" s="76">
        <v>39959.517245370371</v>
      </c>
      <c r="AO120" s="76" t="s">
        <v>60</v>
      </c>
      <c r="AP120" s="76"/>
      <c r="AQ120" s="92"/>
      <c r="AR120" s="76"/>
      <c r="AS120" s="2"/>
      <c r="AT120" s="3"/>
      <c r="AU120" s="3"/>
      <c r="AV120" s="3"/>
      <c r="AW120" s="3"/>
    </row>
    <row r="121" spans="1:49" x14ac:dyDescent="0.25">
      <c r="A121" s="65"/>
      <c r="B121" s="66"/>
      <c r="C121" s="66"/>
      <c r="D121" s="67"/>
      <c r="E121" s="68"/>
      <c r="F121" s="93"/>
      <c r="G121" s="66"/>
      <c r="H121" s="69"/>
      <c r="I121" s="70"/>
      <c r="J121" s="70"/>
      <c r="K121" s="69"/>
      <c r="L121" s="72"/>
      <c r="M121" s="73">
        <v>4697.41259765625</v>
      </c>
      <c r="N121" s="73">
        <v>2100.0361328125</v>
      </c>
      <c r="O121" s="74"/>
      <c r="P121" s="75"/>
      <c r="Q121" s="75"/>
      <c r="R121" s="78">
        <f t="shared" si="1"/>
        <v>4</v>
      </c>
      <c r="S121" s="47">
        <v>2</v>
      </c>
      <c r="T121" s="47">
        <v>2</v>
      </c>
      <c r="U121" s="48">
        <v>1</v>
      </c>
      <c r="V121" s="48">
        <v>2.0530000000000001E-3</v>
      </c>
      <c r="W121" s="48">
        <v>1.9530000000000001E-3</v>
      </c>
      <c r="X121" s="49"/>
      <c r="Y121" s="48">
        <v>0.41666666666666669</v>
      </c>
      <c r="Z121" s="48"/>
      <c r="AA121" s="71">
        <v>121</v>
      </c>
      <c r="AB121" s="71"/>
      <c r="AC121" s="116">
        <v>1</v>
      </c>
      <c r="AD121" s="76"/>
      <c r="AE121" s="76">
        <v>154</v>
      </c>
      <c r="AF121" s="76">
        <v>705</v>
      </c>
      <c r="AG121" s="76">
        <v>1173</v>
      </c>
      <c r="AH121" s="76">
        <v>126</v>
      </c>
      <c r="AI121" s="76">
        <v>3600</v>
      </c>
      <c r="AJ121" s="76"/>
      <c r="AK121" s="76"/>
      <c r="AL121" s="92"/>
      <c r="AM121" s="76"/>
      <c r="AN121" s="76">
        <v>41179.637881944444</v>
      </c>
      <c r="AO121" s="76" t="s">
        <v>60</v>
      </c>
      <c r="AP121" s="76"/>
      <c r="AQ121" s="92"/>
      <c r="AR121" s="76"/>
      <c r="AS121" s="2"/>
      <c r="AT121" s="3"/>
      <c r="AU121" s="3"/>
      <c r="AV121" s="3"/>
      <c r="AW121" s="3"/>
    </row>
    <row r="122" spans="1:49" x14ac:dyDescent="0.25">
      <c r="A122" s="65"/>
      <c r="B122" s="66"/>
      <c r="C122" s="66"/>
      <c r="D122" s="67"/>
      <c r="E122" s="68"/>
      <c r="F122" s="93"/>
      <c r="G122" s="66"/>
      <c r="H122" s="69"/>
      <c r="I122" s="70"/>
      <c r="J122" s="70"/>
      <c r="K122" s="69"/>
      <c r="L122" s="72"/>
      <c r="M122" s="73">
        <v>6066.2392578125</v>
      </c>
      <c r="N122" s="73">
        <v>4163.7529296875</v>
      </c>
      <c r="O122" s="74"/>
      <c r="P122" s="75"/>
      <c r="Q122" s="75"/>
      <c r="R122" s="78">
        <f t="shared" si="1"/>
        <v>30</v>
      </c>
      <c r="S122" s="47">
        <v>9</v>
      </c>
      <c r="T122" s="47">
        <v>21</v>
      </c>
      <c r="U122" s="48">
        <v>33.793320999999999</v>
      </c>
      <c r="V122" s="48">
        <v>2.3040000000000001E-3</v>
      </c>
      <c r="W122" s="48">
        <v>9.5739999999999992E-3</v>
      </c>
      <c r="X122" s="49"/>
      <c r="Y122" s="48">
        <v>0.45238095238095238</v>
      </c>
      <c r="Z122" s="48"/>
      <c r="AA122" s="71">
        <v>122</v>
      </c>
      <c r="AB122" s="71"/>
      <c r="AC122" s="116">
        <v>1</v>
      </c>
      <c r="AD122" s="76"/>
      <c r="AE122" s="76">
        <v>1004</v>
      </c>
      <c r="AF122" s="76">
        <v>861</v>
      </c>
      <c r="AG122" s="76">
        <v>2027</v>
      </c>
      <c r="AH122" s="76">
        <v>726</v>
      </c>
      <c r="AI122" s="76">
        <v>3600</v>
      </c>
      <c r="AJ122" s="76"/>
      <c r="AK122" s="76"/>
      <c r="AL122" s="92"/>
      <c r="AM122" s="76"/>
      <c r="AN122" s="76">
        <v>40017.57435185185</v>
      </c>
      <c r="AO122" s="76" t="s">
        <v>60</v>
      </c>
      <c r="AP122" s="76"/>
      <c r="AQ122" s="92"/>
      <c r="AR122" s="76"/>
      <c r="AS122" s="2"/>
      <c r="AT122" s="3"/>
      <c r="AU122" s="3"/>
      <c r="AV122" s="3"/>
      <c r="AW122" s="3"/>
    </row>
    <row r="123" spans="1:49" x14ac:dyDescent="0.25">
      <c r="A123" s="65"/>
      <c r="B123" s="66"/>
      <c r="C123" s="66"/>
      <c r="D123" s="67"/>
      <c r="E123" s="68"/>
      <c r="F123" s="93"/>
      <c r="G123" s="66"/>
      <c r="H123" s="69"/>
      <c r="I123" s="70"/>
      <c r="J123" s="70"/>
      <c r="K123" s="69"/>
      <c r="L123" s="72"/>
      <c r="M123" s="73">
        <v>5094.46923828125</v>
      </c>
      <c r="N123" s="73">
        <v>8357.0009765625</v>
      </c>
      <c r="O123" s="74"/>
      <c r="P123" s="75"/>
      <c r="Q123" s="75"/>
      <c r="R123" s="78">
        <f t="shared" si="1"/>
        <v>6</v>
      </c>
      <c r="S123" s="47">
        <v>2</v>
      </c>
      <c r="T123" s="47">
        <v>4</v>
      </c>
      <c r="U123" s="48">
        <v>34.175317</v>
      </c>
      <c r="V123" s="48">
        <v>1.8829999999999999E-3</v>
      </c>
      <c r="W123" s="48">
        <v>1.158E-3</v>
      </c>
      <c r="X123" s="49"/>
      <c r="Y123" s="48">
        <v>0.15</v>
      </c>
      <c r="Z123" s="48"/>
      <c r="AA123" s="71">
        <v>123</v>
      </c>
      <c r="AB123" s="71"/>
      <c r="AC123" s="116">
        <v>1</v>
      </c>
      <c r="AD123" s="76"/>
      <c r="AE123" s="76">
        <v>204</v>
      </c>
      <c r="AF123" s="76">
        <v>3954</v>
      </c>
      <c r="AG123" s="76">
        <v>3249</v>
      </c>
      <c r="AH123" s="76">
        <v>40</v>
      </c>
      <c r="AI123" s="76"/>
      <c r="AJ123" s="76"/>
      <c r="AK123" s="76"/>
      <c r="AL123" s="92"/>
      <c r="AM123" s="76"/>
      <c r="AN123" s="76">
        <v>41016.411458333336</v>
      </c>
      <c r="AO123" s="76" t="s">
        <v>60</v>
      </c>
      <c r="AP123" s="76"/>
      <c r="AQ123" s="92"/>
      <c r="AR123" s="76"/>
      <c r="AS123" s="2"/>
      <c r="AT123" s="3"/>
      <c r="AU123" s="3"/>
      <c r="AV123" s="3"/>
      <c r="AW123" s="3"/>
    </row>
    <row r="124" spans="1:49" x14ac:dyDescent="0.25">
      <c r="A124" s="65"/>
      <c r="B124" s="66"/>
      <c r="C124" s="96"/>
      <c r="D124" s="99"/>
      <c r="E124" s="95"/>
      <c r="F124" s="93"/>
      <c r="G124" s="96"/>
      <c r="H124" s="100"/>
      <c r="I124" s="101"/>
      <c r="J124" s="101"/>
      <c r="K124" s="100"/>
      <c r="L124" s="102"/>
      <c r="M124" s="103">
        <v>4107.2392578125</v>
      </c>
      <c r="N124" s="103">
        <v>7116.482421875</v>
      </c>
      <c r="O124" s="104"/>
      <c r="P124" s="105"/>
      <c r="Q124" s="105"/>
      <c r="R124" s="106">
        <f t="shared" si="1"/>
        <v>12</v>
      </c>
      <c r="S124" s="47">
        <v>4</v>
      </c>
      <c r="T124" s="47">
        <v>8</v>
      </c>
      <c r="U124" s="48">
        <v>1.258235</v>
      </c>
      <c r="V124" s="48">
        <v>2.1050000000000001E-3</v>
      </c>
      <c r="W124" s="48">
        <v>3.9750000000000002E-3</v>
      </c>
      <c r="X124" s="107"/>
      <c r="Y124" s="48">
        <v>0.625</v>
      </c>
      <c r="Z124" s="108"/>
      <c r="AA124" s="109">
        <v>124</v>
      </c>
      <c r="AB124" s="109"/>
      <c r="AC124" s="116">
        <v>1</v>
      </c>
      <c r="AD124" s="76"/>
      <c r="AE124" s="76">
        <v>569</v>
      </c>
      <c r="AF124" s="76">
        <v>1732</v>
      </c>
      <c r="AG124" s="76">
        <v>7124</v>
      </c>
      <c r="AH124" s="76">
        <v>410</v>
      </c>
      <c r="AI124" s="76">
        <v>3600</v>
      </c>
      <c r="AJ124" s="76"/>
      <c r="AK124" s="76"/>
      <c r="AL124" s="92"/>
      <c r="AM124" s="76"/>
      <c r="AN124" s="76">
        <v>40983.819537037038</v>
      </c>
      <c r="AO124" s="76" t="s">
        <v>60</v>
      </c>
      <c r="AP124" s="76"/>
      <c r="AQ124" s="92"/>
      <c r="AR124" s="76"/>
      <c r="AS124" s="2"/>
      <c r="AT124" s="3"/>
      <c r="AU124" s="3"/>
      <c r="AV124" s="3"/>
      <c r="AW124" s="3"/>
    </row>
    <row r="125" spans="1:49" x14ac:dyDescent="0.25">
      <c r="A125" s="65"/>
      <c r="B125" s="66"/>
      <c r="C125" s="66"/>
      <c r="D125" s="67"/>
      <c r="E125" s="68"/>
      <c r="F125" s="93"/>
      <c r="G125" s="66"/>
      <c r="H125" s="69"/>
      <c r="I125" s="70"/>
      <c r="J125" s="70"/>
      <c r="K125" s="69"/>
      <c r="L125" s="72"/>
      <c r="M125" s="73">
        <v>5177.201171875</v>
      </c>
      <c r="N125" s="73">
        <v>889.19573974609375</v>
      </c>
      <c r="O125" s="74"/>
      <c r="P125" s="75"/>
      <c r="Q125" s="75"/>
      <c r="R125" s="78">
        <f t="shared" si="1"/>
        <v>4</v>
      </c>
      <c r="S125" s="47">
        <v>1</v>
      </c>
      <c r="T125" s="47">
        <v>3</v>
      </c>
      <c r="U125" s="48">
        <v>1.2609760000000001</v>
      </c>
      <c r="V125" s="48">
        <v>1.7210000000000001E-3</v>
      </c>
      <c r="W125" s="48">
        <v>6.9700000000000003E-4</v>
      </c>
      <c r="X125" s="49"/>
      <c r="Y125" s="48">
        <v>0.16666666666666666</v>
      </c>
      <c r="Z125" s="48"/>
      <c r="AA125" s="71">
        <v>125</v>
      </c>
      <c r="AB125" s="71"/>
      <c r="AC125" s="116">
        <v>1</v>
      </c>
      <c r="AD125" s="76"/>
      <c r="AE125" s="76">
        <v>921</v>
      </c>
      <c r="AF125" s="76">
        <v>4386</v>
      </c>
      <c r="AG125" s="76">
        <v>7491</v>
      </c>
      <c r="AH125" s="76">
        <v>1918</v>
      </c>
      <c r="AI125" s="76">
        <v>3600</v>
      </c>
      <c r="AJ125" s="76"/>
      <c r="AK125" s="76"/>
      <c r="AL125" s="92"/>
      <c r="AM125" s="76"/>
      <c r="AN125" s="76">
        <v>39561.751238425924</v>
      </c>
      <c r="AO125" s="76" t="s">
        <v>60</v>
      </c>
      <c r="AP125" s="76"/>
      <c r="AQ125" s="92"/>
      <c r="AR125" s="76"/>
      <c r="AS125" s="2"/>
      <c r="AT125" s="3"/>
      <c r="AU125" s="3"/>
      <c r="AV125" s="3"/>
      <c r="AW125" s="3"/>
    </row>
    <row r="126" spans="1:49" x14ac:dyDescent="0.25">
      <c r="A126" s="65"/>
      <c r="B126" s="66"/>
      <c r="C126" s="66"/>
      <c r="D126" s="67"/>
      <c r="E126" s="68"/>
      <c r="F126" s="93"/>
      <c r="G126" s="66"/>
      <c r="H126" s="69"/>
      <c r="I126" s="70"/>
      <c r="J126" s="70"/>
      <c r="K126" s="69"/>
      <c r="L126" s="72"/>
      <c r="M126" s="73">
        <v>3951.226806640625</v>
      </c>
      <c r="N126" s="73">
        <v>2875.0595703125</v>
      </c>
      <c r="O126" s="74"/>
      <c r="P126" s="75"/>
      <c r="Q126" s="75"/>
      <c r="R126" s="78">
        <f t="shared" si="1"/>
        <v>7</v>
      </c>
      <c r="S126" s="47">
        <v>2</v>
      </c>
      <c r="T126" s="47">
        <v>5</v>
      </c>
      <c r="U126" s="48">
        <v>11.39681</v>
      </c>
      <c r="V126" s="48">
        <v>2.062E-3</v>
      </c>
      <c r="W126" s="48">
        <v>2.4489999999999998E-3</v>
      </c>
      <c r="X126" s="49"/>
      <c r="Y126" s="48">
        <v>0.33333333333333331</v>
      </c>
      <c r="Z126" s="48"/>
      <c r="AA126" s="71">
        <v>126</v>
      </c>
      <c r="AB126" s="71"/>
      <c r="AC126" s="116">
        <v>2</v>
      </c>
      <c r="AD126" s="76"/>
      <c r="AE126" s="76">
        <v>570</v>
      </c>
      <c r="AF126" s="76">
        <v>1202</v>
      </c>
      <c r="AG126" s="76">
        <v>928</v>
      </c>
      <c r="AH126" s="76">
        <v>76</v>
      </c>
      <c r="AI126" s="76">
        <v>3600</v>
      </c>
      <c r="AJ126" s="76"/>
      <c r="AK126" s="76"/>
      <c r="AL126" s="92"/>
      <c r="AM126" s="76"/>
      <c r="AN126" s="76">
        <v>41556.450462962966</v>
      </c>
      <c r="AO126" s="76" t="s">
        <v>60</v>
      </c>
      <c r="AP126" s="76"/>
      <c r="AQ126" s="92"/>
      <c r="AR126" s="76"/>
      <c r="AS126" s="2"/>
      <c r="AT126" s="3"/>
      <c r="AU126" s="3"/>
      <c r="AV126" s="3"/>
      <c r="AW126" s="3"/>
    </row>
    <row r="127" spans="1:49" x14ac:dyDescent="0.25">
      <c r="A127" s="65"/>
      <c r="B127" s="66"/>
      <c r="C127" s="66"/>
      <c r="D127" s="67"/>
      <c r="E127" s="68"/>
      <c r="F127" s="93"/>
      <c r="G127" s="66"/>
      <c r="H127" s="69"/>
      <c r="I127" s="70"/>
      <c r="J127" s="70"/>
      <c r="K127" s="69"/>
      <c r="L127" s="72"/>
      <c r="M127" s="73">
        <v>6677.86962890625</v>
      </c>
      <c r="N127" s="73">
        <v>2399.908935546875</v>
      </c>
      <c r="O127" s="74"/>
      <c r="P127" s="75"/>
      <c r="Q127" s="75"/>
      <c r="R127" s="78">
        <f t="shared" si="1"/>
        <v>9</v>
      </c>
      <c r="S127" s="47">
        <v>4</v>
      </c>
      <c r="T127" s="47">
        <v>5</v>
      </c>
      <c r="U127" s="48">
        <v>74.269880999999998</v>
      </c>
      <c r="V127" s="48">
        <v>1.9959999999999999E-3</v>
      </c>
      <c r="W127" s="48">
        <v>2.2409999999999999E-3</v>
      </c>
      <c r="X127" s="49"/>
      <c r="Y127" s="48">
        <v>0.26785714285714285</v>
      </c>
      <c r="Z127" s="48"/>
      <c r="AA127" s="71">
        <v>127</v>
      </c>
      <c r="AB127" s="71"/>
      <c r="AC127" s="116">
        <v>2</v>
      </c>
      <c r="AD127" s="76"/>
      <c r="AE127" s="76">
        <v>309</v>
      </c>
      <c r="AF127" s="76">
        <v>904</v>
      </c>
      <c r="AG127" s="76">
        <v>752</v>
      </c>
      <c r="AH127" s="76">
        <v>605</v>
      </c>
      <c r="AI127" s="76">
        <v>3600</v>
      </c>
      <c r="AJ127" s="76"/>
      <c r="AK127" s="76"/>
      <c r="AL127" s="92"/>
      <c r="AM127" s="76"/>
      <c r="AN127" s="76">
        <v>41577.547847222224</v>
      </c>
      <c r="AO127" s="76" t="s">
        <v>60</v>
      </c>
      <c r="AP127" s="76"/>
      <c r="AQ127" s="92"/>
      <c r="AR127" s="76"/>
      <c r="AS127" s="2"/>
      <c r="AT127" s="3"/>
      <c r="AU127" s="3"/>
      <c r="AV127" s="3"/>
      <c r="AW127" s="3"/>
    </row>
    <row r="128" spans="1:49" x14ac:dyDescent="0.25">
      <c r="A128" s="65"/>
      <c r="B128" s="66"/>
      <c r="C128" s="66"/>
      <c r="D128" s="67"/>
      <c r="E128" s="68"/>
      <c r="F128" s="93"/>
      <c r="G128" s="66"/>
      <c r="H128" s="69"/>
      <c r="I128" s="70"/>
      <c r="J128" s="70"/>
      <c r="K128" s="69"/>
      <c r="L128" s="72"/>
      <c r="M128" s="73">
        <v>6326.41357421875</v>
      </c>
      <c r="N128" s="73">
        <v>4483.3291015625</v>
      </c>
      <c r="O128" s="74"/>
      <c r="P128" s="75"/>
      <c r="Q128" s="75"/>
      <c r="R128" s="78">
        <f t="shared" si="1"/>
        <v>46</v>
      </c>
      <c r="S128" s="47">
        <v>13</v>
      </c>
      <c r="T128" s="47">
        <v>33</v>
      </c>
      <c r="U128" s="48">
        <v>281.545841</v>
      </c>
      <c r="V128" s="48">
        <v>2.392E-3</v>
      </c>
      <c r="W128" s="48">
        <v>1.1364000000000001E-2</v>
      </c>
      <c r="X128" s="49"/>
      <c r="Y128" s="48">
        <v>0.26554621848739496</v>
      </c>
      <c r="Z128" s="48"/>
      <c r="AA128" s="71">
        <v>128</v>
      </c>
      <c r="AB128" s="71"/>
      <c r="AC128" s="116">
        <v>2</v>
      </c>
      <c r="AD128" s="76"/>
      <c r="AE128" s="76">
        <v>1231</v>
      </c>
      <c r="AF128" s="76">
        <v>1666</v>
      </c>
      <c r="AG128" s="76">
        <v>4022</v>
      </c>
      <c r="AH128" s="76">
        <v>523</v>
      </c>
      <c r="AI128" s="76"/>
      <c r="AJ128" s="76"/>
      <c r="AK128" s="76"/>
      <c r="AL128" s="92"/>
      <c r="AM128" s="76"/>
      <c r="AN128" s="76">
        <v>42086.564409722225</v>
      </c>
      <c r="AO128" s="76" t="s">
        <v>60</v>
      </c>
      <c r="AP128" s="76"/>
      <c r="AQ128" s="92"/>
      <c r="AR128" s="76"/>
      <c r="AS128" s="2"/>
      <c r="AT128" s="3"/>
      <c r="AU128" s="3"/>
      <c r="AV128" s="3"/>
      <c r="AW128" s="3"/>
    </row>
    <row r="129" spans="1:49" x14ac:dyDescent="0.25">
      <c r="A129" s="65"/>
      <c r="B129" s="66"/>
      <c r="C129" s="66"/>
      <c r="D129" s="67"/>
      <c r="E129" s="68"/>
      <c r="F129" s="93"/>
      <c r="G129" s="66"/>
      <c r="H129" s="69"/>
      <c r="I129" s="70"/>
      <c r="J129" s="70"/>
      <c r="K129" s="69"/>
      <c r="L129" s="72"/>
      <c r="M129" s="73">
        <v>4106.6123046875</v>
      </c>
      <c r="N129" s="73">
        <v>3738.01318359375</v>
      </c>
      <c r="O129" s="74"/>
      <c r="P129" s="75"/>
      <c r="Q129" s="75"/>
      <c r="R129" s="78">
        <f t="shared" si="1"/>
        <v>0</v>
      </c>
      <c r="S129" s="47"/>
      <c r="T129" s="47"/>
      <c r="U129" s="48"/>
      <c r="V129" s="48"/>
      <c r="W129" s="48"/>
      <c r="X129" s="49"/>
      <c r="Y129" s="48"/>
      <c r="Z129" s="48"/>
      <c r="AA129" s="71">
        <v>129</v>
      </c>
      <c r="AB129" s="71"/>
      <c r="AC129" s="116">
        <v>2</v>
      </c>
      <c r="AD129" s="76"/>
      <c r="AE129" s="76">
        <v>2269</v>
      </c>
      <c r="AF129" s="76">
        <v>2468</v>
      </c>
      <c r="AG129" s="76">
        <v>1585</v>
      </c>
      <c r="AH129" s="76">
        <v>144</v>
      </c>
      <c r="AI129" s="76">
        <v>3600</v>
      </c>
      <c r="AJ129" s="76"/>
      <c r="AK129" s="76"/>
      <c r="AL129" s="92"/>
      <c r="AM129" s="76"/>
      <c r="AN129" s="76">
        <v>40560.654293981483</v>
      </c>
      <c r="AO129" s="76" t="s">
        <v>60</v>
      </c>
      <c r="AP129" s="76"/>
      <c r="AQ129" s="92"/>
      <c r="AR129" s="76"/>
      <c r="AS129" s="2"/>
      <c r="AT129" s="3"/>
      <c r="AU129" s="3"/>
      <c r="AV129" s="3"/>
      <c r="AW129" s="3"/>
    </row>
    <row r="130" spans="1:49" x14ac:dyDescent="0.25">
      <c r="A130" s="65"/>
      <c r="B130" s="66"/>
      <c r="C130" s="66"/>
      <c r="D130" s="67"/>
      <c r="E130" s="68"/>
      <c r="F130" s="93"/>
      <c r="G130" s="66"/>
      <c r="H130" s="69"/>
      <c r="I130" s="70"/>
      <c r="J130" s="70"/>
      <c r="K130" s="69"/>
      <c r="L130" s="72"/>
      <c r="M130" s="73">
        <v>4376.0830078125</v>
      </c>
      <c r="N130" s="73">
        <v>696.7237548828125</v>
      </c>
      <c r="O130" s="74"/>
      <c r="P130" s="75"/>
      <c r="Q130" s="75"/>
      <c r="R130" s="78">
        <f t="shared" si="1"/>
        <v>4</v>
      </c>
      <c r="S130" s="47">
        <v>3</v>
      </c>
      <c r="T130" s="47">
        <v>1</v>
      </c>
      <c r="U130" s="48">
        <v>11.653915</v>
      </c>
      <c r="V130" s="48">
        <v>1.701E-3</v>
      </c>
      <c r="W130" s="48">
        <v>5.7399999999999997E-4</v>
      </c>
      <c r="X130" s="49"/>
      <c r="Y130" s="48">
        <v>0</v>
      </c>
      <c r="Z130" s="48"/>
      <c r="AA130" s="71">
        <v>130</v>
      </c>
      <c r="AB130" s="71"/>
      <c r="AC130" s="116">
        <v>2</v>
      </c>
      <c r="AD130" s="76"/>
      <c r="AE130" s="76">
        <v>1146</v>
      </c>
      <c r="AF130" s="76">
        <v>2857</v>
      </c>
      <c r="AG130" s="76">
        <v>947</v>
      </c>
      <c r="AH130" s="76">
        <v>87</v>
      </c>
      <c r="AI130" s="76">
        <v>3600</v>
      </c>
      <c r="AJ130" s="76"/>
      <c r="AK130" s="76"/>
      <c r="AL130" s="92"/>
      <c r="AM130" s="76"/>
      <c r="AN130" s="76">
        <v>40378.457141203704</v>
      </c>
      <c r="AO130" s="76" t="s">
        <v>60</v>
      </c>
      <c r="AP130" s="76"/>
      <c r="AQ130" s="92"/>
      <c r="AR130" s="76"/>
      <c r="AS130" s="2"/>
      <c r="AT130" s="3"/>
      <c r="AU130" s="3"/>
      <c r="AV130" s="3"/>
      <c r="AW130" s="3"/>
    </row>
    <row r="131" spans="1:49" x14ac:dyDescent="0.25">
      <c r="A131" s="65"/>
      <c r="B131" s="66"/>
      <c r="C131" s="66"/>
      <c r="D131" s="67"/>
      <c r="E131" s="68"/>
      <c r="F131" s="93"/>
      <c r="G131" s="66"/>
      <c r="H131" s="69"/>
      <c r="I131" s="70"/>
      <c r="J131" s="70"/>
      <c r="K131" s="69"/>
      <c r="L131" s="72"/>
      <c r="M131" s="73">
        <v>4793.2001953125</v>
      </c>
      <c r="N131" s="73">
        <v>2511.79443359375</v>
      </c>
      <c r="O131" s="74"/>
      <c r="P131" s="75"/>
      <c r="Q131" s="75"/>
      <c r="R131" s="78">
        <f t="shared" ref="R131:R194" si="2">S131+T131</f>
        <v>5</v>
      </c>
      <c r="S131" s="47">
        <v>0</v>
      </c>
      <c r="T131" s="47">
        <v>5</v>
      </c>
      <c r="U131" s="48">
        <v>6.4387990000000004</v>
      </c>
      <c r="V131" s="48">
        <v>2.1099999999999999E-3</v>
      </c>
      <c r="W131" s="48">
        <v>2.153E-3</v>
      </c>
      <c r="X131" s="49"/>
      <c r="Y131" s="48">
        <v>0.4</v>
      </c>
      <c r="Z131" s="48"/>
      <c r="AA131" s="71">
        <v>131</v>
      </c>
      <c r="AB131" s="71"/>
      <c r="AC131" s="116">
        <v>2</v>
      </c>
      <c r="AD131" s="76"/>
      <c r="AE131" s="76">
        <v>599</v>
      </c>
      <c r="AF131" s="76">
        <v>1488</v>
      </c>
      <c r="AG131" s="76">
        <v>2091</v>
      </c>
      <c r="AH131" s="76">
        <v>145</v>
      </c>
      <c r="AI131" s="76">
        <v>3600</v>
      </c>
      <c r="AJ131" s="76"/>
      <c r="AK131" s="76"/>
      <c r="AL131" s="92"/>
      <c r="AM131" s="76"/>
      <c r="AN131" s="76">
        <v>40777.561597222222</v>
      </c>
      <c r="AO131" s="76" t="s">
        <v>60</v>
      </c>
      <c r="AP131" s="76"/>
      <c r="AQ131" s="92"/>
      <c r="AR131" s="76"/>
      <c r="AS131" s="2"/>
      <c r="AT131" s="3"/>
      <c r="AU131" s="3"/>
      <c r="AV131" s="3"/>
      <c r="AW131" s="3"/>
    </row>
    <row r="132" spans="1:49" x14ac:dyDescent="0.25">
      <c r="A132" s="65"/>
      <c r="B132" s="66"/>
      <c r="C132" s="66"/>
      <c r="D132" s="67"/>
      <c r="E132" s="68"/>
      <c r="F132" s="93"/>
      <c r="G132" s="66"/>
      <c r="H132" s="69"/>
      <c r="I132" s="70"/>
      <c r="J132" s="70"/>
      <c r="K132" s="69"/>
      <c r="L132" s="72"/>
      <c r="M132" s="73">
        <v>6334.4404296875</v>
      </c>
      <c r="N132" s="73">
        <v>4899.76220703125</v>
      </c>
      <c r="O132" s="74"/>
      <c r="P132" s="75"/>
      <c r="Q132" s="75"/>
      <c r="R132" s="78">
        <f t="shared" si="2"/>
        <v>57</v>
      </c>
      <c r="S132" s="47">
        <v>27</v>
      </c>
      <c r="T132" s="47">
        <v>30</v>
      </c>
      <c r="U132" s="48">
        <v>584.091588</v>
      </c>
      <c r="V132" s="48">
        <v>2.4269999999999999E-3</v>
      </c>
      <c r="W132" s="48">
        <v>1.3273E-2</v>
      </c>
      <c r="X132" s="49"/>
      <c r="Y132" s="48">
        <v>0.26450742240215924</v>
      </c>
      <c r="Z132" s="48"/>
      <c r="AA132" s="71">
        <v>132</v>
      </c>
      <c r="AB132" s="71"/>
      <c r="AC132" s="116">
        <v>2</v>
      </c>
      <c r="AD132" s="76"/>
      <c r="AE132" s="76">
        <v>2823</v>
      </c>
      <c r="AF132" s="76">
        <v>4245</v>
      </c>
      <c r="AG132" s="76">
        <v>5766</v>
      </c>
      <c r="AH132" s="76">
        <v>2017</v>
      </c>
      <c r="AI132" s="76">
        <v>3600</v>
      </c>
      <c r="AJ132" s="76"/>
      <c r="AK132" s="76"/>
      <c r="AL132" s="92"/>
      <c r="AM132" s="76"/>
      <c r="AN132" s="76">
        <v>41117.606076388889</v>
      </c>
      <c r="AO132" s="76" t="s">
        <v>60</v>
      </c>
      <c r="AP132" s="76"/>
      <c r="AQ132" s="92"/>
      <c r="AR132" s="76"/>
      <c r="AS132" s="2"/>
      <c r="AT132" s="3"/>
      <c r="AU132" s="3"/>
      <c r="AV132" s="3"/>
      <c r="AW132" s="3"/>
    </row>
    <row r="133" spans="1:49" x14ac:dyDescent="0.25">
      <c r="A133" s="65"/>
      <c r="B133" s="66"/>
      <c r="C133" s="66"/>
      <c r="D133" s="67"/>
      <c r="E133" s="68"/>
      <c r="F133" s="93"/>
      <c r="G133" s="66"/>
      <c r="H133" s="69"/>
      <c r="I133" s="70"/>
      <c r="J133" s="70"/>
      <c r="K133" s="69"/>
      <c r="L133" s="72"/>
      <c r="M133" s="73">
        <v>2985.630126953125</v>
      </c>
      <c r="N133" s="73">
        <v>3771.62060546875</v>
      </c>
      <c r="O133" s="74"/>
      <c r="P133" s="75"/>
      <c r="Q133" s="75"/>
      <c r="R133" s="78">
        <f t="shared" si="2"/>
        <v>0</v>
      </c>
      <c r="S133" s="47"/>
      <c r="T133" s="47"/>
      <c r="U133" s="48"/>
      <c r="V133" s="48"/>
      <c r="W133" s="48"/>
      <c r="X133" s="49"/>
      <c r="Y133" s="48"/>
      <c r="Z133" s="48"/>
      <c r="AA133" s="71">
        <v>133</v>
      </c>
      <c r="AB133" s="71"/>
      <c r="AC133" s="116">
        <v>2</v>
      </c>
      <c r="AD133" s="76"/>
      <c r="AE133" s="76">
        <v>269</v>
      </c>
      <c r="AF133" s="76">
        <v>570</v>
      </c>
      <c r="AG133" s="76">
        <v>179</v>
      </c>
      <c r="AH133" s="76">
        <v>0</v>
      </c>
      <c r="AI133" s="76">
        <v>3600</v>
      </c>
      <c r="AJ133" s="76"/>
      <c r="AK133" s="76"/>
      <c r="AL133" s="92"/>
      <c r="AM133" s="76"/>
      <c r="AN133" s="76">
        <v>40779.643611111111</v>
      </c>
      <c r="AO133" s="76" t="s">
        <v>60</v>
      </c>
      <c r="AP133" s="76"/>
      <c r="AQ133" s="92"/>
      <c r="AR133" s="76"/>
      <c r="AS133" s="2"/>
      <c r="AT133" s="3"/>
      <c r="AU133" s="3"/>
      <c r="AV133" s="3"/>
      <c r="AW133" s="3"/>
    </row>
    <row r="134" spans="1:49" x14ac:dyDescent="0.25">
      <c r="A134" s="65"/>
      <c r="B134" s="66"/>
      <c r="C134" s="66"/>
      <c r="D134" s="67"/>
      <c r="E134" s="68"/>
      <c r="F134" s="93"/>
      <c r="G134" s="66"/>
      <c r="H134" s="69"/>
      <c r="I134" s="70"/>
      <c r="J134" s="70"/>
      <c r="K134" s="69"/>
      <c r="L134" s="72"/>
      <c r="M134" s="73">
        <v>5713.95458984375</v>
      </c>
      <c r="N134" s="73">
        <v>3991.388916015625</v>
      </c>
      <c r="O134" s="74"/>
      <c r="P134" s="75"/>
      <c r="Q134" s="75"/>
      <c r="R134" s="78">
        <f t="shared" si="2"/>
        <v>58</v>
      </c>
      <c r="S134" s="47">
        <v>35</v>
      </c>
      <c r="T134" s="47">
        <v>23</v>
      </c>
      <c r="U134" s="48">
        <v>995.13969599999996</v>
      </c>
      <c r="V134" s="48">
        <v>2.5000000000000001E-3</v>
      </c>
      <c r="W134" s="48">
        <v>1.3788E-2</v>
      </c>
      <c r="X134" s="49"/>
      <c r="Y134" s="48">
        <v>0.21515151515151515</v>
      </c>
      <c r="Z134" s="48"/>
      <c r="AA134" s="71">
        <v>134</v>
      </c>
      <c r="AB134" s="71"/>
      <c r="AC134" s="116">
        <v>2</v>
      </c>
      <c r="AD134" s="76"/>
      <c r="AE134" s="76">
        <v>2239</v>
      </c>
      <c r="AF134" s="76">
        <v>8359</v>
      </c>
      <c r="AG134" s="76">
        <v>9475</v>
      </c>
      <c r="AH134" s="76">
        <v>960</v>
      </c>
      <c r="AI134" s="76">
        <v>3600</v>
      </c>
      <c r="AJ134" s="76"/>
      <c r="AK134" s="76"/>
      <c r="AL134" s="92"/>
      <c r="AM134" s="76"/>
      <c r="AN134" s="76">
        <v>40150.416307870371</v>
      </c>
      <c r="AO134" s="76" t="s">
        <v>60</v>
      </c>
      <c r="AP134" s="76"/>
      <c r="AQ134" s="92"/>
      <c r="AR134" s="76"/>
      <c r="AS134" s="2"/>
      <c r="AT134" s="3"/>
      <c r="AU134" s="3"/>
      <c r="AV134" s="3"/>
      <c r="AW134" s="3"/>
    </row>
    <row r="135" spans="1:49" x14ac:dyDescent="0.25">
      <c r="A135" s="65"/>
      <c r="B135" s="66"/>
      <c r="C135" s="66"/>
      <c r="D135" s="67"/>
      <c r="E135" s="68"/>
      <c r="F135" s="93"/>
      <c r="G135" s="66"/>
      <c r="H135" s="69"/>
      <c r="I135" s="70"/>
      <c r="J135" s="70"/>
      <c r="K135" s="69"/>
      <c r="L135" s="72"/>
      <c r="M135" s="73">
        <v>5262.51318359375</v>
      </c>
      <c r="N135" s="73">
        <v>4603.7958984375</v>
      </c>
      <c r="O135" s="74"/>
      <c r="P135" s="75"/>
      <c r="Q135" s="75"/>
      <c r="R135" s="78">
        <f t="shared" si="2"/>
        <v>82</v>
      </c>
      <c r="S135" s="47">
        <v>46</v>
      </c>
      <c r="T135" s="47">
        <v>36</v>
      </c>
      <c r="U135" s="48">
        <v>713.31590100000005</v>
      </c>
      <c r="V135" s="48">
        <v>2.5579999999999999E-3</v>
      </c>
      <c r="W135" s="48">
        <v>1.5866000000000002E-2</v>
      </c>
      <c r="X135" s="49"/>
      <c r="Y135" s="48">
        <v>0.21229260935143288</v>
      </c>
      <c r="Z135" s="48"/>
      <c r="AA135" s="71">
        <v>135</v>
      </c>
      <c r="AB135" s="71"/>
      <c r="AC135" s="116">
        <v>2</v>
      </c>
      <c r="AD135" s="76"/>
      <c r="AE135" s="76">
        <v>3753</v>
      </c>
      <c r="AF135" s="76">
        <v>10353</v>
      </c>
      <c r="AG135" s="76">
        <v>17500</v>
      </c>
      <c r="AH135" s="76">
        <v>2948</v>
      </c>
      <c r="AI135" s="76">
        <v>3600</v>
      </c>
      <c r="AJ135" s="76"/>
      <c r="AK135" s="76"/>
      <c r="AL135" s="92"/>
      <c r="AM135" s="76"/>
      <c r="AN135" s="76">
        <v>40318.566388888888</v>
      </c>
      <c r="AO135" s="76" t="s">
        <v>60</v>
      </c>
      <c r="AP135" s="76"/>
      <c r="AQ135" s="92"/>
      <c r="AR135" s="76"/>
      <c r="AS135" s="2"/>
      <c r="AT135" s="3"/>
      <c r="AU135" s="3"/>
      <c r="AV135" s="3"/>
      <c r="AW135" s="3"/>
    </row>
    <row r="136" spans="1:49" x14ac:dyDescent="0.25">
      <c r="A136" s="65"/>
      <c r="B136" s="66"/>
      <c r="C136" s="66"/>
      <c r="D136" s="67"/>
      <c r="E136" s="68"/>
      <c r="F136" s="93"/>
      <c r="G136" s="66"/>
      <c r="H136" s="69"/>
      <c r="I136" s="70"/>
      <c r="J136" s="70"/>
      <c r="K136" s="69"/>
      <c r="L136" s="72"/>
      <c r="M136" s="73">
        <v>3711.634765625</v>
      </c>
      <c r="N136" s="73">
        <v>5859.77099609375</v>
      </c>
      <c r="O136" s="74"/>
      <c r="P136" s="75"/>
      <c r="Q136" s="75"/>
      <c r="R136" s="78">
        <f t="shared" si="2"/>
        <v>28</v>
      </c>
      <c r="S136" s="47">
        <v>11</v>
      </c>
      <c r="T136" s="47">
        <v>17</v>
      </c>
      <c r="U136" s="48">
        <v>256.23589199999998</v>
      </c>
      <c r="V136" s="48">
        <v>2.2520000000000001E-3</v>
      </c>
      <c r="W136" s="48">
        <v>4.9040000000000004E-3</v>
      </c>
      <c r="X136" s="49"/>
      <c r="Y136" s="48">
        <v>0.21895424836601307</v>
      </c>
      <c r="Z136" s="48"/>
      <c r="AA136" s="71">
        <v>136</v>
      </c>
      <c r="AB136" s="71"/>
      <c r="AC136" s="116">
        <v>2</v>
      </c>
      <c r="AD136" s="76"/>
      <c r="AE136" s="76">
        <v>13439</v>
      </c>
      <c r="AF136" s="76">
        <v>23374</v>
      </c>
      <c r="AG136" s="76">
        <v>11417</v>
      </c>
      <c r="AH136" s="76">
        <v>10331</v>
      </c>
      <c r="AI136" s="76">
        <v>3600</v>
      </c>
      <c r="AJ136" s="76"/>
      <c r="AK136" s="76"/>
      <c r="AL136" s="92"/>
      <c r="AM136" s="76"/>
      <c r="AN136" s="76">
        <v>40417.357303240744</v>
      </c>
      <c r="AO136" s="76" t="s">
        <v>60</v>
      </c>
      <c r="AP136" s="76"/>
      <c r="AQ136" s="92"/>
      <c r="AR136" s="76"/>
      <c r="AS136" s="2"/>
      <c r="AT136" s="3"/>
      <c r="AU136" s="3"/>
      <c r="AV136" s="3"/>
      <c r="AW136" s="3"/>
    </row>
    <row r="137" spans="1:49" x14ac:dyDescent="0.25">
      <c r="A137" s="65"/>
      <c r="B137" s="66"/>
      <c r="C137" s="66"/>
      <c r="D137" s="67"/>
      <c r="E137" s="68"/>
      <c r="F137" s="93"/>
      <c r="G137" s="66"/>
      <c r="H137" s="69"/>
      <c r="I137" s="70"/>
      <c r="J137" s="70"/>
      <c r="K137" s="69"/>
      <c r="L137" s="72"/>
      <c r="M137" s="73">
        <v>5887.1572265625</v>
      </c>
      <c r="N137" s="73">
        <v>2963.19580078125</v>
      </c>
      <c r="O137" s="74"/>
      <c r="P137" s="75"/>
      <c r="Q137" s="75"/>
      <c r="R137" s="78">
        <f t="shared" si="2"/>
        <v>22</v>
      </c>
      <c r="S137" s="47">
        <v>10</v>
      </c>
      <c r="T137" s="47">
        <v>12</v>
      </c>
      <c r="U137" s="48">
        <v>127.508381</v>
      </c>
      <c r="V137" s="48">
        <v>2.1879999999999998E-3</v>
      </c>
      <c r="W137" s="48">
        <v>5.1330000000000004E-3</v>
      </c>
      <c r="X137" s="49"/>
      <c r="Y137" s="48">
        <v>0.25</v>
      </c>
      <c r="Z137" s="48"/>
      <c r="AA137" s="71">
        <v>137</v>
      </c>
      <c r="AB137" s="71"/>
      <c r="AC137" s="116">
        <v>2</v>
      </c>
      <c r="AD137" s="76"/>
      <c r="AE137" s="76">
        <v>1254</v>
      </c>
      <c r="AF137" s="76">
        <v>1138</v>
      </c>
      <c r="AG137" s="76">
        <v>1658</v>
      </c>
      <c r="AH137" s="76">
        <v>668</v>
      </c>
      <c r="AI137" s="76">
        <v>-25200</v>
      </c>
      <c r="AJ137" s="76"/>
      <c r="AK137" s="76"/>
      <c r="AL137" s="76"/>
      <c r="AM137" s="76"/>
      <c r="AN137" s="76">
        <v>41669.620844907404</v>
      </c>
      <c r="AO137" s="76" t="s">
        <v>60</v>
      </c>
      <c r="AP137" s="76"/>
      <c r="AQ137" s="92"/>
      <c r="AR137" s="76"/>
      <c r="AS137" s="2"/>
      <c r="AT137" s="3"/>
      <c r="AU137" s="3"/>
      <c r="AV137" s="3"/>
      <c r="AW137" s="3"/>
    </row>
    <row r="138" spans="1:49" x14ac:dyDescent="0.25">
      <c r="A138" s="65"/>
      <c r="B138" s="66"/>
      <c r="C138" s="66"/>
      <c r="D138" s="67"/>
      <c r="E138" s="68"/>
      <c r="F138" s="93"/>
      <c r="G138" s="66"/>
      <c r="H138" s="69"/>
      <c r="I138" s="70"/>
      <c r="J138" s="70"/>
      <c r="K138" s="69"/>
      <c r="L138" s="72"/>
      <c r="M138" s="73">
        <v>6612.73779296875</v>
      </c>
      <c r="N138" s="73">
        <v>5382.3310546875</v>
      </c>
      <c r="O138" s="74"/>
      <c r="P138" s="75"/>
      <c r="Q138" s="75"/>
      <c r="R138" s="78">
        <f t="shared" si="2"/>
        <v>37</v>
      </c>
      <c r="S138" s="47">
        <v>19</v>
      </c>
      <c r="T138" s="47">
        <v>18</v>
      </c>
      <c r="U138" s="48">
        <v>163.36015599999999</v>
      </c>
      <c r="V138" s="48">
        <v>2.3149999999999998E-3</v>
      </c>
      <c r="W138" s="48">
        <v>9.7999999999999997E-3</v>
      </c>
      <c r="X138" s="49"/>
      <c r="Y138" s="48">
        <v>0.34</v>
      </c>
      <c r="Z138" s="48"/>
      <c r="AA138" s="71">
        <v>138</v>
      </c>
      <c r="AB138" s="71"/>
      <c r="AC138" s="116">
        <v>2</v>
      </c>
      <c r="AD138" s="76"/>
      <c r="AE138" s="76">
        <v>1659</v>
      </c>
      <c r="AF138" s="76">
        <v>1749</v>
      </c>
      <c r="AG138" s="76">
        <v>6573</v>
      </c>
      <c r="AH138" s="76">
        <v>372</v>
      </c>
      <c r="AI138" s="76">
        <v>3600</v>
      </c>
      <c r="AJ138" s="76"/>
      <c r="AK138" s="76"/>
      <c r="AL138" s="92"/>
      <c r="AM138" s="76"/>
      <c r="AN138" s="76">
        <v>40765.469641203701</v>
      </c>
      <c r="AO138" s="76" t="s">
        <v>60</v>
      </c>
      <c r="AP138" s="76"/>
      <c r="AQ138" s="92"/>
      <c r="AR138" s="76"/>
      <c r="AS138" s="2"/>
      <c r="AT138" s="3"/>
      <c r="AU138" s="3"/>
      <c r="AV138" s="3"/>
      <c r="AW138" s="3"/>
    </row>
    <row r="139" spans="1:49" x14ac:dyDescent="0.25">
      <c r="A139" s="65"/>
      <c r="B139" s="66"/>
      <c r="C139" s="66"/>
      <c r="D139" s="67"/>
      <c r="E139" s="68"/>
      <c r="F139" s="93"/>
      <c r="G139" s="66"/>
      <c r="H139" s="69"/>
      <c r="I139" s="70"/>
      <c r="J139" s="70"/>
      <c r="K139" s="69"/>
      <c r="L139" s="72"/>
      <c r="M139" s="73">
        <v>5990.36669921875</v>
      </c>
      <c r="N139" s="73">
        <v>6570.91845703125</v>
      </c>
      <c r="O139" s="74"/>
      <c r="P139" s="75"/>
      <c r="Q139" s="75"/>
      <c r="R139" s="78">
        <f t="shared" si="2"/>
        <v>19</v>
      </c>
      <c r="S139" s="47">
        <v>7</v>
      </c>
      <c r="T139" s="47">
        <v>12</v>
      </c>
      <c r="U139" s="48">
        <v>84.075418999999997</v>
      </c>
      <c r="V139" s="48">
        <v>2.2420000000000001E-3</v>
      </c>
      <c r="W139" s="48">
        <v>5.3140000000000001E-3</v>
      </c>
      <c r="X139" s="49"/>
      <c r="Y139" s="48">
        <v>0.2967032967032967</v>
      </c>
      <c r="Z139" s="48"/>
      <c r="AA139" s="71">
        <v>139</v>
      </c>
      <c r="AB139" s="71"/>
      <c r="AC139" s="116">
        <v>2</v>
      </c>
      <c r="AD139" s="76"/>
      <c r="AE139" s="76">
        <v>818</v>
      </c>
      <c r="AF139" s="76">
        <v>1150</v>
      </c>
      <c r="AG139" s="76">
        <v>1535</v>
      </c>
      <c r="AH139" s="76">
        <v>307</v>
      </c>
      <c r="AI139" s="76">
        <v>3600</v>
      </c>
      <c r="AJ139" s="76"/>
      <c r="AK139" s="76"/>
      <c r="AL139" s="92"/>
      <c r="AM139" s="76"/>
      <c r="AN139" s="76">
        <v>41564.433634259258</v>
      </c>
      <c r="AO139" s="76" t="s">
        <v>60</v>
      </c>
      <c r="AP139" s="76"/>
      <c r="AQ139" s="92"/>
      <c r="AR139" s="76"/>
      <c r="AS139" s="2"/>
      <c r="AT139" s="3"/>
      <c r="AU139" s="3"/>
      <c r="AV139" s="3"/>
      <c r="AW139" s="3"/>
    </row>
    <row r="140" spans="1:49" x14ac:dyDescent="0.25">
      <c r="A140" s="65"/>
      <c r="B140" s="66"/>
      <c r="C140" s="66"/>
      <c r="D140" s="67"/>
      <c r="E140" s="68"/>
      <c r="F140" s="93"/>
      <c r="G140" s="66"/>
      <c r="H140" s="69"/>
      <c r="I140" s="70"/>
      <c r="J140" s="70"/>
      <c r="K140" s="69"/>
      <c r="L140" s="72"/>
      <c r="M140" s="73">
        <v>7140.98583984375</v>
      </c>
      <c r="N140" s="73">
        <v>4561.19580078125</v>
      </c>
      <c r="O140" s="74"/>
      <c r="P140" s="75"/>
      <c r="Q140" s="75"/>
      <c r="R140" s="78">
        <f t="shared" si="2"/>
        <v>42</v>
      </c>
      <c r="S140" s="47">
        <v>36</v>
      </c>
      <c r="T140" s="47">
        <v>6</v>
      </c>
      <c r="U140" s="48">
        <v>526.605413</v>
      </c>
      <c r="V140" s="48">
        <v>2.3089999999999999E-3</v>
      </c>
      <c r="W140" s="48">
        <v>1.0952999999999999E-2</v>
      </c>
      <c r="X140" s="49"/>
      <c r="Y140" s="48">
        <v>0.21906116642958748</v>
      </c>
      <c r="Z140" s="48"/>
      <c r="AA140" s="71">
        <v>140</v>
      </c>
      <c r="AB140" s="71"/>
      <c r="AC140" s="116">
        <v>2</v>
      </c>
      <c r="AD140" s="76"/>
      <c r="AE140" s="76">
        <v>2511</v>
      </c>
      <c r="AF140" s="76">
        <v>55321</v>
      </c>
      <c r="AG140" s="76">
        <v>19026</v>
      </c>
      <c r="AH140" s="76">
        <v>6302</v>
      </c>
      <c r="AI140" s="76">
        <v>3600</v>
      </c>
      <c r="AJ140" s="76"/>
      <c r="AK140" s="76"/>
      <c r="AL140" s="92"/>
      <c r="AM140" s="76"/>
      <c r="AN140" s="76">
        <v>39674.645358796297</v>
      </c>
      <c r="AO140" s="76" t="s">
        <v>60</v>
      </c>
      <c r="AP140" s="76"/>
      <c r="AQ140" s="92"/>
      <c r="AR140" s="76"/>
      <c r="AS140" s="2"/>
      <c r="AT140" s="3"/>
      <c r="AU140" s="3"/>
      <c r="AV140" s="3"/>
      <c r="AW140" s="3"/>
    </row>
    <row r="141" spans="1:49" x14ac:dyDescent="0.25">
      <c r="A141" s="65"/>
      <c r="B141" s="66"/>
      <c r="C141" s="66"/>
      <c r="D141" s="67"/>
      <c r="E141" s="68"/>
      <c r="F141" s="93"/>
      <c r="G141" s="66"/>
      <c r="H141" s="69"/>
      <c r="I141" s="70"/>
      <c r="J141" s="70"/>
      <c r="K141" s="69"/>
      <c r="L141" s="72"/>
      <c r="M141" s="73">
        <v>6235.42578125</v>
      </c>
      <c r="N141" s="73">
        <v>5375.0126953125</v>
      </c>
      <c r="O141" s="74"/>
      <c r="P141" s="75"/>
      <c r="Q141" s="75"/>
      <c r="R141" s="78">
        <f t="shared" si="2"/>
        <v>111</v>
      </c>
      <c r="S141" s="47">
        <v>56</v>
      </c>
      <c r="T141" s="47">
        <v>55</v>
      </c>
      <c r="U141" s="48">
        <v>2412.3073810000001</v>
      </c>
      <c r="V141" s="48">
        <v>2.7320000000000001E-3</v>
      </c>
      <c r="W141" s="48">
        <v>2.0218E-2</v>
      </c>
      <c r="X141" s="49"/>
      <c r="Y141" s="48">
        <v>0.16271751203258053</v>
      </c>
      <c r="Z141" s="48"/>
      <c r="AA141" s="71">
        <v>141</v>
      </c>
      <c r="AB141" s="71"/>
      <c r="AC141" s="116">
        <v>2</v>
      </c>
      <c r="AD141" s="76"/>
      <c r="AE141" s="76">
        <v>5362</v>
      </c>
      <c r="AF141" s="76">
        <v>11815</v>
      </c>
      <c r="AG141" s="76">
        <v>8783</v>
      </c>
      <c r="AH141" s="76">
        <v>3116</v>
      </c>
      <c r="AI141" s="76">
        <v>3600</v>
      </c>
      <c r="AJ141" s="76"/>
      <c r="AK141" s="76"/>
      <c r="AL141" s="92"/>
      <c r="AM141" s="76"/>
      <c r="AN141" s="76">
        <v>40011.429016203707</v>
      </c>
      <c r="AO141" s="76" t="s">
        <v>60</v>
      </c>
      <c r="AP141" s="76"/>
      <c r="AQ141" s="92"/>
      <c r="AR141" s="76"/>
      <c r="AS141" s="2"/>
      <c r="AT141" s="3"/>
      <c r="AU141" s="3"/>
      <c r="AV141" s="3"/>
      <c r="AW141" s="3"/>
    </row>
    <row r="142" spans="1:49" x14ac:dyDescent="0.25">
      <c r="A142" s="65"/>
      <c r="B142" s="66"/>
      <c r="C142" s="66"/>
      <c r="D142" s="67"/>
      <c r="E142" s="68"/>
      <c r="F142" s="93"/>
      <c r="G142" s="66"/>
      <c r="H142" s="69"/>
      <c r="I142" s="70"/>
      <c r="J142" s="70"/>
      <c r="K142" s="69"/>
      <c r="L142" s="72"/>
      <c r="M142" s="73">
        <v>4121.1220703125</v>
      </c>
      <c r="N142" s="73">
        <v>6682.52587890625</v>
      </c>
      <c r="O142" s="74"/>
      <c r="P142" s="75"/>
      <c r="Q142" s="75"/>
      <c r="R142" s="78">
        <f t="shared" si="2"/>
        <v>26</v>
      </c>
      <c r="S142" s="47">
        <v>13</v>
      </c>
      <c r="T142" s="47">
        <v>13</v>
      </c>
      <c r="U142" s="48">
        <v>463.182929</v>
      </c>
      <c r="V142" s="48">
        <v>2.1459999999999999E-3</v>
      </c>
      <c r="W142" s="48">
        <v>5.2969999999999996E-3</v>
      </c>
      <c r="X142" s="49"/>
      <c r="Y142" s="48">
        <v>0.29779411764705882</v>
      </c>
      <c r="Z142" s="48"/>
      <c r="AA142" s="71">
        <v>142</v>
      </c>
      <c r="AB142" s="71"/>
      <c r="AC142" s="116">
        <v>2</v>
      </c>
      <c r="AD142" s="76"/>
      <c r="AE142" s="76">
        <v>1394</v>
      </c>
      <c r="AF142" s="76">
        <v>2761</v>
      </c>
      <c r="AG142" s="76">
        <v>2332</v>
      </c>
      <c r="AH142" s="76">
        <v>515</v>
      </c>
      <c r="AI142" s="76"/>
      <c r="AJ142" s="76"/>
      <c r="AK142" s="76"/>
      <c r="AL142" s="92"/>
      <c r="AM142" s="76"/>
      <c r="AN142" s="76">
        <v>41366.389884259261</v>
      </c>
      <c r="AO142" s="76" t="s">
        <v>60</v>
      </c>
      <c r="AP142" s="76"/>
      <c r="AQ142" s="92"/>
      <c r="AR142" s="76"/>
      <c r="AS142" s="2"/>
      <c r="AT142" s="3"/>
      <c r="AU142" s="3"/>
      <c r="AV142" s="3"/>
      <c r="AW142" s="3"/>
    </row>
    <row r="143" spans="1:49" x14ac:dyDescent="0.25">
      <c r="A143" s="65"/>
      <c r="B143" s="66"/>
      <c r="C143" s="66"/>
      <c r="D143" s="67"/>
      <c r="E143" s="68"/>
      <c r="F143" s="93"/>
      <c r="G143" s="66"/>
      <c r="H143" s="69"/>
      <c r="I143" s="70"/>
      <c r="J143" s="70"/>
      <c r="K143" s="69"/>
      <c r="L143" s="72"/>
      <c r="M143" s="73">
        <v>5080.67431640625</v>
      </c>
      <c r="N143" s="73">
        <v>4686.0791015625</v>
      </c>
      <c r="O143" s="74"/>
      <c r="P143" s="75"/>
      <c r="Q143" s="75"/>
      <c r="R143" s="78">
        <f t="shared" si="2"/>
        <v>41</v>
      </c>
      <c r="S143" s="47">
        <v>17</v>
      </c>
      <c r="T143" s="47">
        <v>24</v>
      </c>
      <c r="U143" s="48">
        <v>443.41625099999999</v>
      </c>
      <c r="V143" s="48">
        <v>2.2989999999999998E-3</v>
      </c>
      <c r="W143" s="48">
        <v>9.7339999999999996E-3</v>
      </c>
      <c r="X143" s="49"/>
      <c r="Y143" s="48">
        <v>0.22064393939393939</v>
      </c>
      <c r="Z143" s="48"/>
      <c r="AA143" s="71">
        <v>143</v>
      </c>
      <c r="AB143" s="71"/>
      <c r="AC143" s="116">
        <v>2</v>
      </c>
      <c r="AD143" s="76"/>
      <c r="AE143" s="76">
        <v>358</v>
      </c>
      <c r="AF143" s="76">
        <v>2402</v>
      </c>
      <c r="AG143" s="76">
        <v>1468</v>
      </c>
      <c r="AH143" s="76">
        <v>1137</v>
      </c>
      <c r="AI143" s="76">
        <v>3600</v>
      </c>
      <c r="AJ143" s="76"/>
      <c r="AK143" s="76"/>
      <c r="AL143" s="92"/>
      <c r="AM143" s="76"/>
      <c r="AN143" s="76">
        <v>40864.490972222222</v>
      </c>
      <c r="AO143" s="76" t="s">
        <v>60</v>
      </c>
      <c r="AP143" s="76"/>
      <c r="AQ143" s="92"/>
      <c r="AR143" s="76"/>
      <c r="AS143" s="2"/>
      <c r="AT143" s="3"/>
      <c r="AU143" s="3"/>
      <c r="AV143" s="3"/>
      <c r="AW143" s="3"/>
    </row>
    <row r="144" spans="1:49" x14ac:dyDescent="0.25">
      <c r="A144" s="65"/>
      <c r="B144" s="66"/>
      <c r="C144" s="66"/>
      <c r="D144" s="67"/>
      <c r="E144" s="68"/>
      <c r="F144" s="93"/>
      <c r="G144" s="66"/>
      <c r="H144" s="69"/>
      <c r="I144" s="70"/>
      <c r="J144" s="70"/>
      <c r="K144" s="69"/>
      <c r="L144" s="72"/>
      <c r="M144" s="73">
        <v>5241.07958984375</v>
      </c>
      <c r="N144" s="73">
        <v>1558.5391845703125</v>
      </c>
      <c r="O144" s="74"/>
      <c r="P144" s="75"/>
      <c r="Q144" s="75"/>
      <c r="R144" s="78">
        <f t="shared" si="2"/>
        <v>14</v>
      </c>
      <c r="S144" s="47">
        <v>5</v>
      </c>
      <c r="T144" s="47">
        <v>9</v>
      </c>
      <c r="U144" s="48">
        <v>113.904174</v>
      </c>
      <c r="V144" s="48">
        <v>1.9269999999999999E-3</v>
      </c>
      <c r="W144" s="48">
        <v>1.81E-3</v>
      </c>
      <c r="X144" s="49"/>
      <c r="Y144" s="48">
        <v>0.23333333333333334</v>
      </c>
      <c r="Z144" s="48"/>
      <c r="AA144" s="71">
        <v>144</v>
      </c>
      <c r="AB144" s="71"/>
      <c r="AC144" s="116">
        <v>2</v>
      </c>
      <c r="AD144" s="76"/>
      <c r="AE144" s="76">
        <v>4</v>
      </c>
      <c r="AF144" s="76">
        <v>7790</v>
      </c>
      <c r="AG144" s="76">
        <v>12344</v>
      </c>
      <c r="AH144" s="76">
        <v>619</v>
      </c>
      <c r="AI144" s="76">
        <v>3600</v>
      </c>
      <c r="AJ144" s="76"/>
      <c r="AK144" s="76"/>
      <c r="AL144" s="92"/>
      <c r="AM144" s="76"/>
      <c r="AN144" s="76">
        <v>39892.631064814814</v>
      </c>
      <c r="AO144" s="76" t="s">
        <v>60</v>
      </c>
      <c r="AP144" s="76"/>
      <c r="AQ144" s="92"/>
      <c r="AR144" s="76"/>
      <c r="AS144" s="2"/>
      <c r="AT144" s="3"/>
      <c r="AU144" s="3"/>
      <c r="AV144" s="3"/>
      <c r="AW144" s="3"/>
    </row>
    <row r="145" spans="1:49" x14ac:dyDescent="0.25">
      <c r="A145" s="65"/>
      <c r="B145" s="66"/>
      <c r="C145" s="66"/>
      <c r="D145" s="67"/>
      <c r="E145" s="68"/>
      <c r="F145" s="93"/>
      <c r="G145" s="66"/>
      <c r="H145" s="69"/>
      <c r="I145" s="70"/>
      <c r="J145" s="70"/>
      <c r="K145" s="69"/>
      <c r="L145" s="72"/>
      <c r="M145" s="73">
        <v>4509.77783203125</v>
      </c>
      <c r="N145" s="73">
        <v>4919.81494140625</v>
      </c>
      <c r="O145" s="74"/>
      <c r="P145" s="75"/>
      <c r="Q145" s="75"/>
      <c r="R145" s="78">
        <f t="shared" si="2"/>
        <v>89</v>
      </c>
      <c r="S145" s="47">
        <v>40</v>
      </c>
      <c r="T145" s="47">
        <v>49</v>
      </c>
      <c r="U145" s="48">
        <v>1476.6951180000001</v>
      </c>
      <c r="V145" s="48">
        <v>2.66E-3</v>
      </c>
      <c r="W145" s="48">
        <v>1.6657000000000002E-2</v>
      </c>
      <c r="X145" s="49"/>
      <c r="Y145" s="48">
        <v>0.17825832846288719</v>
      </c>
      <c r="Z145" s="48"/>
      <c r="AA145" s="71">
        <v>145</v>
      </c>
      <c r="AB145" s="71"/>
      <c r="AC145" s="116">
        <v>2</v>
      </c>
      <c r="AD145" s="76"/>
      <c r="AE145" s="76">
        <v>913</v>
      </c>
      <c r="AF145" s="76">
        <v>13590</v>
      </c>
      <c r="AG145" s="76">
        <v>26850</v>
      </c>
      <c r="AH145" s="76">
        <v>1530</v>
      </c>
      <c r="AI145" s="76">
        <v>3600</v>
      </c>
      <c r="AJ145" s="76"/>
      <c r="AK145" s="76"/>
      <c r="AL145" s="92"/>
      <c r="AM145" s="76"/>
      <c r="AN145" s="76">
        <v>40095.454884259256</v>
      </c>
      <c r="AO145" s="76" t="s">
        <v>60</v>
      </c>
      <c r="AP145" s="76"/>
      <c r="AQ145" s="92"/>
      <c r="AR145" s="76"/>
      <c r="AS145" s="2"/>
      <c r="AT145" s="3"/>
      <c r="AU145" s="3"/>
      <c r="AV145" s="3"/>
      <c r="AW145" s="3"/>
    </row>
    <row r="146" spans="1:49" x14ac:dyDescent="0.25">
      <c r="A146" s="65"/>
      <c r="B146" s="66"/>
      <c r="C146" s="66"/>
      <c r="D146" s="67"/>
      <c r="E146" s="68"/>
      <c r="F146" s="93"/>
      <c r="G146" s="66"/>
      <c r="H146" s="69"/>
      <c r="I146" s="70"/>
      <c r="J146" s="70"/>
      <c r="K146" s="69"/>
      <c r="L146" s="72"/>
      <c r="M146" s="73">
        <v>7352.3193359375</v>
      </c>
      <c r="N146" s="73">
        <v>5056.97021484375</v>
      </c>
      <c r="O146" s="74"/>
      <c r="P146" s="75"/>
      <c r="Q146" s="75"/>
      <c r="R146" s="78">
        <f t="shared" si="2"/>
        <v>18</v>
      </c>
      <c r="S146" s="47">
        <v>6</v>
      </c>
      <c r="T146" s="47">
        <v>12</v>
      </c>
      <c r="U146" s="48">
        <v>202.590226</v>
      </c>
      <c r="V146" s="48">
        <v>2.1689999999999999E-3</v>
      </c>
      <c r="W146" s="48">
        <v>4.5409999999999999E-3</v>
      </c>
      <c r="X146" s="49"/>
      <c r="Y146" s="48">
        <v>0.34615384615384615</v>
      </c>
      <c r="Z146" s="48"/>
      <c r="AA146" s="71">
        <v>146</v>
      </c>
      <c r="AB146" s="71"/>
      <c r="AC146" s="116">
        <v>2</v>
      </c>
      <c r="AD146" s="76"/>
      <c r="AE146" s="76">
        <v>3972</v>
      </c>
      <c r="AF146" s="76">
        <v>4166</v>
      </c>
      <c r="AG146" s="76">
        <v>8194</v>
      </c>
      <c r="AH146" s="76">
        <v>586</v>
      </c>
      <c r="AI146" s="76">
        <v>3600</v>
      </c>
      <c r="AJ146" s="76"/>
      <c r="AK146" s="76"/>
      <c r="AL146" s="92"/>
      <c r="AM146" s="76"/>
      <c r="AN146" s="76">
        <v>39897.476180555554</v>
      </c>
      <c r="AO146" s="76" t="s">
        <v>60</v>
      </c>
      <c r="AP146" s="76"/>
      <c r="AQ146" s="92"/>
      <c r="AR146" s="76"/>
      <c r="AS146" s="2"/>
      <c r="AT146" s="3"/>
      <c r="AU146" s="3"/>
      <c r="AV146" s="3"/>
      <c r="AW146" s="3"/>
    </row>
    <row r="147" spans="1:49" x14ac:dyDescent="0.25">
      <c r="A147" s="65"/>
      <c r="B147" s="66"/>
      <c r="C147" s="66"/>
      <c r="D147" s="67"/>
      <c r="E147" s="68"/>
      <c r="F147" s="93"/>
      <c r="G147" s="66"/>
      <c r="H147" s="69"/>
      <c r="I147" s="70"/>
      <c r="J147" s="70"/>
      <c r="K147" s="69"/>
      <c r="L147" s="72"/>
      <c r="M147" s="73">
        <v>5190.09619140625</v>
      </c>
      <c r="N147" s="73">
        <v>2964.89794921875</v>
      </c>
      <c r="O147" s="74"/>
      <c r="P147" s="75"/>
      <c r="Q147" s="75"/>
      <c r="R147" s="78">
        <f t="shared" si="2"/>
        <v>20</v>
      </c>
      <c r="S147" s="47">
        <v>4</v>
      </c>
      <c r="T147" s="47">
        <v>16</v>
      </c>
      <c r="U147" s="48">
        <v>103.15278499999999</v>
      </c>
      <c r="V147" s="48">
        <v>2.2780000000000001E-3</v>
      </c>
      <c r="W147" s="48">
        <v>7.1050000000000002E-3</v>
      </c>
      <c r="X147" s="49"/>
      <c r="Y147" s="48">
        <v>0.33040935672514621</v>
      </c>
      <c r="Z147" s="48"/>
      <c r="AA147" s="71">
        <v>147</v>
      </c>
      <c r="AB147" s="71"/>
      <c r="AC147" s="116">
        <v>2</v>
      </c>
      <c r="AD147" s="76"/>
      <c r="AE147" s="76">
        <v>2124</v>
      </c>
      <c r="AF147" s="76">
        <v>1224</v>
      </c>
      <c r="AG147" s="76">
        <v>7702</v>
      </c>
      <c r="AH147" s="76">
        <v>865</v>
      </c>
      <c r="AI147" s="76">
        <v>3600</v>
      </c>
      <c r="AJ147" s="76"/>
      <c r="AK147" s="76"/>
      <c r="AL147" s="92"/>
      <c r="AM147" s="76"/>
      <c r="AN147" s="76">
        <v>40826.368043981478</v>
      </c>
      <c r="AO147" s="76" t="s">
        <v>60</v>
      </c>
      <c r="AP147" s="76"/>
      <c r="AQ147" s="92"/>
      <c r="AR147" s="76"/>
      <c r="AS147" s="2"/>
      <c r="AT147" s="3"/>
      <c r="AU147" s="3"/>
      <c r="AV147" s="3"/>
      <c r="AW147" s="3"/>
    </row>
    <row r="148" spans="1:49" x14ac:dyDescent="0.25">
      <c r="A148" s="65"/>
      <c r="B148" s="66"/>
      <c r="C148" s="66"/>
      <c r="D148" s="67"/>
      <c r="E148" s="68"/>
      <c r="F148" s="93"/>
      <c r="G148" s="66"/>
      <c r="H148" s="69"/>
      <c r="I148" s="70"/>
      <c r="J148" s="70"/>
      <c r="K148" s="69"/>
      <c r="L148" s="72"/>
      <c r="M148" s="73">
        <v>8063.04443359375</v>
      </c>
      <c r="N148" s="73">
        <v>2962.095703125</v>
      </c>
      <c r="O148" s="74"/>
      <c r="P148" s="75"/>
      <c r="Q148" s="75"/>
      <c r="R148" s="78">
        <f t="shared" si="2"/>
        <v>22</v>
      </c>
      <c r="S148" s="47">
        <v>11</v>
      </c>
      <c r="T148" s="47">
        <v>11</v>
      </c>
      <c r="U148" s="48">
        <v>602.16701799999998</v>
      </c>
      <c r="V148" s="48">
        <v>1.8519999999999999E-3</v>
      </c>
      <c r="W148" s="48">
        <v>2.4190000000000001E-3</v>
      </c>
      <c r="X148" s="49"/>
      <c r="Y148" s="48">
        <v>0.17582417582417584</v>
      </c>
      <c r="Z148" s="48"/>
      <c r="AA148" s="71">
        <v>148</v>
      </c>
      <c r="AB148" s="71"/>
      <c r="AC148" s="116">
        <v>2</v>
      </c>
      <c r="AD148" s="76"/>
      <c r="AE148" s="76">
        <v>2271</v>
      </c>
      <c r="AF148" s="76">
        <v>13982</v>
      </c>
      <c r="AG148" s="76">
        <v>11206</v>
      </c>
      <c r="AH148" s="76">
        <v>592</v>
      </c>
      <c r="AI148" s="76">
        <v>3600</v>
      </c>
      <c r="AJ148" s="76"/>
      <c r="AK148" s="76"/>
      <c r="AL148" s="92"/>
      <c r="AM148" s="76"/>
      <c r="AN148" s="76">
        <v>40368.613368055558</v>
      </c>
      <c r="AO148" s="76" t="s">
        <v>60</v>
      </c>
      <c r="AP148" s="76"/>
      <c r="AQ148" s="92"/>
      <c r="AR148" s="76"/>
      <c r="AS148" s="2"/>
      <c r="AT148" s="3"/>
      <c r="AU148" s="3"/>
      <c r="AV148" s="3"/>
      <c r="AW148" s="3"/>
    </row>
    <row r="149" spans="1:49" x14ac:dyDescent="0.25">
      <c r="A149" s="65"/>
      <c r="B149" s="66"/>
      <c r="C149" s="66"/>
      <c r="D149" s="67"/>
      <c r="E149" s="68"/>
      <c r="F149" s="93"/>
      <c r="G149" s="66"/>
      <c r="H149" s="69"/>
      <c r="I149" s="70"/>
      <c r="J149" s="70"/>
      <c r="K149" s="69"/>
      <c r="L149" s="72"/>
      <c r="M149" s="73">
        <v>6922.37841796875</v>
      </c>
      <c r="N149" s="73">
        <v>5139.06591796875</v>
      </c>
      <c r="O149" s="74"/>
      <c r="P149" s="75"/>
      <c r="Q149" s="75"/>
      <c r="R149" s="78">
        <f t="shared" si="2"/>
        <v>31</v>
      </c>
      <c r="S149" s="47">
        <v>15</v>
      </c>
      <c r="T149" s="47">
        <v>16</v>
      </c>
      <c r="U149" s="48">
        <v>84.390112000000002</v>
      </c>
      <c r="V149" s="48">
        <v>2.2520000000000001E-3</v>
      </c>
      <c r="W149" s="48">
        <v>7.6E-3</v>
      </c>
      <c r="X149" s="49"/>
      <c r="Y149" s="48">
        <v>0.35064935064935066</v>
      </c>
      <c r="Z149" s="48"/>
      <c r="AA149" s="71">
        <v>149</v>
      </c>
      <c r="AB149" s="71"/>
      <c r="AC149" s="116">
        <v>2</v>
      </c>
      <c r="AD149" s="76"/>
      <c r="AE149" s="76">
        <v>716</v>
      </c>
      <c r="AF149" s="76">
        <v>2109</v>
      </c>
      <c r="AG149" s="76">
        <v>4217</v>
      </c>
      <c r="AH149" s="76">
        <v>540</v>
      </c>
      <c r="AI149" s="76">
        <v>7200</v>
      </c>
      <c r="AJ149" s="76"/>
      <c r="AK149" s="76"/>
      <c r="AL149" s="92"/>
      <c r="AM149" s="76"/>
      <c r="AN149" s="76">
        <v>41192.554710648146</v>
      </c>
      <c r="AO149" s="76" t="s">
        <v>60</v>
      </c>
      <c r="AP149" s="76"/>
      <c r="AQ149" s="92"/>
      <c r="AR149" s="76"/>
      <c r="AS149" s="2"/>
      <c r="AT149" s="3"/>
      <c r="AU149" s="3"/>
      <c r="AV149" s="3"/>
      <c r="AW149" s="3"/>
    </row>
    <row r="150" spans="1:49" x14ac:dyDescent="0.25">
      <c r="A150" s="65"/>
      <c r="B150" s="66"/>
      <c r="C150" s="66"/>
      <c r="D150" s="67"/>
      <c r="E150" s="68"/>
      <c r="F150" s="93"/>
      <c r="G150" s="66"/>
      <c r="H150" s="69"/>
      <c r="I150" s="70"/>
      <c r="J150" s="70"/>
      <c r="K150" s="69"/>
      <c r="L150" s="72"/>
      <c r="M150" s="73">
        <v>4746.3095703125</v>
      </c>
      <c r="N150" s="73">
        <v>5749.8251953125</v>
      </c>
      <c r="O150" s="74"/>
      <c r="P150" s="75"/>
      <c r="Q150" s="75"/>
      <c r="R150" s="78">
        <f t="shared" si="2"/>
        <v>43</v>
      </c>
      <c r="S150" s="47">
        <v>17</v>
      </c>
      <c r="T150" s="47">
        <v>26</v>
      </c>
      <c r="U150" s="48">
        <v>147.16666799999999</v>
      </c>
      <c r="V150" s="48">
        <v>2.3310000000000002E-3</v>
      </c>
      <c r="W150" s="48">
        <v>1.0186000000000001E-2</v>
      </c>
      <c r="X150" s="49"/>
      <c r="Y150" s="48">
        <v>0.30574712643678159</v>
      </c>
      <c r="Z150" s="48"/>
      <c r="AA150" s="71">
        <v>150</v>
      </c>
      <c r="AB150" s="71"/>
      <c r="AC150" s="116">
        <v>2</v>
      </c>
      <c r="AD150" s="76"/>
      <c r="AE150" s="76">
        <v>2243</v>
      </c>
      <c r="AF150" s="76">
        <v>6114</v>
      </c>
      <c r="AG150" s="76">
        <v>4609</v>
      </c>
      <c r="AH150" s="76">
        <v>647</v>
      </c>
      <c r="AI150" s="76">
        <v>3600</v>
      </c>
      <c r="AJ150" s="76"/>
      <c r="AK150" s="76"/>
      <c r="AL150" s="92"/>
      <c r="AM150" s="76"/>
      <c r="AN150" s="76">
        <v>41157.583819444444</v>
      </c>
      <c r="AO150" s="76" t="s">
        <v>60</v>
      </c>
      <c r="AP150" s="76"/>
      <c r="AQ150" s="92"/>
      <c r="AR150" s="76"/>
      <c r="AS150" s="2"/>
      <c r="AT150" s="3"/>
      <c r="AU150" s="3"/>
      <c r="AV150" s="3"/>
      <c r="AW150" s="3"/>
    </row>
    <row r="151" spans="1:49" x14ac:dyDescent="0.25">
      <c r="A151" s="65"/>
      <c r="B151" s="66"/>
      <c r="C151" s="66"/>
      <c r="D151" s="67"/>
      <c r="E151" s="68"/>
      <c r="F151" s="93"/>
      <c r="G151" s="66"/>
      <c r="H151" s="69"/>
      <c r="I151" s="70"/>
      <c r="J151" s="70"/>
      <c r="K151" s="69"/>
      <c r="L151" s="72"/>
      <c r="M151" s="73">
        <v>4800.44140625</v>
      </c>
      <c r="N151" s="73">
        <v>6202.5361328125</v>
      </c>
      <c r="O151" s="74"/>
      <c r="P151" s="75"/>
      <c r="Q151" s="75"/>
      <c r="R151" s="78">
        <f t="shared" si="2"/>
        <v>44</v>
      </c>
      <c r="S151" s="47">
        <v>19</v>
      </c>
      <c r="T151" s="47">
        <v>25</v>
      </c>
      <c r="U151" s="48">
        <v>204.12123500000001</v>
      </c>
      <c r="V151" s="48">
        <v>2.336E-3</v>
      </c>
      <c r="W151" s="48">
        <v>1.0413E-2</v>
      </c>
      <c r="X151" s="49"/>
      <c r="Y151" s="48">
        <v>0.2817204301075269</v>
      </c>
      <c r="Z151" s="48"/>
      <c r="AA151" s="71">
        <v>151</v>
      </c>
      <c r="AB151" s="71"/>
      <c r="AC151" s="116">
        <v>2</v>
      </c>
      <c r="AD151" s="76"/>
      <c r="AE151" s="76">
        <v>1217</v>
      </c>
      <c r="AF151" s="76">
        <v>6475</v>
      </c>
      <c r="AG151" s="76">
        <v>11259</v>
      </c>
      <c r="AH151" s="76">
        <v>2289</v>
      </c>
      <c r="AI151" s="76">
        <v>-36000</v>
      </c>
      <c r="AJ151" s="76"/>
      <c r="AK151" s="76"/>
      <c r="AL151" s="92"/>
      <c r="AM151" s="76"/>
      <c r="AN151" s="76">
        <v>40135.567615740743</v>
      </c>
      <c r="AO151" s="76" t="s">
        <v>60</v>
      </c>
      <c r="AP151" s="76"/>
      <c r="AQ151" s="92"/>
      <c r="AR151" s="76"/>
      <c r="AS151" s="2"/>
      <c r="AT151" s="3"/>
      <c r="AU151" s="3"/>
      <c r="AV151" s="3"/>
      <c r="AW151" s="3"/>
    </row>
    <row r="152" spans="1:49" x14ac:dyDescent="0.25">
      <c r="A152" s="65"/>
      <c r="B152" s="66"/>
      <c r="C152" s="66"/>
      <c r="D152" s="67"/>
      <c r="E152" s="68"/>
      <c r="F152" s="93"/>
      <c r="G152" s="66"/>
      <c r="H152" s="69"/>
      <c r="I152" s="70"/>
      <c r="J152" s="70"/>
      <c r="K152" s="69"/>
      <c r="L152" s="72"/>
      <c r="M152" s="73">
        <v>5932.25</v>
      </c>
      <c r="N152" s="73">
        <v>6106.14599609375</v>
      </c>
      <c r="O152" s="74"/>
      <c r="P152" s="75"/>
      <c r="Q152" s="75"/>
      <c r="R152" s="78">
        <f t="shared" si="2"/>
        <v>29</v>
      </c>
      <c r="S152" s="47">
        <v>17</v>
      </c>
      <c r="T152" s="47">
        <v>12</v>
      </c>
      <c r="U152" s="48">
        <v>64.505163999999994</v>
      </c>
      <c r="V152" s="48">
        <v>2.2880000000000001E-3</v>
      </c>
      <c r="W152" s="48">
        <v>9.1859999999999997E-3</v>
      </c>
      <c r="X152" s="49"/>
      <c r="Y152" s="48">
        <v>0.41125541125541126</v>
      </c>
      <c r="Z152" s="48"/>
      <c r="AA152" s="71">
        <v>152</v>
      </c>
      <c r="AB152" s="71"/>
      <c r="AC152" s="116">
        <v>2</v>
      </c>
      <c r="AD152" s="76"/>
      <c r="AE152" s="76">
        <v>445</v>
      </c>
      <c r="AF152" s="76">
        <v>881</v>
      </c>
      <c r="AG152" s="76">
        <v>802</v>
      </c>
      <c r="AH152" s="76">
        <v>571</v>
      </c>
      <c r="AI152" s="76">
        <v>7200</v>
      </c>
      <c r="AJ152" s="76"/>
      <c r="AK152" s="76"/>
      <c r="AL152" s="92"/>
      <c r="AM152" s="76"/>
      <c r="AN152" s="76">
        <v>41829.38521990741</v>
      </c>
      <c r="AO152" s="76" t="s">
        <v>60</v>
      </c>
      <c r="AP152" s="76"/>
      <c r="AQ152" s="92"/>
      <c r="AR152" s="76"/>
      <c r="AS152" s="2"/>
      <c r="AT152" s="3"/>
      <c r="AU152" s="3"/>
      <c r="AV152" s="3"/>
      <c r="AW152" s="3"/>
    </row>
    <row r="153" spans="1:49" x14ac:dyDescent="0.25">
      <c r="A153" s="65"/>
      <c r="B153" s="66"/>
      <c r="C153" s="66"/>
      <c r="D153" s="67"/>
      <c r="E153" s="68"/>
      <c r="F153" s="93"/>
      <c r="G153" s="66"/>
      <c r="H153" s="69"/>
      <c r="I153" s="70"/>
      <c r="J153" s="70"/>
      <c r="K153" s="69"/>
      <c r="L153" s="72"/>
      <c r="M153" s="73">
        <v>3559.50244140625</v>
      </c>
      <c r="N153" s="73">
        <v>7078.21728515625</v>
      </c>
      <c r="O153" s="74"/>
      <c r="P153" s="75"/>
      <c r="Q153" s="75"/>
      <c r="R153" s="78">
        <f t="shared" si="2"/>
        <v>11</v>
      </c>
      <c r="S153" s="47">
        <v>5</v>
      </c>
      <c r="T153" s="47">
        <v>6</v>
      </c>
      <c r="U153" s="48">
        <v>4.5088100000000004</v>
      </c>
      <c r="V153" s="48">
        <v>2.0699999999999998E-3</v>
      </c>
      <c r="W153" s="48">
        <v>2.8140000000000001E-3</v>
      </c>
      <c r="X153" s="49"/>
      <c r="Y153" s="48">
        <v>0.53333333333333333</v>
      </c>
      <c r="Z153" s="48"/>
      <c r="AA153" s="71">
        <v>153</v>
      </c>
      <c r="AB153" s="71"/>
      <c r="AC153" s="116">
        <v>2</v>
      </c>
      <c r="AD153" s="76"/>
      <c r="AE153" s="76">
        <v>480</v>
      </c>
      <c r="AF153" s="76">
        <v>3874</v>
      </c>
      <c r="AG153" s="76">
        <v>3807</v>
      </c>
      <c r="AH153" s="76">
        <v>2238</v>
      </c>
      <c r="AI153" s="76">
        <v>3600</v>
      </c>
      <c r="AJ153" s="76"/>
      <c r="AK153" s="76"/>
      <c r="AL153" s="92"/>
      <c r="AM153" s="76"/>
      <c r="AN153" s="76">
        <v>39853.84511574074</v>
      </c>
      <c r="AO153" s="76" t="s">
        <v>60</v>
      </c>
      <c r="AP153" s="76"/>
      <c r="AQ153" s="92"/>
      <c r="AR153" s="76"/>
      <c r="AS153" s="2"/>
      <c r="AT153" s="3"/>
      <c r="AU153" s="3"/>
      <c r="AV153" s="3"/>
      <c r="AW153" s="3"/>
    </row>
    <row r="154" spans="1:49" x14ac:dyDescent="0.25">
      <c r="A154" s="65"/>
      <c r="B154" s="66"/>
      <c r="C154" s="66"/>
      <c r="D154" s="67"/>
      <c r="E154" s="68"/>
      <c r="F154" s="93"/>
      <c r="G154" s="66"/>
      <c r="H154" s="69"/>
      <c r="I154" s="70"/>
      <c r="J154" s="70"/>
      <c r="K154" s="69"/>
      <c r="L154" s="72"/>
      <c r="M154" s="73">
        <v>8083.37353515625</v>
      </c>
      <c r="N154" s="73">
        <v>5632.4248046875</v>
      </c>
      <c r="O154" s="74"/>
      <c r="P154" s="75"/>
      <c r="Q154" s="75"/>
      <c r="R154" s="78">
        <f t="shared" si="2"/>
        <v>10</v>
      </c>
      <c r="S154" s="47">
        <v>4</v>
      </c>
      <c r="T154" s="47">
        <v>6</v>
      </c>
      <c r="U154" s="48">
        <v>4.4028049999999999</v>
      </c>
      <c r="V154" s="48">
        <v>2.0040000000000001E-3</v>
      </c>
      <c r="W154" s="48">
        <v>3.016E-3</v>
      </c>
      <c r="X154" s="49"/>
      <c r="Y154" s="48">
        <v>0.6428571428571429</v>
      </c>
      <c r="Z154" s="48"/>
      <c r="AA154" s="71">
        <v>154</v>
      </c>
      <c r="AB154" s="71"/>
      <c r="AC154" s="116">
        <v>2</v>
      </c>
      <c r="AD154" s="76"/>
      <c r="AE154" s="76">
        <v>1998</v>
      </c>
      <c r="AF154" s="76">
        <v>3311</v>
      </c>
      <c r="AG154" s="76">
        <v>4587</v>
      </c>
      <c r="AH154" s="76">
        <v>837</v>
      </c>
      <c r="AI154" s="76">
        <v>3600</v>
      </c>
      <c r="AJ154" s="76"/>
      <c r="AK154" s="76"/>
      <c r="AL154" s="92"/>
      <c r="AM154" s="76"/>
      <c r="AN154" s="76">
        <v>41037.462384259263</v>
      </c>
      <c r="AO154" s="76" t="s">
        <v>60</v>
      </c>
      <c r="AP154" s="76"/>
      <c r="AQ154" s="92"/>
      <c r="AR154" s="76"/>
      <c r="AS154" s="2"/>
      <c r="AT154" s="3"/>
      <c r="AU154" s="3"/>
      <c r="AV154" s="3"/>
      <c r="AW154" s="3"/>
    </row>
    <row r="155" spans="1:49" x14ac:dyDescent="0.25">
      <c r="A155" s="65"/>
      <c r="B155" s="66"/>
      <c r="C155" s="66"/>
      <c r="D155" s="67"/>
      <c r="E155" s="68"/>
      <c r="F155" s="93"/>
      <c r="G155" s="66"/>
      <c r="H155" s="69"/>
      <c r="I155" s="70"/>
      <c r="J155" s="70"/>
      <c r="K155" s="69"/>
      <c r="L155" s="72"/>
      <c r="M155" s="73">
        <v>5289.01025390625</v>
      </c>
      <c r="N155" s="73">
        <v>4056.518310546875</v>
      </c>
      <c r="O155" s="74"/>
      <c r="P155" s="75"/>
      <c r="Q155" s="75"/>
      <c r="R155" s="78">
        <f t="shared" si="2"/>
        <v>55</v>
      </c>
      <c r="S155" s="47">
        <v>25</v>
      </c>
      <c r="T155" s="47">
        <v>30</v>
      </c>
      <c r="U155" s="48">
        <v>448.338617</v>
      </c>
      <c r="V155" s="48">
        <v>2.4510000000000001E-3</v>
      </c>
      <c r="W155" s="48">
        <v>1.2173E-2</v>
      </c>
      <c r="X155" s="49"/>
      <c r="Y155" s="48">
        <v>0.22402159244264508</v>
      </c>
      <c r="Z155" s="48"/>
      <c r="AA155" s="71">
        <v>155</v>
      </c>
      <c r="AB155" s="71"/>
      <c r="AC155" s="116">
        <v>2</v>
      </c>
      <c r="AD155" s="76"/>
      <c r="AE155" s="76">
        <v>621</v>
      </c>
      <c r="AF155" s="76">
        <v>3800</v>
      </c>
      <c r="AG155" s="76">
        <v>10304</v>
      </c>
      <c r="AH155" s="76">
        <v>529</v>
      </c>
      <c r="AI155" s="76">
        <v>3600</v>
      </c>
      <c r="AJ155" s="76"/>
      <c r="AK155" s="76"/>
      <c r="AL155" s="92"/>
      <c r="AM155" s="76"/>
      <c r="AN155" s="76">
        <v>40715.418865740743</v>
      </c>
      <c r="AO155" s="76" t="s">
        <v>60</v>
      </c>
      <c r="AP155" s="76"/>
      <c r="AQ155" s="92"/>
      <c r="AR155" s="76"/>
      <c r="AS155" s="2"/>
      <c r="AT155" s="3"/>
      <c r="AU155" s="3"/>
      <c r="AV155" s="3"/>
      <c r="AW155" s="3"/>
    </row>
    <row r="156" spans="1:49" x14ac:dyDescent="0.25">
      <c r="A156" s="65"/>
      <c r="B156" s="66"/>
      <c r="C156" s="66"/>
      <c r="D156" s="67"/>
      <c r="E156" s="68"/>
      <c r="F156" s="93"/>
      <c r="G156" s="66"/>
      <c r="H156" s="69"/>
      <c r="I156" s="70"/>
      <c r="J156" s="70"/>
      <c r="K156" s="69"/>
      <c r="L156" s="72"/>
      <c r="M156" s="73">
        <v>5469.5439453125</v>
      </c>
      <c r="N156" s="73">
        <v>8737.40234375</v>
      </c>
      <c r="O156" s="74"/>
      <c r="P156" s="75"/>
      <c r="Q156" s="75"/>
      <c r="R156" s="78">
        <f t="shared" si="2"/>
        <v>4</v>
      </c>
      <c r="S156" s="47">
        <v>3</v>
      </c>
      <c r="T156" s="47">
        <v>1</v>
      </c>
      <c r="U156" s="48">
        <v>0.4</v>
      </c>
      <c r="V156" s="48">
        <v>1.812E-3</v>
      </c>
      <c r="W156" s="48">
        <v>1.054E-3</v>
      </c>
      <c r="X156" s="49"/>
      <c r="Y156" s="48">
        <v>0.66666666666666663</v>
      </c>
      <c r="Z156" s="48"/>
      <c r="AA156" s="71">
        <v>156</v>
      </c>
      <c r="AB156" s="71"/>
      <c r="AC156" s="116">
        <v>2</v>
      </c>
      <c r="AD156" s="76"/>
      <c r="AE156" s="76">
        <v>763</v>
      </c>
      <c r="AF156" s="76">
        <v>721</v>
      </c>
      <c r="AG156" s="76">
        <v>458</v>
      </c>
      <c r="AH156" s="76">
        <v>106</v>
      </c>
      <c r="AI156" s="76">
        <v>3600</v>
      </c>
      <c r="AJ156" s="76"/>
      <c r="AK156" s="76"/>
      <c r="AL156" s="92"/>
      <c r="AM156" s="76"/>
      <c r="AN156" s="76">
        <v>40351.487962962965</v>
      </c>
      <c r="AO156" s="76" t="s">
        <v>60</v>
      </c>
      <c r="AP156" s="76"/>
      <c r="AQ156" s="92"/>
      <c r="AR156" s="76"/>
      <c r="AS156" s="2"/>
      <c r="AT156" s="3"/>
      <c r="AU156" s="3"/>
      <c r="AV156" s="3"/>
      <c r="AW156" s="3"/>
    </row>
    <row r="157" spans="1:49" x14ac:dyDescent="0.25">
      <c r="A157" s="65"/>
      <c r="B157" s="66"/>
      <c r="C157" s="66"/>
      <c r="D157" s="67"/>
      <c r="E157" s="68"/>
      <c r="F157" s="93"/>
      <c r="G157" s="66"/>
      <c r="H157" s="69"/>
      <c r="I157" s="70"/>
      <c r="J157" s="70"/>
      <c r="K157" s="69"/>
      <c r="L157" s="72"/>
      <c r="M157" s="73">
        <v>6092.1279296875</v>
      </c>
      <c r="N157" s="73">
        <v>3791.35400390625</v>
      </c>
      <c r="O157" s="74"/>
      <c r="P157" s="75"/>
      <c r="Q157" s="75"/>
      <c r="R157" s="78">
        <f t="shared" si="2"/>
        <v>41</v>
      </c>
      <c r="S157" s="47">
        <v>20</v>
      </c>
      <c r="T157" s="47">
        <v>21</v>
      </c>
      <c r="U157" s="48">
        <v>726.16166699999997</v>
      </c>
      <c r="V157" s="48">
        <v>2.2620000000000001E-3</v>
      </c>
      <c r="W157" s="48">
        <v>7.8320000000000004E-3</v>
      </c>
      <c r="X157" s="49"/>
      <c r="Y157" s="48">
        <v>0.18349753694581281</v>
      </c>
      <c r="Z157" s="48"/>
      <c r="AA157" s="71">
        <v>157</v>
      </c>
      <c r="AB157" s="71"/>
      <c r="AC157" s="116">
        <v>2</v>
      </c>
      <c r="AD157" s="76"/>
      <c r="AE157" s="76">
        <v>1851</v>
      </c>
      <c r="AF157" s="76">
        <v>2806</v>
      </c>
      <c r="AG157" s="76">
        <v>5088</v>
      </c>
      <c r="AH157" s="76">
        <v>4076</v>
      </c>
      <c r="AI157" s="76">
        <v>3600</v>
      </c>
      <c r="AJ157" s="76"/>
      <c r="AK157" s="76"/>
      <c r="AL157" s="92"/>
      <c r="AM157" s="76"/>
      <c r="AN157" s="76">
        <v>40317.790266203701</v>
      </c>
      <c r="AO157" s="76" t="s">
        <v>60</v>
      </c>
      <c r="AP157" s="76"/>
      <c r="AQ157" s="92"/>
      <c r="AR157" s="76"/>
      <c r="AS157" s="2"/>
      <c r="AT157" s="3"/>
      <c r="AU157" s="3"/>
      <c r="AV157" s="3"/>
      <c r="AW157" s="3"/>
    </row>
    <row r="158" spans="1:49" x14ac:dyDescent="0.25">
      <c r="A158" s="65"/>
      <c r="B158" s="66"/>
      <c r="C158" s="66"/>
      <c r="D158" s="67"/>
      <c r="E158" s="68"/>
      <c r="F158" s="93"/>
      <c r="G158" s="66"/>
      <c r="H158" s="69"/>
      <c r="I158" s="70"/>
      <c r="J158" s="70"/>
      <c r="K158" s="69"/>
      <c r="L158" s="72"/>
      <c r="M158" s="73">
        <v>7671.21337890625</v>
      </c>
      <c r="N158" s="73">
        <v>3302.022705078125</v>
      </c>
      <c r="O158" s="74"/>
      <c r="P158" s="75"/>
      <c r="Q158" s="75"/>
      <c r="R158" s="78">
        <f t="shared" si="2"/>
        <v>16</v>
      </c>
      <c r="S158" s="47">
        <v>9</v>
      </c>
      <c r="T158" s="47">
        <v>7</v>
      </c>
      <c r="U158" s="48">
        <v>57.274059999999999</v>
      </c>
      <c r="V158" s="48">
        <v>1.9759999999999999E-3</v>
      </c>
      <c r="W158" s="48">
        <v>3.032E-3</v>
      </c>
      <c r="X158" s="49"/>
      <c r="Y158" s="48">
        <v>0.35606060606060608</v>
      </c>
      <c r="Z158" s="48"/>
      <c r="AA158" s="71">
        <v>158</v>
      </c>
      <c r="AB158" s="71"/>
      <c r="AC158" s="116">
        <v>2</v>
      </c>
      <c r="AD158" s="76"/>
      <c r="AE158" s="76">
        <v>1406</v>
      </c>
      <c r="AF158" s="76">
        <v>25668</v>
      </c>
      <c r="AG158" s="76">
        <v>11742</v>
      </c>
      <c r="AH158" s="76">
        <v>1012</v>
      </c>
      <c r="AI158" s="76">
        <v>3600</v>
      </c>
      <c r="AJ158" s="76"/>
      <c r="AK158" s="76"/>
      <c r="AL158" s="92"/>
      <c r="AM158" s="76"/>
      <c r="AN158" s="76">
        <v>40071.561759259261</v>
      </c>
      <c r="AO158" s="76" t="s">
        <v>60</v>
      </c>
      <c r="AP158" s="76"/>
      <c r="AQ158" s="92"/>
      <c r="AR158" s="76"/>
      <c r="AS158" s="2"/>
      <c r="AT158" s="3"/>
      <c r="AU158" s="3"/>
      <c r="AV158" s="3"/>
      <c r="AW158" s="3"/>
    </row>
    <row r="159" spans="1:49" x14ac:dyDescent="0.25">
      <c r="A159" s="65"/>
      <c r="B159" s="66"/>
      <c r="C159" s="66"/>
      <c r="D159" s="67"/>
      <c r="E159" s="68"/>
      <c r="F159" s="93"/>
      <c r="G159" s="66"/>
      <c r="H159" s="69"/>
      <c r="I159" s="70"/>
      <c r="J159" s="70"/>
      <c r="K159" s="69"/>
      <c r="L159" s="72"/>
      <c r="M159" s="73">
        <v>9902.8115234375</v>
      </c>
      <c r="N159" s="73">
        <v>1615.03271484375</v>
      </c>
      <c r="O159" s="74"/>
      <c r="P159" s="75"/>
      <c r="Q159" s="75"/>
      <c r="R159" s="78">
        <f t="shared" si="2"/>
        <v>1</v>
      </c>
      <c r="S159" s="47">
        <v>0</v>
      </c>
      <c r="T159" s="47">
        <v>1</v>
      </c>
      <c r="U159" s="48">
        <v>0</v>
      </c>
      <c r="V159" s="48">
        <v>1.335E-3</v>
      </c>
      <c r="W159" s="48">
        <v>7.7999999999999999E-5</v>
      </c>
      <c r="X159" s="49"/>
      <c r="Y159" s="48">
        <v>0</v>
      </c>
      <c r="Z159" s="48"/>
      <c r="AA159" s="71">
        <v>159</v>
      </c>
      <c r="AB159" s="71"/>
      <c r="AC159" s="116">
        <v>2</v>
      </c>
      <c r="AD159" s="76"/>
      <c r="AE159" s="76">
        <v>273</v>
      </c>
      <c r="AF159" s="76">
        <v>768</v>
      </c>
      <c r="AG159" s="76">
        <v>1704</v>
      </c>
      <c r="AH159" s="76">
        <v>5</v>
      </c>
      <c r="AI159" s="76">
        <v>-14400</v>
      </c>
      <c r="AJ159" s="76"/>
      <c r="AK159" s="76"/>
      <c r="AL159" s="92"/>
      <c r="AM159" s="76"/>
      <c r="AN159" s="76">
        <v>41067.650648148148</v>
      </c>
      <c r="AO159" s="76" t="s">
        <v>60</v>
      </c>
      <c r="AP159" s="76"/>
      <c r="AQ159" s="92"/>
      <c r="AR159" s="76"/>
      <c r="AS159" s="2"/>
      <c r="AT159" s="3"/>
      <c r="AU159" s="3"/>
      <c r="AV159" s="3"/>
      <c r="AW159" s="3"/>
    </row>
    <row r="160" spans="1:49" x14ac:dyDescent="0.25">
      <c r="A160" s="65"/>
      <c r="B160" s="66"/>
      <c r="C160" s="66"/>
      <c r="D160" s="67"/>
      <c r="E160" s="68"/>
      <c r="F160" s="93"/>
      <c r="G160" s="66"/>
      <c r="H160" s="69"/>
      <c r="I160" s="70"/>
      <c r="J160" s="70"/>
      <c r="K160" s="69"/>
      <c r="L160" s="72"/>
      <c r="M160" s="73">
        <v>4169.947265625</v>
      </c>
      <c r="N160" s="73">
        <v>4057.425048828125</v>
      </c>
      <c r="O160" s="74"/>
      <c r="P160" s="75"/>
      <c r="Q160" s="75"/>
      <c r="R160" s="78">
        <f t="shared" si="2"/>
        <v>45</v>
      </c>
      <c r="S160" s="47">
        <v>37</v>
      </c>
      <c r="T160" s="47">
        <v>8</v>
      </c>
      <c r="U160" s="48">
        <v>1287.364002</v>
      </c>
      <c r="V160" s="48">
        <v>2.4099999999999998E-3</v>
      </c>
      <c r="W160" s="48">
        <v>1.0144E-2</v>
      </c>
      <c r="X160" s="49"/>
      <c r="Y160" s="48">
        <v>0.15320512820512822</v>
      </c>
      <c r="Z160" s="48"/>
      <c r="AA160" s="71">
        <v>160</v>
      </c>
      <c r="AB160" s="71"/>
      <c r="AC160" s="116">
        <v>2</v>
      </c>
      <c r="AD160" s="76"/>
      <c r="AE160" s="76">
        <v>73478</v>
      </c>
      <c r="AF160" s="76">
        <v>147069</v>
      </c>
      <c r="AG160" s="76">
        <v>34051</v>
      </c>
      <c r="AH160" s="76">
        <v>2465</v>
      </c>
      <c r="AI160" s="76">
        <v>3600</v>
      </c>
      <c r="AJ160" s="76"/>
      <c r="AK160" s="76"/>
      <c r="AL160" s="92"/>
      <c r="AM160" s="76"/>
      <c r="AN160" s="76">
        <v>39844.920601851853</v>
      </c>
      <c r="AO160" s="76" t="s">
        <v>60</v>
      </c>
      <c r="AP160" s="76"/>
      <c r="AQ160" s="92"/>
      <c r="AR160" s="76"/>
      <c r="AS160" s="2"/>
      <c r="AT160" s="3"/>
      <c r="AU160" s="3"/>
      <c r="AV160" s="3"/>
      <c r="AW160" s="3"/>
    </row>
    <row r="161" spans="1:49" x14ac:dyDescent="0.25">
      <c r="A161" s="65"/>
      <c r="B161" s="66"/>
      <c r="C161" s="66"/>
      <c r="D161" s="67"/>
      <c r="E161" s="68"/>
      <c r="F161" s="93"/>
      <c r="G161" s="66"/>
      <c r="H161" s="69"/>
      <c r="I161" s="70"/>
      <c r="J161" s="70"/>
      <c r="K161" s="69"/>
      <c r="L161" s="72"/>
      <c r="M161" s="73">
        <v>5513.43408203125</v>
      </c>
      <c r="N161" s="73">
        <v>3494.73681640625</v>
      </c>
      <c r="O161" s="74"/>
      <c r="P161" s="75"/>
      <c r="Q161" s="75"/>
      <c r="R161" s="78">
        <f t="shared" si="2"/>
        <v>24</v>
      </c>
      <c r="S161" s="47">
        <v>24</v>
      </c>
      <c r="T161" s="47">
        <v>0</v>
      </c>
      <c r="U161" s="48">
        <v>628.85186999999996</v>
      </c>
      <c r="V161" s="48">
        <v>2.2989999999999998E-3</v>
      </c>
      <c r="W161" s="48">
        <v>5.2509999999999996E-3</v>
      </c>
      <c r="X161" s="49"/>
      <c r="Y161" s="48">
        <v>0.12862318840579709</v>
      </c>
      <c r="Z161" s="48"/>
      <c r="AA161" s="71">
        <v>161</v>
      </c>
      <c r="AB161" s="71"/>
      <c r="AC161" s="116">
        <v>2</v>
      </c>
      <c r="AD161" s="76"/>
      <c r="AE161" s="76">
        <v>2790</v>
      </c>
      <c r="AF161" s="76">
        <v>120673</v>
      </c>
      <c r="AG161" s="76">
        <v>12314</v>
      </c>
      <c r="AH161" s="76">
        <v>2789</v>
      </c>
      <c r="AI161" s="76">
        <v>3600</v>
      </c>
      <c r="AJ161" s="76"/>
      <c r="AK161" s="76"/>
      <c r="AL161" s="92"/>
      <c r="AM161" s="76"/>
      <c r="AN161" s="76">
        <v>39157.461493055554</v>
      </c>
      <c r="AO161" s="76" t="s">
        <v>60</v>
      </c>
      <c r="AP161" s="76"/>
      <c r="AQ161" s="92"/>
      <c r="AR161" s="76"/>
      <c r="AS161" s="2"/>
      <c r="AT161" s="3"/>
      <c r="AU161" s="3"/>
      <c r="AV161" s="3"/>
      <c r="AW161" s="3"/>
    </row>
    <row r="162" spans="1:49" x14ac:dyDescent="0.25">
      <c r="A162" s="65"/>
      <c r="B162" s="66"/>
      <c r="C162" s="66"/>
      <c r="D162" s="67"/>
      <c r="E162" s="68"/>
      <c r="F162" s="93"/>
      <c r="G162" s="66"/>
      <c r="H162" s="69"/>
      <c r="I162" s="70"/>
      <c r="J162" s="70"/>
      <c r="K162" s="69"/>
      <c r="L162" s="72"/>
      <c r="M162" s="73">
        <v>4103.26416015625</v>
      </c>
      <c r="N162" s="73">
        <v>8751.234375</v>
      </c>
      <c r="O162" s="74"/>
      <c r="P162" s="75"/>
      <c r="Q162" s="75"/>
      <c r="R162" s="78">
        <f t="shared" si="2"/>
        <v>1</v>
      </c>
      <c r="S162" s="47">
        <v>1</v>
      </c>
      <c r="T162" s="47">
        <v>0</v>
      </c>
      <c r="U162" s="48">
        <v>0</v>
      </c>
      <c r="V162" s="48">
        <v>1.7359999999999999E-3</v>
      </c>
      <c r="W162" s="48">
        <v>5.8799999999999998E-4</v>
      </c>
      <c r="X162" s="49"/>
      <c r="Y162" s="48">
        <v>0</v>
      </c>
      <c r="Z162" s="48"/>
      <c r="AA162" s="71">
        <v>162</v>
      </c>
      <c r="AB162" s="71"/>
      <c r="AC162" s="116">
        <v>2</v>
      </c>
      <c r="AD162" s="76"/>
      <c r="AE162" s="76">
        <v>1</v>
      </c>
      <c r="AF162" s="76">
        <v>97</v>
      </c>
      <c r="AG162" s="76">
        <v>2</v>
      </c>
      <c r="AH162" s="76">
        <v>0</v>
      </c>
      <c r="AI162" s="76"/>
      <c r="AJ162" s="76"/>
      <c r="AK162" s="76"/>
      <c r="AL162" s="76"/>
      <c r="AM162" s="76"/>
      <c r="AN162" s="76">
        <v>41834.775000000001</v>
      </c>
      <c r="AO162" s="76" t="s">
        <v>60</v>
      </c>
      <c r="AP162" s="76"/>
      <c r="AQ162" s="92"/>
      <c r="AR162" s="76"/>
      <c r="AS162" s="2"/>
      <c r="AT162" s="3"/>
      <c r="AU162" s="3"/>
      <c r="AV162" s="3"/>
      <c r="AW162" s="3"/>
    </row>
    <row r="163" spans="1:49" x14ac:dyDescent="0.25">
      <c r="A163" s="65"/>
      <c r="B163" s="66"/>
      <c r="C163" s="66"/>
      <c r="D163" s="67"/>
      <c r="E163" s="68"/>
      <c r="F163" s="93"/>
      <c r="G163" s="66"/>
      <c r="H163" s="69"/>
      <c r="I163" s="70"/>
      <c r="J163" s="70"/>
      <c r="K163" s="69"/>
      <c r="L163" s="72"/>
      <c r="M163" s="73">
        <v>8259.5107421875</v>
      </c>
      <c r="N163" s="73">
        <v>4921.81591796875</v>
      </c>
      <c r="O163" s="74"/>
      <c r="P163" s="75"/>
      <c r="Q163" s="75"/>
      <c r="R163" s="78">
        <f t="shared" si="2"/>
        <v>10</v>
      </c>
      <c r="S163" s="47">
        <v>6</v>
      </c>
      <c r="T163" s="47">
        <v>4</v>
      </c>
      <c r="U163" s="48">
        <v>26.465449</v>
      </c>
      <c r="V163" s="48">
        <v>1.923E-3</v>
      </c>
      <c r="W163" s="48">
        <v>2.1580000000000002E-3</v>
      </c>
      <c r="X163" s="49"/>
      <c r="Y163" s="48">
        <v>0.3392857142857143</v>
      </c>
      <c r="Z163" s="48"/>
      <c r="AA163" s="71">
        <v>163</v>
      </c>
      <c r="AB163" s="71"/>
      <c r="AC163" s="116">
        <v>2</v>
      </c>
      <c r="AD163" s="76"/>
      <c r="AE163" s="76">
        <v>1791</v>
      </c>
      <c r="AF163" s="76">
        <v>8682</v>
      </c>
      <c r="AG163" s="76">
        <v>7100</v>
      </c>
      <c r="AH163" s="76">
        <v>1921</v>
      </c>
      <c r="AI163" s="76">
        <v>3600</v>
      </c>
      <c r="AJ163" s="76"/>
      <c r="AK163" s="76"/>
      <c r="AL163" s="92"/>
      <c r="AM163" s="76"/>
      <c r="AN163" s="76">
        <v>40011.316481481481</v>
      </c>
      <c r="AO163" s="76" t="s">
        <v>60</v>
      </c>
      <c r="AP163" s="76"/>
      <c r="AQ163" s="92"/>
      <c r="AR163" s="76"/>
      <c r="AS163" s="2"/>
      <c r="AT163" s="3"/>
      <c r="AU163" s="3"/>
      <c r="AV163" s="3"/>
      <c r="AW163" s="3"/>
    </row>
    <row r="164" spans="1:49" x14ac:dyDescent="0.25">
      <c r="A164" s="65"/>
      <c r="B164" s="66"/>
      <c r="C164" s="66"/>
      <c r="D164" s="67"/>
      <c r="E164" s="95"/>
      <c r="F164" s="66"/>
      <c r="G164" s="96"/>
      <c r="H164" s="69"/>
      <c r="I164" s="70"/>
      <c r="J164" s="70"/>
      <c r="K164" s="69"/>
      <c r="L164" s="72"/>
      <c r="M164" s="73">
        <v>3250.6708984375</v>
      </c>
      <c r="N164" s="73">
        <v>6940.193359375</v>
      </c>
      <c r="O164" s="74"/>
      <c r="P164" s="75"/>
      <c r="Q164" s="75"/>
      <c r="R164" s="78">
        <f t="shared" si="2"/>
        <v>4</v>
      </c>
      <c r="S164" s="47">
        <v>3</v>
      </c>
      <c r="T164" s="47">
        <v>1</v>
      </c>
      <c r="U164" s="48">
        <v>0.73640700000000003</v>
      </c>
      <c r="V164" s="48">
        <v>2.0200000000000001E-3</v>
      </c>
      <c r="W164" s="48">
        <v>2.0430000000000001E-3</v>
      </c>
      <c r="X164" s="49"/>
      <c r="Y164" s="48">
        <v>0.75</v>
      </c>
      <c r="Z164" s="48"/>
      <c r="AA164" s="71">
        <v>164</v>
      </c>
      <c r="AB164" s="71"/>
      <c r="AC164" s="116">
        <v>2</v>
      </c>
      <c r="AD164" s="77"/>
      <c r="AE164" s="77"/>
      <c r="AF164" s="77"/>
      <c r="AG164" s="77"/>
      <c r="AH164" s="77"/>
      <c r="AI164" s="77"/>
      <c r="AJ164" s="77"/>
      <c r="AK164" s="77"/>
      <c r="AL164" s="77"/>
      <c r="AM164" s="77"/>
      <c r="AN164" s="77"/>
      <c r="AO164" s="77"/>
      <c r="AP164" s="77"/>
      <c r="AQ164" s="77"/>
      <c r="AR164" s="76"/>
      <c r="AS164" s="2"/>
      <c r="AT164" s="3"/>
      <c r="AU164" s="3"/>
      <c r="AV164" s="3"/>
      <c r="AW164" s="3"/>
    </row>
    <row r="165" spans="1:49" x14ac:dyDescent="0.25">
      <c r="A165" s="65"/>
      <c r="B165" s="66"/>
      <c r="C165" s="66"/>
      <c r="D165" s="67"/>
      <c r="E165" s="68"/>
      <c r="F165" s="93"/>
      <c r="G165" s="66"/>
      <c r="H165" s="69"/>
      <c r="I165" s="70"/>
      <c r="J165" s="70"/>
      <c r="K165" s="69"/>
      <c r="L165" s="72"/>
      <c r="M165" s="73">
        <v>3236.472412109375</v>
      </c>
      <c r="N165" s="73">
        <v>2947.874267578125</v>
      </c>
      <c r="O165" s="74"/>
      <c r="P165" s="75"/>
      <c r="Q165" s="75"/>
      <c r="R165" s="78">
        <f t="shared" si="2"/>
        <v>37</v>
      </c>
      <c r="S165" s="47">
        <v>27</v>
      </c>
      <c r="T165" s="47">
        <v>10</v>
      </c>
      <c r="U165" s="48">
        <v>868.70780100000002</v>
      </c>
      <c r="V165" s="48">
        <v>2.1979999999999999E-3</v>
      </c>
      <c r="W165" s="48">
        <v>3.9329999999999999E-3</v>
      </c>
      <c r="X165" s="49"/>
      <c r="Y165" s="48">
        <v>0.20767195767195767</v>
      </c>
      <c r="Z165" s="48"/>
      <c r="AA165" s="71">
        <v>165</v>
      </c>
      <c r="AB165" s="71"/>
      <c r="AC165" s="116">
        <v>2</v>
      </c>
      <c r="AD165" s="76"/>
      <c r="AE165" s="76">
        <v>1377</v>
      </c>
      <c r="AF165" s="76">
        <v>255359</v>
      </c>
      <c r="AG165" s="76">
        <v>15684</v>
      </c>
      <c r="AH165" s="76">
        <v>2654</v>
      </c>
      <c r="AI165" s="76">
        <v>3600</v>
      </c>
      <c r="AJ165" s="76"/>
      <c r="AK165" s="76"/>
      <c r="AL165" s="92"/>
      <c r="AM165" s="76"/>
      <c r="AN165" s="76">
        <v>40506.511388888888</v>
      </c>
      <c r="AO165" s="76" t="s">
        <v>60</v>
      </c>
      <c r="AP165" s="76"/>
      <c r="AQ165" s="92"/>
      <c r="AR165" s="76"/>
      <c r="AS165" s="2"/>
      <c r="AT165" s="3"/>
      <c r="AU165" s="3"/>
      <c r="AV165" s="3"/>
      <c r="AW165" s="3"/>
    </row>
    <row r="166" spans="1:49" x14ac:dyDescent="0.25">
      <c r="A166" s="65"/>
      <c r="B166" s="66"/>
      <c r="C166" s="66"/>
      <c r="D166" s="67"/>
      <c r="E166" s="68"/>
      <c r="F166" s="93"/>
      <c r="G166" s="66"/>
      <c r="H166" s="69"/>
      <c r="I166" s="70"/>
      <c r="J166" s="70"/>
      <c r="K166" s="69"/>
      <c r="L166" s="72"/>
      <c r="M166" s="73">
        <v>6229.08203125</v>
      </c>
      <c r="N166" s="73">
        <v>6699.74560546875</v>
      </c>
      <c r="O166" s="74"/>
      <c r="P166" s="75"/>
      <c r="Q166" s="75"/>
      <c r="R166" s="78">
        <f t="shared" si="2"/>
        <v>19</v>
      </c>
      <c r="S166" s="47">
        <v>6</v>
      </c>
      <c r="T166" s="47">
        <v>13</v>
      </c>
      <c r="U166" s="48">
        <v>299.00020599999999</v>
      </c>
      <c r="V166" s="48">
        <v>2.183E-3</v>
      </c>
      <c r="W166" s="48">
        <v>4.9969999999999997E-3</v>
      </c>
      <c r="X166" s="49"/>
      <c r="Y166" s="48">
        <v>0.26666666666666666</v>
      </c>
      <c r="Z166" s="48"/>
      <c r="AA166" s="71">
        <v>166</v>
      </c>
      <c r="AB166" s="71"/>
      <c r="AC166" s="116">
        <v>2</v>
      </c>
      <c r="AD166" s="76"/>
      <c r="AE166" s="76">
        <v>603</v>
      </c>
      <c r="AF166" s="76">
        <v>1543</v>
      </c>
      <c r="AG166" s="76">
        <v>4354</v>
      </c>
      <c r="AH166" s="76">
        <v>3247</v>
      </c>
      <c r="AI166" s="76">
        <v>3600</v>
      </c>
      <c r="AJ166" s="76"/>
      <c r="AK166" s="76"/>
      <c r="AL166" s="92"/>
      <c r="AM166" s="76"/>
      <c r="AN166" s="76">
        <v>40872.70752314815</v>
      </c>
      <c r="AO166" s="76" t="s">
        <v>60</v>
      </c>
      <c r="AP166" s="76"/>
      <c r="AQ166" s="92"/>
      <c r="AR166" s="76"/>
      <c r="AS166" s="2"/>
      <c r="AT166" s="3"/>
      <c r="AU166" s="3"/>
      <c r="AV166" s="3"/>
      <c r="AW166" s="3"/>
    </row>
    <row r="167" spans="1:49" x14ac:dyDescent="0.25">
      <c r="A167" s="65"/>
      <c r="B167" s="66"/>
      <c r="C167" s="66"/>
      <c r="D167" s="67"/>
      <c r="E167" s="68"/>
      <c r="F167" s="93"/>
      <c r="G167" s="66"/>
      <c r="H167" s="69"/>
      <c r="I167" s="70"/>
      <c r="J167" s="70"/>
      <c r="K167" s="69"/>
      <c r="L167" s="72"/>
      <c r="M167" s="73">
        <v>3936.84375</v>
      </c>
      <c r="N167" s="73">
        <v>6345.81494140625</v>
      </c>
      <c r="O167" s="74"/>
      <c r="P167" s="75"/>
      <c r="Q167" s="75"/>
      <c r="R167" s="78">
        <f t="shared" si="2"/>
        <v>21</v>
      </c>
      <c r="S167" s="47">
        <v>6</v>
      </c>
      <c r="T167" s="47">
        <v>15</v>
      </c>
      <c r="U167" s="48">
        <v>20.524125999999999</v>
      </c>
      <c r="V167" s="48">
        <v>2.1879999999999998E-3</v>
      </c>
      <c r="W167" s="48">
        <v>6.2220000000000001E-3</v>
      </c>
      <c r="X167" s="49"/>
      <c r="Y167" s="48">
        <v>0.47083333333333333</v>
      </c>
      <c r="Z167" s="48"/>
      <c r="AA167" s="71">
        <v>167</v>
      </c>
      <c r="AB167" s="71"/>
      <c r="AC167" s="116">
        <v>2</v>
      </c>
      <c r="AD167" s="76"/>
      <c r="AE167" s="76">
        <v>3243</v>
      </c>
      <c r="AF167" s="76">
        <v>4537</v>
      </c>
      <c r="AG167" s="76">
        <v>11689</v>
      </c>
      <c r="AH167" s="76">
        <v>2705</v>
      </c>
      <c r="AI167" s="76">
        <v>3600</v>
      </c>
      <c r="AJ167" s="76"/>
      <c r="AK167" s="76"/>
      <c r="AL167" s="92"/>
      <c r="AM167" s="76"/>
      <c r="AN167" s="76">
        <v>40291.613425925927</v>
      </c>
      <c r="AO167" s="76" t="s">
        <v>60</v>
      </c>
      <c r="AP167" s="76"/>
      <c r="AQ167" s="92"/>
      <c r="AR167" s="76"/>
      <c r="AS167" s="2"/>
      <c r="AT167" s="3"/>
      <c r="AU167" s="3"/>
      <c r="AV167" s="3"/>
      <c r="AW167" s="3"/>
    </row>
    <row r="168" spans="1:49" x14ac:dyDescent="0.25">
      <c r="A168" s="65"/>
      <c r="B168" s="66"/>
      <c r="C168" s="66"/>
      <c r="D168" s="67"/>
      <c r="E168" s="68"/>
      <c r="F168" s="93"/>
      <c r="G168" s="66"/>
      <c r="H168" s="69"/>
      <c r="I168" s="70"/>
      <c r="J168" s="70"/>
      <c r="K168" s="69"/>
      <c r="L168" s="72"/>
      <c r="M168" s="73">
        <v>5150.87744140625</v>
      </c>
      <c r="N168" s="73">
        <v>6821.2685546875</v>
      </c>
      <c r="O168" s="74"/>
      <c r="P168" s="75"/>
      <c r="Q168" s="75"/>
      <c r="R168" s="78">
        <f t="shared" si="2"/>
        <v>29</v>
      </c>
      <c r="S168" s="47">
        <v>13</v>
      </c>
      <c r="T168" s="47">
        <v>16</v>
      </c>
      <c r="U168" s="48">
        <v>47.986804999999997</v>
      </c>
      <c r="V168" s="48">
        <v>2.2269999999999998E-3</v>
      </c>
      <c r="W168" s="48">
        <v>7.1890000000000001E-3</v>
      </c>
      <c r="X168" s="49"/>
      <c r="Y168" s="48">
        <v>0.42105263157894735</v>
      </c>
      <c r="Z168" s="48"/>
      <c r="AA168" s="71">
        <v>168</v>
      </c>
      <c r="AB168" s="71"/>
      <c r="AC168" s="116">
        <v>2</v>
      </c>
      <c r="AD168" s="76"/>
      <c r="AE168" s="76">
        <v>687</v>
      </c>
      <c r="AF168" s="76">
        <v>6974</v>
      </c>
      <c r="AG168" s="76">
        <v>11619</v>
      </c>
      <c r="AH168" s="76">
        <v>1111</v>
      </c>
      <c r="AI168" s="76">
        <v>3600</v>
      </c>
      <c r="AJ168" s="76"/>
      <c r="AK168" s="76"/>
      <c r="AL168" s="92"/>
      <c r="AM168" s="76"/>
      <c r="AN168" s="76">
        <v>40416.603993055556</v>
      </c>
      <c r="AO168" s="76" t="s">
        <v>60</v>
      </c>
      <c r="AP168" s="76"/>
      <c r="AQ168" s="92"/>
      <c r="AR168" s="76"/>
      <c r="AS168" s="2"/>
      <c r="AT168" s="3"/>
      <c r="AU168" s="3"/>
      <c r="AV168" s="3"/>
      <c r="AW168" s="3"/>
    </row>
    <row r="169" spans="1:49" x14ac:dyDescent="0.25">
      <c r="A169" s="65"/>
      <c r="B169" s="66"/>
      <c r="C169" s="66"/>
      <c r="D169" s="67"/>
      <c r="E169" s="68"/>
      <c r="F169" s="93"/>
      <c r="G169" s="66"/>
      <c r="H169" s="69"/>
      <c r="I169" s="70"/>
      <c r="J169" s="70"/>
      <c r="K169" s="69"/>
      <c r="L169" s="72"/>
      <c r="M169" s="73">
        <v>5161.35595703125</v>
      </c>
      <c r="N169" s="73">
        <v>5707.181640625</v>
      </c>
      <c r="O169" s="74"/>
      <c r="P169" s="75"/>
      <c r="Q169" s="75"/>
      <c r="R169" s="78">
        <f t="shared" si="2"/>
        <v>75</v>
      </c>
      <c r="S169" s="47">
        <v>38</v>
      </c>
      <c r="T169" s="47">
        <v>37</v>
      </c>
      <c r="U169" s="48">
        <v>1016.101025</v>
      </c>
      <c r="V169" s="48">
        <v>2.5579999999999999E-3</v>
      </c>
      <c r="W169" s="48">
        <v>1.4685999999999999E-2</v>
      </c>
      <c r="X169" s="49"/>
      <c r="Y169" s="48">
        <v>0.19510204081632654</v>
      </c>
      <c r="Z169" s="48"/>
      <c r="AA169" s="71">
        <v>169</v>
      </c>
      <c r="AB169" s="71"/>
      <c r="AC169" s="116">
        <v>2</v>
      </c>
      <c r="AD169" s="76"/>
      <c r="AE169" s="76">
        <v>3773</v>
      </c>
      <c r="AF169" s="76">
        <v>9456</v>
      </c>
      <c r="AG169" s="76">
        <v>9432</v>
      </c>
      <c r="AH169" s="76">
        <v>188</v>
      </c>
      <c r="AI169" s="76">
        <v>3600</v>
      </c>
      <c r="AJ169" s="76"/>
      <c r="AK169" s="76"/>
      <c r="AL169" s="92"/>
      <c r="AM169" s="76"/>
      <c r="AN169" s="76">
        <v>40825.495439814818</v>
      </c>
      <c r="AO169" s="76" t="s">
        <v>60</v>
      </c>
      <c r="AP169" s="76"/>
      <c r="AQ169" s="92"/>
      <c r="AR169" s="76"/>
      <c r="AS169" s="2"/>
      <c r="AT169" s="3"/>
      <c r="AU169" s="3"/>
      <c r="AV169" s="3"/>
      <c r="AW169" s="3"/>
    </row>
    <row r="170" spans="1:49" x14ac:dyDescent="0.25">
      <c r="A170" s="65"/>
      <c r="B170" s="66"/>
      <c r="C170" s="66"/>
      <c r="D170" s="67"/>
      <c r="E170" s="68"/>
      <c r="F170" s="93"/>
      <c r="G170" s="66"/>
      <c r="H170" s="69"/>
      <c r="I170" s="70"/>
      <c r="J170" s="70"/>
      <c r="K170" s="69"/>
      <c r="L170" s="72"/>
      <c r="M170" s="73">
        <v>5477.58447265625</v>
      </c>
      <c r="N170" s="73">
        <v>7662.126953125</v>
      </c>
      <c r="O170" s="74"/>
      <c r="P170" s="75"/>
      <c r="Q170" s="75"/>
      <c r="R170" s="78">
        <f t="shared" si="2"/>
        <v>13</v>
      </c>
      <c r="S170" s="47">
        <v>9</v>
      </c>
      <c r="T170" s="47">
        <v>4</v>
      </c>
      <c r="U170" s="48">
        <v>16.536096000000001</v>
      </c>
      <c r="V170" s="48">
        <v>2.0079999999999998E-3</v>
      </c>
      <c r="W170" s="48">
        <v>3.826E-3</v>
      </c>
      <c r="X170" s="49"/>
      <c r="Y170" s="48">
        <v>0.33636363636363636</v>
      </c>
      <c r="Z170" s="48"/>
      <c r="AA170" s="71">
        <v>170</v>
      </c>
      <c r="AB170" s="71"/>
      <c r="AC170" s="116">
        <v>2</v>
      </c>
      <c r="AD170" s="76"/>
      <c r="AE170" s="76">
        <v>1890</v>
      </c>
      <c r="AF170" s="76">
        <v>4236</v>
      </c>
      <c r="AG170" s="76">
        <v>4591</v>
      </c>
      <c r="AH170" s="76">
        <v>235</v>
      </c>
      <c r="AI170" s="76">
        <v>-25200</v>
      </c>
      <c r="AJ170" s="76"/>
      <c r="AK170" s="76"/>
      <c r="AL170" s="92"/>
      <c r="AM170" s="76"/>
      <c r="AN170" s="76">
        <v>40260.89366898148</v>
      </c>
      <c r="AO170" s="76" t="s">
        <v>60</v>
      </c>
      <c r="AP170" s="76"/>
      <c r="AQ170" s="92"/>
      <c r="AR170" s="76"/>
      <c r="AS170" s="2"/>
      <c r="AT170" s="3"/>
      <c r="AU170" s="3"/>
      <c r="AV170" s="3"/>
      <c r="AW170" s="3"/>
    </row>
    <row r="171" spans="1:49" x14ac:dyDescent="0.25">
      <c r="A171" s="65"/>
      <c r="B171" s="66"/>
      <c r="C171" s="66"/>
      <c r="D171" s="67"/>
      <c r="E171" s="68"/>
      <c r="F171" s="93"/>
      <c r="G171" s="66"/>
      <c r="H171" s="69"/>
      <c r="I171" s="70"/>
      <c r="J171" s="70"/>
      <c r="K171" s="69"/>
      <c r="L171" s="72"/>
      <c r="M171" s="73">
        <v>6088.19384765625</v>
      </c>
      <c r="N171" s="73">
        <v>4965.57275390625</v>
      </c>
      <c r="O171" s="74"/>
      <c r="P171" s="75"/>
      <c r="Q171" s="75"/>
      <c r="R171" s="78">
        <f t="shared" si="2"/>
        <v>47</v>
      </c>
      <c r="S171" s="47">
        <v>24</v>
      </c>
      <c r="T171" s="47">
        <v>23</v>
      </c>
      <c r="U171" s="48">
        <v>148.36342500000001</v>
      </c>
      <c r="V171" s="48">
        <v>2.3869999999999998E-3</v>
      </c>
      <c r="W171" s="48">
        <v>1.1837E-2</v>
      </c>
      <c r="X171" s="49"/>
      <c r="Y171" s="48">
        <v>0.32007575757575757</v>
      </c>
      <c r="Z171" s="48"/>
      <c r="AA171" s="71">
        <v>171</v>
      </c>
      <c r="AB171" s="71"/>
      <c r="AC171" s="116">
        <v>2</v>
      </c>
      <c r="AD171" s="76"/>
      <c r="AE171" s="76">
        <v>455</v>
      </c>
      <c r="AF171" s="76">
        <v>3369</v>
      </c>
      <c r="AG171" s="76">
        <v>997</v>
      </c>
      <c r="AH171" s="76">
        <v>629</v>
      </c>
      <c r="AI171" s="76">
        <v>-25200</v>
      </c>
      <c r="AJ171" s="76"/>
      <c r="AK171" s="76"/>
      <c r="AL171" s="92"/>
      <c r="AM171" s="76"/>
      <c r="AN171" s="76">
        <v>40918.415324074071</v>
      </c>
      <c r="AO171" s="76" t="s">
        <v>60</v>
      </c>
      <c r="AP171" s="76"/>
      <c r="AQ171" s="92"/>
      <c r="AR171" s="76"/>
      <c r="AS171" s="2"/>
      <c r="AT171" s="3"/>
      <c r="AU171" s="3"/>
      <c r="AV171" s="3"/>
      <c r="AW171" s="3"/>
    </row>
    <row r="172" spans="1:49" x14ac:dyDescent="0.25">
      <c r="A172" s="65"/>
      <c r="B172" s="66"/>
      <c r="C172" s="66"/>
      <c r="D172" s="67"/>
      <c r="E172" s="68"/>
      <c r="F172" s="93"/>
      <c r="G172" s="66"/>
      <c r="H172" s="69"/>
      <c r="I172" s="70"/>
      <c r="J172" s="70"/>
      <c r="K172" s="69"/>
      <c r="L172" s="72"/>
      <c r="M172" s="73">
        <v>5284.84912109375</v>
      </c>
      <c r="N172" s="73">
        <v>5236.22216796875</v>
      </c>
      <c r="O172" s="74"/>
      <c r="P172" s="75"/>
      <c r="Q172" s="75"/>
      <c r="R172" s="78">
        <f t="shared" si="2"/>
        <v>56</v>
      </c>
      <c r="S172" s="47">
        <v>36</v>
      </c>
      <c r="T172" s="47">
        <v>20</v>
      </c>
      <c r="U172" s="48">
        <v>894.79242599999998</v>
      </c>
      <c r="V172" s="48">
        <v>2.513E-3</v>
      </c>
      <c r="W172" s="48">
        <v>1.2892000000000001E-2</v>
      </c>
      <c r="X172" s="49"/>
      <c r="Y172" s="48">
        <v>0.2009966777408638</v>
      </c>
      <c r="Z172" s="48"/>
      <c r="AA172" s="71">
        <v>172</v>
      </c>
      <c r="AB172" s="71"/>
      <c r="AC172" s="116">
        <v>2</v>
      </c>
      <c r="AD172" s="76"/>
      <c r="AE172" s="76">
        <v>1231</v>
      </c>
      <c r="AF172" s="76">
        <v>15278</v>
      </c>
      <c r="AG172" s="76">
        <v>12997</v>
      </c>
      <c r="AH172" s="76">
        <v>3350</v>
      </c>
      <c r="AI172" s="76">
        <v>3600</v>
      </c>
      <c r="AJ172" s="76"/>
      <c r="AK172" s="76"/>
      <c r="AL172" s="92"/>
      <c r="AM172" s="76"/>
      <c r="AN172" s="76">
        <v>40401.348553240743</v>
      </c>
      <c r="AO172" s="76" t="s">
        <v>60</v>
      </c>
      <c r="AP172" s="76"/>
      <c r="AQ172" s="92"/>
      <c r="AR172" s="76"/>
      <c r="AS172" s="2"/>
      <c r="AT172" s="3"/>
      <c r="AU172" s="3"/>
      <c r="AV172" s="3"/>
      <c r="AW172" s="3"/>
    </row>
    <row r="173" spans="1:49" x14ac:dyDescent="0.25">
      <c r="A173" s="65"/>
      <c r="B173" s="66"/>
      <c r="C173" s="66"/>
      <c r="D173" s="67"/>
      <c r="E173" s="68"/>
      <c r="F173" s="93"/>
      <c r="G173" s="66"/>
      <c r="H173" s="69"/>
      <c r="I173" s="70"/>
      <c r="J173" s="70"/>
      <c r="K173" s="69"/>
      <c r="L173" s="72"/>
      <c r="M173" s="73">
        <v>8719.0322265625</v>
      </c>
      <c r="N173" s="73">
        <v>7794.2001953125</v>
      </c>
      <c r="O173" s="74"/>
      <c r="P173" s="75"/>
      <c r="Q173" s="75"/>
      <c r="R173" s="78">
        <f t="shared" si="2"/>
        <v>1</v>
      </c>
      <c r="S173" s="47">
        <v>1</v>
      </c>
      <c r="T173" s="47">
        <v>0</v>
      </c>
      <c r="U173" s="48">
        <v>0</v>
      </c>
      <c r="V173" s="48">
        <v>1.5900000000000001E-3</v>
      </c>
      <c r="W173" s="48">
        <v>3.1500000000000001E-4</v>
      </c>
      <c r="X173" s="49"/>
      <c r="Y173" s="48">
        <v>0</v>
      </c>
      <c r="Z173" s="48"/>
      <c r="AA173" s="71">
        <v>173</v>
      </c>
      <c r="AB173" s="71"/>
      <c r="AC173" s="116">
        <v>2</v>
      </c>
      <c r="AD173" s="76"/>
      <c r="AE173" s="76">
        <v>8</v>
      </c>
      <c r="AF173" s="76">
        <v>150</v>
      </c>
      <c r="AG173" s="76">
        <v>91</v>
      </c>
      <c r="AH173" s="76">
        <v>0</v>
      </c>
      <c r="AI173" s="76"/>
      <c r="AJ173" s="76"/>
      <c r="AK173" s="76"/>
      <c r="AL173" s="76"/>
      <c r="AM173" s="76"/>
      <c r="AN173" s="76">
        <v>40698.533912037034</v>
      </c>
      <c r="AO173" s="76" t="s">
        <v>60</v>
      </c>
      <c r="AP173" s="76"/>
      <c r="AQ173" s="92"/>
      <c r="AR173" s="76"/>
      <c r="AS173" s="2"/>
      <c r="AT173" s="3"/>
      <c r="AU173" s="3"/>
      <c r="AV173" s="3"/>
      <c r="AW173" s="3"/>
    </row>
    <row r="174" spans="1:49" x14ac:dyDescent="0.25">
      <c r="A174" s="65"/>
      <c r="B174" s="66"/>
      <c r="C174" s="66"/>
      <c r="D174" s="67"/>
      <c r="E174" s="68"/>
      <c r="F174" s="93"/>
      <c r="G174" s="66"/>
      <c r="H174" s="69"/>
      <c r="I174" s="70"/>
      <c r="J174" s="70"/>
      <c r="K174" s="69"/>
      <c r="L174" s="72"/>
      <c r="M174" s="73">
        <v>3835.509765625</v>
      </c>
      <c r="N174" s="73">
        <v>3212.10205078125</v>
      </c>
      <c r="O174" s="74"/>
      <c r="P174" s="75"/>
      <c r="Q174" s="75"/>
      <c r="R174" s="78">
        <f t="shared" si="2"/>
        <v>19</v>
      </c>
      <c r="S174" s="47">
        <v>12</v>
      </c>
      <c r="T174" s="47">
        <v>7</v>
      </c>
      <c r="U174" s="48">
        <v>202.381925</v>
      </c>
      <c r="V174" s="48">
        <v>2.2369999999999998E-3</v>
      </c>
      <c r="W174" s="48">
        <v>4.5909999999999996E-3</v>
      </c>
      <c r="X174" s="49"/>
      <c r="Y174" s="48">
        <v>0.29411764705882354</v>
      </c>
      <c r="Z174" s="48"/>
      <c r="AA174" s="71">
        <v>174</v>
      </c>
      <c r="AB174" s="71"/>
      <c r="AC174" s="116">
        <v>2</v>
      </c>
      <c r="AD174" s="76"/>
      <c r="AE174" s="76">
        <v>1403</v>
      </c>
      <c r="AF174" s="76">
        <v>3303</v>
      </c>
      <c r="AG174" s="76">
        <v>3519</v>
      </c>
      <c r="AH174" s="76">
        <v>157</v>
      </c>
      <c r="AI174" s="76">
        <v>3600</v>
      </c>
      <c r="AJ174" s="76"/>
      <c r="AK174" s="76"/>
      <c r="AL174" s="92"/>
      <c r="AM174" s="76"/>
      <c r="AN174" s="76">
        <v>40728.700138888889</v>
      </c>
      <c r="AO174" s="76" t="s">
        <v>60</v>
      </c>
      <c r="AP174" s="76"/>
      <c r="AQ174" s="92"/>
      <c r="AR174" s="76"/>
      <c r="AS174" s="2"/>
      <c r="AT174" s="3"/>
      <c r="AU174" s="3"/>
      <c r="AV174" s="3"/>
      <c r="AW174" s="3"/>
    </row>
    <row r="175" spans="1:49" x14ac:dyDescent="0.25">
      <c r="A175" s="65"/>
      <c r="B175" s="66"/>
      <c r="C175" s="66"/>
      <c r="D175" s="67"/>
      <c r="E175" s="68"/>
      <c r="F175" s="93"/>
      <c r="G175" s="66"/>
      <c r="H175" s="69"/>
      <c r="I175" s="70"/>
      <c r="J175" s="70"/>
      <c r="K175" s="69"/>
      <c r="L175" s="72"/>
      <c r="M175" s="73">
        <v>6380.0068359375</v>
      </c>
      <c r="N175" s="73">
        <v>3974.399658203125</v>
      </c>
      <c r="O175" s="74"/>
      <c r="P175" s="75"/>
      <c r="Q175" s="75"/>
      <c r="R175" s="78">
        <f t="shared" si="2"/>
        <v>55</v>
      </c>
      <c r="S175" s="47">
        <v>32</v>
      </c>
      <c r="T175" s="47">
        <v>23</v>
      </c>
      <c r="U175" s="48">
        <v>529.07462399999997</v>
      </c>
      <c r="V175" s="48">
        <v>2.4269999999999999E-3</v>
      </c>
      <c r="W175" s="48">
        <v>1.2768E-2</v>
      </c>
      <c r="X175" s="49"/>
      <c r="Y175" s="48">
        <v>0.25192307692307692</v>
      </c>
      <c r="Z175" s="48"/>
      <c r="AA175" s="71">
        <v>175</v>
      </c>
      <c r="AB175" s="71"/>
      <c r="AC175" s="116">
        <v>2</v>
      </c>
      <c r="AD175" s="76"/>
      <c r="AE175" s="76">
        <v>488</v>
      </c>
      <c r="AF175" s="76">
        <v>4445</v>
      </c>
      <c r="AG175" s="76">
        <v>5962</v>
      </c>
      <c r="AH175" s="76">
        <v>1219</v>
      </c>
      <c r="AI175" s="76">
        <v>3600</v>
      </c>
      <c r="AJ175" s="76"/>
      <c r="AK175" s="76"/>
      <c r="AL175" s="92"/>
      <c r="AM175" s="76"/>
      <c r="AN175" s="76">
        <v>41074.282048611109</v>
      </c>
      <c r="AO175" s="76" t="s">
        <v>60</v>
      </c>
      <c r="AP175" s="76"/>
      <c r="AQ175" s="92"/>
      <c r="AR175" s="76"/>
      <c r="AS175" s="2"/>
      <c r="AT175" s="3"/>
      <c r="AU175" s="3"/>
      <c r="AV175" s="3"/>
      <c r="AW175" s="3"/>
    </row>
    <row r="176" spans="1:49" x14ac:dyDescent="0.25">
      <c r="A176" s="65"/>
      <c r="B176" s="66"/>
      <c r="C176" s="66"/>
      <c r="D176" s="67"/>
      <c r="E176" s="68"/>
      <c r="F176" s="93"/>
      <c r="G176" s="66"/>
      <c r="H176" s="69"/>
      <c r="I176" s="70"/>
      <c r="J176" s="70"/>
      <c r="K176" s="69"/>
      <c r="L176" s="72"/>
      <c r="M176" s="73">
        <v>3954.2431640625</v>
      </c>
      <c r="N176" s="73">
        <v>7495.43798828125</v>
      </c>
      <c r="O176" s="74"/>
      <c r="P176" s="75"/>
      <c r="Q176" s="75"/>
      <c r="R176" s="78">
        <f t="shared" si="2"/>
        <v>13</v>
      </c>
      <c r="S176" s="47">
        <v>6</v>
      </c>
      <c r="T176" s="47">
        <v>7</v>
      </c>
      <c r="U176" s="48">
        <v>28.232156</v>
      </c>
      <c r="V176" s="48">
        <v>2.062E-3</v>
      </c>
      <c r="W176" s="48">
        <v>2.3010000000000001E-3</v>
      </c>
      <c r="X176" s="49"/>
      <c r="Y176" s="48">
        <v>0.3611111111111111</v>
      </c>
      <c r="Z176" s="48"/>
      <c r="AA176" s="71">
        <v>176</v>
      </c>
      <c r="AB176" s="71"/>
      <c r="AC176" s="116">
        <v>2</v>
      </c>
      <c r="AD176" s="76"/>
      <c r="AE176" s="76">
        <v>938</v>
      </c>
      <c r="AF176" s="76">
        <v>3633</v>
      </c>
      <c r="AG176" s="76">
        <v>4184</v>
      </c>
      <c r="AH176" s="76">
        <v>1062</v>
      </c>
      <c r="AI176" s="76">
        <v>3600</v>
      </c>
      <c r="AJ176" s="76"/>
      <c r="AK176" s="76"/>
      <c r="AL176" s="92"/>
      <c r="AM176" s="76"/>
      <c r="AN176" s="76">
        <v>40311.449606481481</v>
      </c>
      <c r="AO176" s="76" t="s">
        <v>60</v>
      </c>
      <c r="AP176" s="76"/>
      <c r="AQ176" s="92"/>
      <c r="AR176" s="76"/>
      <c r="AS176" s="2"/>
      <c r="AT176" s="3"/>
      <c r="AU176" s="3"/>
      <c r="AV176" s="3"/>
      <c r="AW176" s="3"/>
    </row>
    <row r="177" spans="1:49" x14ac:dyDescent="0.25">
      <c r="A177" s="65"/>
      <c r="B177" s="66"/>
      <c r="C177" s="66"/>
      <c r="D177" s="67"/>
      <c r="E177" s="95"/>
      <c r="F177" s="66"/>
      <c r="G177" s="96"/>
      <c r="H177" s="69"/>
      <c r="I177" s="70"/>
      <c r="J177" s="70"/>
      <c r="K177" s="69"/>
      <c r="L177" s="72"/>
      <c r="M177" s="73">
        <v>6501.837890625</v>
      </c>
      <c r="N177" s="73">
        <v>6692.90283203125</v>
      </c>
      <c r="O177" s="74"/>
      <c r="P177" s="75"/>
      <c r="Q177" s="75"/>
      <c r="R177" s="78">
        <f t="shared" si="2"/>
        <v>22</v>
      </c>
      <c r="S177" s="47">
        <v>10</v>
      </c>
      <c r="T177" s="47">
        <v>12</v>
      </c>
      <c r="U177" s="48">
        <v>87.881575999999995</v>
      </c>
      <c r="V177" s="48">
        <v>2.1930000000000001E-3</v>
      </c>
      <c r="W177" s="48">
        <v>4.5820000000000001E-3</v>
      </c>
      <c r="X177" s="49"/>
      <c r="Y177" s="48">
        <v>0.29120879120879123</v>
      </c>
      <c r="Z177" s="48"/>
      <c r="AA177" s="71">
        <v>177</v>
      </c>
      <c r="AB177" s="71"/>
      <c r="AC177" s="116">
        <v>2</v>
      </c>
      <c r="AD177" s="77"/>
      <c r="AE177" s="77"/>
      <c r="AF177" s="77"/>
      <c r="AG177" s="77"/>
      <c r="AH177" s="77"/>
      <c r="AI177" s="77"/>
      <c r="AJ177" s="77"/>
      <c r="AK177" s="77"/>
      <c r="AL177" s="77"/>
      <c r="AM177" s="77"/>
      <c r="AN177" s="77"/>
      <c r="AO177" s="77"/>
      <c r="AP177" s="77"/>
      <c r="AQ177" s="77"/>
      <c r="AR177" s="76"/>
      <c r="AS177" s="2"/>
      <c r="AT177" s="3"/>
      <c r="AU177" s="3"/>
      <c r="AV177" s="3"/>
      <c r="AW177" s="3"/>
    </row>
    <row r="178" spans="1:49" x14ac:dyDescent="0.25">
      <c r="A178" s="65"/>
      <c r="B178" s="66"/>
      <c r="C178" s="66"/>
      <c r="D178" s="67"/>
      <c r="E178" s="68"/>
      <c r="F178" s="93"/>
      <c r="G178" s="66"/>
      <c r="H178" s="69"/>
      <c r="I178" s="70"/>
      <c r="J178" s="70"/>
      <c r="K178" s="69"/>
      <c r="L178" s="72"/>
      <c r="M178" s="73">
        <v>4321.8671875</v>
      </c>
      <c r="N178" s="73">
        <v>3727.313232421875</v>
      </c>
      <c r="O178" s="74"/>
      <c r="P178" s="75"/>
      <c r="Q178" s="75"/>
      <c r="R178" s="78">
        <f t="shared" si="2"/>
        <v>28</v>
      </c>
      <c r="S178" s="47">
        <v>5</v>
      </c>
      <c r="T178" s="47">
        <v>23</v>
      </c>
      <c r="U178" s="48">
        <v>289.64959499999998</v>
      </c>
      <c r="V178" s="48">
        <v>2.3259999999999999E-3</v>
      </c>
      <c r="W178" s="48">
        <v>8.0440000000000008E-3</v>
      </c>
      <c r="X178" s="49"/>
      <c r="Y178" s="48">
        <v>0.28079710144927539</v>
      </c>
      <c r="Z178" s="48"/>
      <c r="AA178" s="71">
        <v>178</v>
      </c>
      <c r="AB178" s="71"/>
      <c r="AC178" s="116">
        <v>2</v>
      </c>
      <c r="AD178" s="76"/>
      <c r="AE178" s="76">
        <v>1393</v>
      </c>
      <c r="AF178" s="76">
        <v>3903</v>
      </c>
      <c r="AG178" s="76">
        <v>18428</v>
      </c>
      <c r="AH178" s="76">
        <v>810</v>
      </c>
      <c r="AI178" s="76">
        <v>3600</v>
      </c>
      <c r="AJ178" s="76"/>
      <c r="AK178" s="76"/>
      <c r="AL178" s="92"/>
      <c r="AM178" s="76"/>
      <c r="AN178" s="76">
        <v>40350.545740740738</v>
      </c>
      <c r="AO178" s="76" t="s">
        <v>60</v>
      </c>
      <c r="AP178" s="76"/>
      <c r="AQ178" s="92"/>
      <c r="AR178" s="76"/>
      <c r="AS178" s="2"/>
      <c r="AT178" s="3"/>
      <c r="AU178" s="3"/>
      <c r="AV178" s="3"/>
      <c r="AW178" s="3"/>
    </row>
    <row r="179" spans="1:49" x14ac:dyDescent="0.25">
      <c r="A179" s="65"/>
      <c r="B179" s="66"/>
      <c r="C179" s="66"/>
      <c r="D179" s="67"/>
      <c r="E179" s="68"/>
      <c r="F179" s="93"/>
      <c r="G179" s="66"/>
      <c r="H179" s="69"/>
      <c r="I179" s="70"/>
      <c r="J179" s="70"/>
      <c r="K179" s="69"/>
      <c r="L179" s="72"/>
      <c r="M179" s="73">
        <v>8206.404296875</v>
      </c>
      <c r="N179" s="73">
        <v>3318.120361328125</v>
      </c>
      <c r="O179" s="74"/>
      <c r="P179" s="75"/>
      <c r="Q179" s="75"/>
      <c r="R179" s="78">
        <f t="shared" si="2"/>
        <v>2</v>
      </c>
      <c r="S179" s="47">
        <v>1</v>
      </c>
      <c r="T179" s="47">
        <v>1</v>
      </c>
      <c r="U179" s="48">
        <v>0</v>
      </c>
      <c r="V179" s="48">
        <v>1.8799999999999999E-3</v>
      </c>
      <c r="W179" s="48">
        <v>1.2570000000000001E-3</v>
      </c>
      <c r="X179" s="49"/>
      <c r="Y179" s="48">
        <v>1</v>
      </c>
      <c r="Z179" s="48"/>
      <c r="AA179" s="71">
        <v>179</v>
      </c>
      <c r="AB179" s="71"/>
      <c r="AC179" s="116">
        <v>2</v>
      </c>
      <c r="AD179" s="76"/>
      <c r="AE179" s="76">
        <v>220</v>
      </c>
      <c r="AF179" s="76">
        <v>242</v>
      </c>
      <c r="AG179" s="76">
        <v>160</v>
      </c>
      <c r="AH179" s="76">
        <v>142</v>
      </c>
      <c r="AI179" s="76">
        <v>3600</v>
      </c>
      <c r="AJ179" s="76"/>
      <c r="AK179" s="76"/>
      <c r="AL179" s="92"/>
      <c r="AM179" s="76"/>
      <c r="AN179" s="76">
        <v>41166.539201388892</v>
      </c>
      <c r="AO179" s="76" t="s">
        <v>60</v>
      </c>
      <c r="AP179" s="76"/>
      <c r="AQ179" s="92"/>
      <c r="AR179" s="76"/>
      <c r="AS179" s="2"/>
      <c r="AT179" s="3"/>
      <c r="AU179" s="3"/>
      <c r="AV179" s="3"/>
      <c r="AW179" s="3"/>
    </row>
    <row r="180" spans="1:49" x14ac:dyDescent="0.25">
      <c r="A180" s="65"/>
      <c r="B180" s="66"/>
      <c r="C180" s="66"/>
      <c r="D180" s="67"/>
      <c r="E180" s="68"/>
      <c r="F180" s="93"/>
      <c r="G180" s="66"/>
      <c r="H180" s="69"/>
      <c r="I180" s="70"/>
      <c r="J180" s="70"/>
      <c r="K180" s="69"/>
      <c r="L180" s="72"/>
      <c r="M180" s="73">
        <v>4264.189453125</v>
      </c>
      <c r="N180" s="73">
        <v>6030.93798828125</v>
      </c>
      <c r="O180" s="74"/>
      <c r="P180" s="75"/>
      <c r="Q180" s="75"/>
      <c r="R180" s="78">
        <f t="shared" si="2"/>
        <v>36</v>
      </c>
      <c r="S180" s="47">
        <v>21</v>
      </c>
      <c r="T180" s="47">
        <v>15</v>
      </c>
      <c r="U180" s="48">
        <v>127.937608</v>
      </c>
      <c r="V180" s="48">
        <v>2.2829999999999999E-3</v>
      </c>
      <c r="W180" s="48">
        <v>8.3420000000000005E-3</v>
      </c>
      <c r="X180" s="49"/>
      <c r="Y180" s="48">
        <v>0.29076923076923078</v>
      </c>
      <c r="Z180" s="48"/>
      <c r="AA180" s="71">
        <v>180</v>
      </c>
      <c r="AB180" s="71"/>
      <c r="AC180" s="116">
        <v>2</v>
      </c>
      <c r="AD180" s="76"/>
      <c r="AE180" s="76">
        <v>3296</v>
      </c>
      <c r="AF180" s="76">
        <v>9939</v>
      </c>
      <c r="AG180" s="76">
        <v>7131</v>
      </c>
      <c r="AH180" s="76">
        <v>779</v>
      </c>
      <c r="AI180" s="76">
        <v>3600</v>
      </c>
      <c r="AJ180" s="76"/>
      <c r="AK180" s="76"/>
      <c r="AL180" s="92"/>
      <c r="AM180" s="76"/>
      <c r="AN180" s="76">
        <v>39885.551145833335</v>
      </c>
      <c r="AO180" s="76" t="s">
        <v>60</v>
      </c>
      <c r="AP180" s="76"/>
      <c r="AQ180" s="92"/>
      <c r="AR180" s="76"/>
      <c r="AS180" s="2"/>
      <c r="AT180" s="3"/>
      <c r="AU180" s="3"/>
      <c r="AV180" s="3"/>
      <c r="AW180" s="3"/>
    </row>
    <row r="181" spans="1:49" x14ac:dyDescent="0.25">
      <c r="A181" s="65"/>
      <c r="B181" s="66"/>
      <c r="C181" s="66"/>
      <c r="D181" s="67"/>
      <c r="E181" s="68"/>
      <c r="F181" s="93"/>
      <c r="G181" s="66"/>
      <c r="H181" s="69"/>
      <c r="I181" s="70"/>
      <c r="J181" s="70"/>
      <c r="K181" s="69"/>
      <c r="L181" s="72"/>
      <c r="M181" s="73">
        <v>5478.75634765625</v>
      </c>
      <c r="N181" s="73">
        <v>4767.86572265625</v>
      </c>
      <c r="O181" s="74"/>
      <c r="P181" s="75"/>
      <c r="Q181" s="75"/>
      <c r="R181" s="78">
        <f t="shared" si="2"/>
        <v>112</v>
      </c>
      <c r="S181" s="47">
        <v>71</v>
      </c>
      <c r="T181" s="47">
        <v>41</v>
      </c>
      <c r="U181" s="48">
        <v>2651.6226579999998</v>
      </c>
      <c r="V181" s="48">
        <v>2.7929999999999999E-3</v>
      </c>
      <c r="W181" s="48">
        <v>2.0625999999999999E-2</v>
      </c>
      <c r="X181" s="49"/>
      <c r="Y181" s="48">
        <v>0.15350877192982457</v>
      </c>
      <c r="Z181" s="48"/>
      <c r="AA181" s="71">
        <v>181</v>
      </c>
      <c r="AB181" s="71"/>
      <c r="AC181" s="116">
        <v>2</v>
      </c>
      <c r="AD181" s="76"/>
      <c r="AE181" s="76">
        <v>8529</v>
      </c>
      <c r="AF181" s="76">
        <v>17484</v>
      </c>
      <c r="AG181" s="76">
        <v>14069</v>
      </c>
      <c r="AH181" s="76">
        <v>6183</v>
      </c>
      <c r="AI181" s="76">
        <v>3600</v>
      </c>
      <c r="AJ181" s="76"/>
      <c r="AK181" s="76"/>
      <c r="AL181" s="92"/>
      <c r="AM181" s="76"/>
      <c r="AN181" s="76">
        <v>40002.414768518516</v>
      </c>
      <c r="AO181" s="76" t="s">
        <v>60</v>
      </c>
      <c r="AP181" s="76"/>
      <c r="AQ181" s="92"/>
      <c r="AR181" s="76"/>
      <c r="AS181" s="2"/>
      <c r="AT181" s="3"/>
      <c r="AU181" s="3"/>
      <c r="AV181" s="3"/>
      <c r="AW181" s="3"/>
    </row>
    <row r="182" spans="1:49" x14ac:dyDescent="0.25">
      <c r="A182" s="65"/>
      <c r="B182" s="66"/>
      <c r="C182" s="66"/>
      <c r="D182" s="67"/>
      <c r="E182" s="68"/>
      <c r="F182" s="93"/>
      <c r="G182" s="66"/>
      <c r="H182" s="69"/>
      <c r="I182" s="70"/>
      <c r="J182" s="70"/>
      <c r="K182" s="69"/>
      <c r="L182" s="72"/>
      <c r="M182" s="73">
        <v>4695.74365234375</v>
      </c>
      <c r="N182" s="73">
        <v>5525.5888671875</v>
      </c>
      <c r="O182" s="74"/>
      <c r="P182" s="75"/>
      <c r="Q182" s="75"/>
      <c r="R182" s="78">
        <f t="shared" si="2"/>
        <v>34</v>
      </c>
      <c r="S182" s="47">
        <v>18</v>
      </c>
      <c r="T182" s="47">
        <v>16</v>
      </c>
      <c r="U182" s="48">
        <v>233.43278799999999</v>
      </c>
      <c r="V182" s="48">
        <v>2.2780000000000001E-3</v>
      </c>
      <c r="W182" s="48">
        <v>7.9570000000000005E-3</v>
      </c>
      <c r="X182" s="49"/>
      <c r="Y182" s="48">
        <v>0.25724637681159418</v>
      </c>
      <c r="Z182" s="48"/>
      <c r="AA182" s="71">
        <v>182</v>
      </c>
      <c r="AB182" s="71"/>
      <c r="AC182" s="116">
        <v>2</v>
      </c>
      <c r="AD182" s="76"/>
      <c r="AE182" s="76">
        <v>374</v>
      </c>
      <c r="AF182" s="76">
        <v>3426</v>
      </c>
      <c r="AG182" s="76">
        <v>6309</v>
      </c>
      <c r="AH182" s="76">
        <v>1226</v>
      </c>
      <c r="AI182" s="76">
        <v>3600</v>
      </c>
      <c r="AJ182" s="76"/>
      <c r="AK182" s="76"/>
      <c r="AL182" s="92"/>
      <c r="AM182" s="76"/>
      <c r="AN182" s="76">
        <v>41260.699525462966</v>
      </c>
      <c r="AO182" s="76" t="s">
        <v>60</v>
      </c>
      <c r="AP182" s="76"/>
      <c r="AQ182" s="92"/>
      <c r="AR182" s="76"/>
      <c r="AS182" s="2"/>
      <c r="AT182" s="3"/>
      <c r="AU182" s="3"/>
      <c r="AV182" s="3"/>
      <c r="AW182" s="3"/>
    </row>
    <row r="183" spans="1:49" x14ac:dyDescent="0.25">
      <c r="A183" s="65"/>
      <c r="B183" s="66"/>
      <c r="C183" s="66"/>
      <c r="D183" s="67"/>
      <c r="E183" s="68"/>
      <c r="F183" s="93"/>
      <c r="G183" s="66"/>
      <c r="H183" s="69"/>
      <c r="I183" s="70"/>
      <c r="J183" s="70"/>
      <c r="K183" s="69"/>
      <c r="L183" s="72"/>
      <c r="M183" s="73">
        <v>6534.86474609375</v>
      </c>
      <c r="N183" s="73">
        <v>4816.3857421875</v>
      </c>
      <c r="O183" s="74"/>
      <c r="P183" s="75"/>
      <c r="Q183" s="75"/>
      <c r="R183" s="78">
        <f t="shared" si="2"/>
        <v>61</v>
      </c>
      <c r="S183" s="47">
        <v>26</v>
      </c>
      <c r="T183" s="47">
        <v>35</v>
      </c>
      <c r="U183" s="48">
        <v>438.253332</v>
      </c>
      <c r="V183" s="48">
        <v>2.4269999999999999E-3</v>
      </c>
      <c r="W183" s="48">
        <v>1.2519000000000001E-2</v>
      </c>
      <c r="X183" s="49"/>
      <c r="Y183" s="48">
        <v>0.24426450742240216</v>
      </c>
      <c r="Z183" s="48"/>
      <c r="AA183" s="71">
        <v>183</v>
      </c>
      <c r="AB183" s="71"/>
      <c r="AC183" s="116">
        <v>2</v>
      </c>
      <c r="AD183" s="76"/>
      <c r="AE183" s="76">
        <v>3516</v>
      </c>
      <c r="AF183" s="76">
        <v>7207</v>
      </c>
      <c r="AG183" s="76">
        <v>5344</v>
      </c>
      <c r="AH183" s="76">
        <v>1838</v>
      </c>
      <c r="AI183" s="76">
        <v>3600</v>
      </c>
      <c r="AJ183" s="76"/>
      <c r="AK183" s="76"/>
      <c r="AL183" s="92"/>
      <c r="AM183" s="76"/>
      <c r="AN183" s="76">
        <v>40703.632291666669</v>
      </c>
      <c r="AO183" s="76" t="s">
        <v>60</v>
      </c>
      <c r="AP183" s="76"/>
      <c r="AQ183" s="92"/>
      <c r="AR183" s="76"/>
      <c r="AS183" s="2"/>
      <c r="AT183" s="3"/>
      <c r="AU183" s="3"/>
      <c r="AV183" s="3"/>
      <c r="AW183" s="3"/>
    </row>
    <row r="184" spans="1:49" x14ac:dyDescent="0.25">
      <c r="A184" s="65"/>
      <c r="B184" s="66"/>
      <c r="C184" s="66"/>
      <c r="D184" s="67"/>
      <c r="E184" s="68"/>
      <c r="F184" s="93"/>
      <c r="G184" s="66"/>
      <c r="H184" s="69"/>
      <c r="I184" s="70"/>
      <c r="J184" s="70"/>
      <c r="K184" s="69"/>
      <c r="L184" s="72"/>
      <c r="M184" s="73">
        <v>5189.59521484375</v>
      </c>
      <c r="N184" s="73">
        <v>3108.2763671875</v>
      </c>
      <c r="O184" s="74"/>
      <c r="P184" s="75"/>
      <c r="Q184" s="75"/>
      <c r="R184" s="78">
        <f t="shared" si="2"/>
        <v>43</v>
      </c>
      <c r="S184" s="47">
        <v>20</v>
      </c>
      <c r="T184" s="47">
        <v>23</v>
      </c>
      <c r="U184" s="48">
        <v>1347.0102079999999</v>
      </c>
      <c r="V184" s="48">
        <v>2.3809999999999999E-3</v>
      </c>
      <c r="W184" s="48">
        <v>8.1379999999999994E-3</v>
      </c>
      <c r="X184" s="49"/>
      <c r="Y184" s="48">
        <v>0.15120967741935484</v>
      </c>
      <c r="Z184" s="48"/>
      <c r="AA184" s="71">
        <v>184</v>
      </c>
      <c r="AB184" s="71"/>
      <c r="AC184" s="116">
        <v>2</v>
      </c>
      <c r="AD184" s="76"/>
      <c r="AE184" s="76">
        <v>2082</v>
      </c>
      <c r="AF184" s="76">
        <v>4187</v>
      </c>
      <c r="AG184" s="76">
        <v>7953</v>
      </c>
      <c r="AH184" s="76">
        <v>1054</v>
      </c>
      <c r="AI184" s="76"/>
      <c r="AJ184" s="76"/>
      <c r="AK184" s="76"/>
      <c r="AL184" s="92"/>
      <c r="AM184" s="76"/>
      <c r="AN184" s="76">
        <v>40455.544317129628</v>
      </c>
      <c r="AO184" s="76" t="s">
        <v>60</v>
      </c>
      <c r="AP184" s="76"/>
      <c r="AQ184" s="92"/>
      <c r="AR184" s="76"/>
      <c r="AS184" s="2"/>
      <c r="AT184" s="3"/>
      <c r="AU184" s="3"/>
      <c r="AV184" s="3"/>
      <c r="AW184" s="3"/>
    </row>
    <row r="185" spans="1:49" x14ac:dyDescent="0.25">
      <c r="A185" s="65"/>
      <c r="B185" s="66"/>
      <c r="C185" s="66"/>
      <c r="D185" s="67"/>
      <c r="E185" s="68"/>
      <c r="F185" s="93"/>
      <c r="G185" s="66"/>
      <c r="H185" s="69"/>
      <c r="I185" s="70"/>
      <c r="J185" s="70"/>
      <c r="K185" s="69"/>
      <c r="L185" s="72"/>
      <c r="M185" s="73">
        <v>4976.01123046875</v>
      </c>
      <c r="N185" s="73">
        <v>3646.240234375</v>
      </c>
      <c r="O185" s="74"/>
      <c r="P185" s="75"/>
      <c r="Q185" s="75"/>
      <c r="R185" s="78">
        <f t="shared" si="2"/>
        <v>25</v>
      </c>
      <c r="S185" s="47">
        <v>7</v>
      </c>
      <c r="T185" s="47">
        <v>18</v>
      </c>
      <c r="U185" s="48">
        <v>52.148468999999999</v>
      </c>
      <c r="V185" s="48">
        <v>2.2520000000000001E-3</v>
      </c>
      <c r="W185" s="48">
        <v>7.7359999999999998E-3</v>
      </c>
      <c r="X185" s="49"/>
      <c r="Y185" s="48">
        <v>0.36578947368421055</v>
      </c>
      <c r="Z185" s="48"/>
      <c r="AA185" s="71">
        <v>185</v>
      </c>
      <c r="AB185" s="71"/>
      <c r="AC185" s="116">
        <v>2</v>
      </c>
      <c r="AD185" s="76"/>
      <c r="AE185" s="76">
        <v>2519</v>
      </c>
      <c r="AF185" s="76">
        <v>1988</v>
      </c>
      <c r="AG185" s="76">
        <v>4381</v>
      </c>
      <c r="AH185" s="76">
        <v>644</v>
      </c>
      <c r="AI185" s="76"/>
      <c r="AJ185" s="76"/>
      <c r="AK185" s="76"/>
      <c r="AL185" s="92"/>
      <c r="AM185" s="76"/>
      <c r="AN185" s="76">
        <v>40549.622800925928</v>
      </c>
      <c r="AO185" s="76" t="s">
        <v>60</v>
      </c>
      <c r="AP185" s="76"/>
      <c r="AQ185" s="92"/>
      <c r="AR185" s="76"/>
      <c r="AS185" s="2"/>
      <c r="AT185" s="3"/>
      <c r="AU185" s="3"/>
      <c r="AV185" s="3"/>
      <c r="AW185" s="3"/>
    </row>
    <row r="186" spans="1:49" x14ac:dyDescent="0.25">
      <c r="A186" s="65"/>
      <c r="B186" s="66"/>
      <c r="C186" s="66"/>
      <c r="D186" s="67"/>
      <c r="E186" s="68"/>
      <c r="F186" s="93"/>
      <c r="G186" s="66"/>
      <c r="H186" s="69"/>
      <c r="I186" s="70"/>
      <c r="J186" s="70"/>
      <c r="K186" s="69"/>
      <c r="L186" s="72"/>
      <c r="M186" s="73">
        <v>6449.5283203125</v>
      </c>
      <c r="N186" s="73">
        <v>6686.8857421875</v>
      </c>
      <c r="O186" s="74"/>
      <c r="P186" s="75"/>
      <c r="Q186" s="75"/>
      <c r="R186" s="78">
        <f t="shared" si="2"/>
        <v>0</v>
      </c>
      <c r="S186" s="47"/>
      <c r="T186" s="47"/>
      <c r="U186" s="48"/>
      <c r="V186" s="48"/>
      <c r="W186" s="48"/>
      <c r="X186" s="49"/>
      <c r="Y186" s="48"/>
      <c r="Z186" s="48"/>
      <c r="AA186" s="71">
        <v>186</v>
      </c>
      <c r="AB186" s="71"/>
      <c r="AC186" s="116">
        <v>2</v>
      </c>
      <c r="AD186" s="76"/>
      <c r="AE186" s="76">
        <v>4986</v>
      </c>
      <c r="AF186" s="76">
        <v>12484</v>
      </c>
      <c r="AG186" s="76">
        <v>2067</v>
      </c>
      <c r="AH186" s="76">
        <v>155</v>
      </c>
      <c r="AI186" s="76">
        <v>3600</v>
      </c>
      <c r="AJ186" s="76"/>
      <c r="AK186" s="76"/>
      <c r="AL186" s="92"/>
      <c r="AM186" s="76"/>
      <c r="AN186" s="76">
        <v>40161.826099537036</v>
      </c>
      <c r="AO186" s="76" t="s">
        <v>60</v>
      </c>
      <c r="AP186" s="76"/>
      <c r="AQ186" s="92"/>
      <c r="AR186" s="76"/>
      <c r="AS186" s="2"/>
      <c r="AT186" s="3"/>
      <c r="AU186" s="3"/>
      <c r="AV186" s="3"/>
      <c r="AW186" s="3"/>
    </row>
    <row r="187" spans="1:49" x14ac:dyDescent="0.25">
      <c r="A187" s="65"/>
      <c r="B187" s="66"/>
      <c r="C187" s="66"/>
      <c r="D187" s="67"/>
      <c r="E187" s="68"/>
      <c r="F187" s="93"/>
      <c r="G187" s="66"/>
      <c r="H187" s="69"/>
      <c r="I187" s="70"/>
      <c r="J187" s="70"/>
      <c r="K187" s="69"/>
      <c r="L187" s="72"/>
      <c r="M187" s="73">
        <v>6437.20556640625</v>
      </c>
      <c r="N187" s="73">
        <v>4121.1376953125</v>
      </c>
      <c r="O187" s="74"/>
      <c r="P187" s="75"/>
      <c r="Q187" s="75"/>
      <c r="R187" s="78">
        <f t="shared" si="2"/>
        <v>99</v>
      </c>
      <c r="S187" s="47">
        <v>30</v>
      </c>
      <c r="T187" s="47">
        <v>69</v>
      </c>
      <c r="U187" s="48">
        <v>3961.8465420000002</v>
      </c>
      <c r="V187" s="48">
        <v>2.7320000000000001E-3</v>
      </c>
      <c r="W187" s="48">
        <v>1.8541999999999999E-2</v>
      </c>
      <c r="X187" s="49"/>
      <c r="Y187" s="48">
        <v>0.1281613123718387</v>
      </c>
      <c r="Z187" s="48"/>
      <c r="AA187" s="71">
        <v>187</v>
      </c>
      <c r="AB187" s="71"/>
      <c r="AC187" s="116">
        <v>2</v>
      </c>
      <c r="AD187" s="76"/>
      <c r="AE187" s="76">
        <v>16808</v>
      </c>
      <c r="AF187" s="76">
        <v>15387</v>
      </c>
      <c r="AG187" s="76">
        <v>34791</v>
      </c>
      <c r="AH187" s="76">
        <v>14910</v>
      </c>
      <c r="AI187" s="76">
        <v>3600</v>
      </c>
      <c r="AJ187" s="76"/>
      <c r="AK187" s="76"/>
      <c r="AL187" s="92"/>
      <c r="AM187" s="76"/>
      <c r="AN187" s="76">
        <v>40646.669212962966</v>
      </c>
      <c r="AO187" s="76" t="s">
        <v>60</v>
      </c>
      <c r="AP187" s="76"/>
      <c r="AQ187" s="92"/>
      <c r="AR187" s="76"/>
      <c r="AS187" s="2"/>
      <c r="AT187" s="3"/>
      <c r="AU187" s="3"/>
      <c r="AV187" s="3"/>
      <c r="AW187" s="3"/>
    </row>
    <row r="188" spans="1:49" x14ac:dyDescent="0.25">
      <c r="A188" s="65"/>
      <c r="B188" s="66"/>
      <c r="C188" s="66"/>
      <c r="D188" s="67"/>
      <c r="E188" s="68"/>
      <c r="F188" s="93"/>
      <c r="G188" s="66"/>
      <c r="H188" s="69"/>
      <c r="I188" s="70"/>
      <c r="J188" s="70"/>
      <c r="K188" s="69"/>
      <c r="L188" s="72"/>
      <c r="M188" s="73">
        <v>6947.8427734375</v>
      </c>
      <c r="N188" s="73">
        <v>2486.222412109375</v>
      </c>
      <c r="O188" s="74"/>
      <c r="P188" s="75"/>
      <c r="Q188" s="75"/>
      <c r="R188" s="78">
        <f t="shared" si="2"/>
        <v>18</v>
      </c>
      <c r="S188" s="47">
        <v>10</v>
      </c>
      <c r="T188" s="47">
        <v>8</v>
      </c>
      <c r="U188" s="48">
        <v>100.090014</v>
      </c>
      <c r="V188" s="48">
        <v>2.0330000000000001E-3</v>
      </c>
      <c r="W188" s="48">
        <v>3.6549999999999998E-3</v>
      </c>
      <c r="X188" s="49"/>
      <c r="Y188" s="48">
        <v>0.25714285714285712</v>
      </c>
      <c r="Z188" s="48"/>
      <c r="AA188" s="71">
        <v>188</v>
      </c>
      <c r="AB188" s="71"/>
      <c r="AC188" s="116">
        <v>2</v>
      </c>
      <c r="AD188" s="76"/>
      <c r="AE188" s="76">
        <v>3366</v>
      </c>
      <c r="AF188" s="76">
        <v>49434</v>
      </c>
      <c r="AG188" s="76">
        <v>26388</v>
      </c>
      <c r="AH188" s="76">
        <v>6522</v>
      </c>
      <c r="AI188" s="76">
        <v>3600</v>
      </c>
      <c r="AJ188" s="76"/>
      <c r="AK188" s="76"/>
      <c r="AL188" s="92"/>
      <c r="AM188" s="76"/>
      <c r="AN188" s="76">
        <v>39876.723981481482</v>
      </c>
      <c r="AO188" s="76" t="s">
        <v>60</v>
      </c>
      <c r="AP188" s="76"/>
      <c r="AQ188" s="92"/>
      <c r="AR188" s="76"/>
      <c r="AS188" s="2"/>
      <c r="AT188" s="3"/>
      <c r="AU188" s="3"/>
      <c r="AV188" s="3"/>
      <c r="AW188" s="3"/>
    </row>
    <row r="189" spans="1:49" x14ac:dyDescent="0.25">
      <c r="A189" s="65"/>
      <c r="B189" s="66"/>
      <c r="C189" s="66"/>
      <c r="D189" s="67"/>
      <c r="E189" s="68"/>
      <c r="F189" s="93"/>
      <c r="G189" s="66"/>
      <c r="H189" s="69"/>
      <c r="I189" s="70"/>
      <c r="J189" s="70"/>
      <c r="K189" s="69"/>
      <c r="L189" s="72"/>
      <c r="M189" s="73">
        <v>6931.44384765625</v>
      </c>
      <c r="N189" s="73">
        <v>4041.88330078125</v>
      </c>
      <c r="O189" s="74"/>
      <c r="P189" s="75"/>
      <c r="Q189" s="75"/>
      <c r="R189" s="78">
        <f t="shared" si="2"/>
        <v>38</v>
      </c>
      <c r="S189" s="47">
        <v>16</v>
      </c>
      <c r="T189" s="47">
        <v>22</v>
      </c>
      <c r="U189" s="48">
        <v>202.42694900000001</v>
      </c>
      <c r="V189" s="48">
        <v>2.2620000000000001E-3</v>
      </c>
      <c r="W189" s="48">
        <v>8.0540000000000004E-3</v>
      </c>
      <c r="X189" s="49"/>
      <c r="Y189" s="48">
        <v>0.27166666666666667</v>
      </c>
      <c r="Z189" s="48"/>
      <c r="AA189" s="71">
        <v>189</v>
      </c>
      <c r="AB189" s="71"/>
      <c r="AC189" s="116">
        <v>2</v>
      </c>
      <c r="AD189" s="76"/>
      <c r="AE189" s="76">
        <v>654</v>
      </c>
      <c r="AF189" s="76">
        <v>2752</v>
      </c>
      <c r="AG189" s="76">
        <v>4510</v>
      </c>
      <c r="AH189" s="76">
        <v>1534</v>
      </c>
      <c r="AI189" s="76">
        <v>3600</v>
      </c>
      <c r="AJ189" s="76"/>
      <c r="AK189" s="76"/>
      <c r="AL189" s="92"/>
      <c r="AM189" s="76"/>
      <c r="AN189" s="76">
        <v>41018.350173611114</v>
      </c>
      <c r="AO189" s="76" t="s">
        <v>60</v>
      </c>
      <c r="AP189" s="76"/>
      <c r="AQ189" s="92"/>
      <c r="AR189" s="76"/>
      <c r="AS189" s="2"/>
      <c r="AT189" s="3"/>
      <c r="AU189" s="3"/>
      <c r="AV189" s="3"/>
      <c r="AW189" s="3"/>
    </row>
    <row r="190" spans="1:49" x14ac:dyDescent="0.25">
      <c r="A190" s="65"/>
      <c r="B190" s="66"/>
      <c r="C190" s="66"/>
      <c r="D190" s="67"/>
      <c r="E190" s="68"/>
      <c r="F190" s="93"/>
      <c r="G190" s="66"/>
      <c r="H190" s="69"/>
      <c r="I190" s="70"/>
      <c r="J190" s="70"/>
      <c r="K190" s="69"/>
      <c r="L190" s="72"/>
      <c r="M190" s="73">
        <v>6149.6083984375</v>
      </c>
      <c r="N190" s="73">
        <v>3347.878662109375</v>
      </c>
      <c r="O190" s="74"/>
      <c r="P190" s="75"/>
      <c r="Q190" s="75"/>
      <c r="R190" s="78">
        <f t="shared" si="2"/>
        <v>20</v>
      </c>
      <c r="S190" s="47">
        <v>5</v>
      </c>
      <c r="T190" s="47">
        <v>15</v>
      </c>
      <c r="U190" s="48">
        <v>56.798101000000003</v>
      </c>
      <c r="V190" s="48">
        <v>2.2420000000000001E-3</v>
      </c>
      <c r="W190" s="48">
        <v>6.1939999999999999E-3</v>
      </c>
      <c r="X190" s="49"/>
      <c r="Y190" s="48">
        <v>0.45</v>
      </c>
      <c r="Z190" s="48"/>
      <c r="AA190" s="71">
        <v>190</v>
      </c>
      <c r="AB190" s="71"/>
      <c r="AC190" s="116">
        <v>2</v>
      </c>
      <c r="AD190" s="76"/>
      <c r="AE190" s="76">
        <v>6016</v>
      </c>
      <c r="AF190" s="76">
        <v>8550</v>
      </c>
      <c r="AG190" s="76">
        <v>8165</v>
      </c>
      <c r="AH190" s="76">
        <v>0</v>
      </c>
      <c r="AI190" s="76"/>
      <c r="AJ190" s="76"/>
      <c r="AK190" s="76"/>
      <c r="AL190" s="92"/>
      <c r="AM190" s="76"/>
      <c r="AN190" s="76">
        <v>40441.569409722222</v>
      </c>
      <c r="AO190" s="76" t="s">
        <v>60</v>
      </c>
      <c r="AP190" s="76"/>
      <c r="AQ190" s="92"/>
      <c r="AR190" s="76"/>
      <c r="AS190" s="2"/>
      <c r="AT190" s="3"/>
      <c r="AU190" s="3"/>
      <c r="AV190" s="3"/>
      <c r="AW190" s="3"/>
    </row>
    <row r="191" spans="1:49" x14ac:dyDescent="0.25">
      <c r="A191" s="65"/>
      <c r="B191" s="66"/>
      <c r="C191" s="66"/>
      <c r="D191" s="67"/>
      <c r="E191" s="68"/>
      <c r="F191" s="93"/>
      <c r="G191" s="66"/>
      <c r="H191" s="69"/>
      <c r="I191" s="70"/>
      <c r="J191" s="70"/>
      <c r="K191" s="69"/>
      <c r="L191" s="72"/>
      <c r="M191" s="73">
        <v>5237.1484375</v>
      </c>
      <c r="N191" s="73">
        <v>7061.501953125</v>
      </c>
      <c r="O191" s="74"/>
      <c r="P191" s="75"/>
      <c r="Q191" s="75"/>
      <c r="R191" s="78">
        <f t="shared" si="2"/>
        <v>25</v>
      </c>
      <c r="S191" s="47">
        <v>8</v>
      </c>
      <c r="T191" s="47">
        <v>17</v>
      </c>
      <c r="U191" s="48">
        <v>18.413406999999999</v>
      </c>
      <c r="V191" s="48">
        <v>2.1930000000000001E-3</v>
      </c>
      <c r="W191" s="48">
        <v>6.8339999999999998E-3</v>
      </c>
      <c r="X191" s="49"/>
      <c r="Y191" s="48">
        <v>0.45588235294117646</v>
      </c>
      <c r="Z191" s="48"/>
      <c r="AA191" s="71">
        <v>191</v>
      </c>
      <c r="AB191" s="71"/>
      <c r="AC191" s="116">
        <v>2</v>
      </c>
      <c r="AD191" s="76"/>
      <c r="AE191" s="76">
        <v>560</v>
      </c>
      <c r="AF191" s="76">
        <v>1658</v>
      </c>
      <c r="AG191" s="76">
        <v>9443</v>
      </c>
      <c r="AH191" s="76">
        <v>457</v>
      </c>
      <c r="AI191" s="76">
        <v>3600</v>
      </c>
      <c r="AJ191" s="76"/>
      <c r="AK191" s="76"/>
      <c r="AL191" s="92"/>
      <c r="AM191" s="76"/>
      <c r="AN191" s="76">
        <v>40002.37840277778</v>
      </c>
      <c r="AO191" s="76" t="s">
        <v>60</v>
      </c>
      <c r="AP191" s="76"/>
      <c r="AQ191" s="92"/>
      <c r="AR191" s="76"/>
      <c r="AS191" s="2"/>
      <c r="AT191" s="3"/>
      <c r="AU191" s="3"/>
      <c r="AV191" s="3"/>
      <c r="AW191" s="3"/>
    </row>
    <row r="192" spans="1:49" x14ac:dyDescent="0.25">
      <c r="A192" s="65"/>
      <c r="B192" s="66"/>
      <c r="C192" s="66"/>
      <c r="D192" s="67"/>
      <c r="E192" s="68"/>
      <c r="F192" s="93"/>
      <c r="G192" s="66"/>
      <c r="H192" s="69"/>
      <c r="I192" s="70"/>
      <c r="J192" s="70"/>
      <c r="K192" s="69"/>
      <c r="L192" s="72"/>
      <c r="M192" s="73">
        <v>4164.296875</v>
      </c>
      <c r="N192" s="73">
        <v>5372.138671875</v>
      </c>
      <c r="O192" s="74"/>
      <c r="P192" s="75"/>
      <c r="Q192" s="75"/>
      <c r="R192" s="78">
        <f t="shared" si="2"/>
        <v>28</v>
      </c>
      <c r="S192" s="47">
        <v>8</v>
      </c>
      <c r="T192" s="47">
        <v>20</v>
      </c>
      <c r="U192" s="48">
        <v>400.749549</v>
      </c>
      <c r="V192" s="48">
        <v>2.2989999999999998E-3</v>
      </c>
      <c r="W192" s="48">
        <v>6.0650000000000001E-3</v>
      </c>
      <c r="X192" s="49"/>
      <c r="Y192" s="48">
        <v>0.27380952380952384</v>
      </c>
      <c r="Z192" s="48"/>
      <c r="AA192" s="71">
        <v>192</v>
      </c>
      <c r="AB192" s="71"/>
      <c r="AC192" s="116">
        <v>2</v>
      </c>
      <c r="AD192" s="76"/>
      <c r="AE192" s="76">
        <v>1008</v>
      </c>
      <c r="AF192" s="76">
        <v>2118</v>
      </c>
      <c r="AG192" s="76">
        <v>14889</v>
      </c>
      <c r="AH192" s="76">
        <v>793</v>
      </c>
      <c r="AI192" s="76">
        <v>3600</v>
      </c>
      <c r="AJ192" s="76"/>
      <c r="AK192" s="76"/>
      <c r="AL192" s="92"/>
      <c r="AM192" s="76"/>
      <c r="AN192" s="76">
        <v>40528.644317129627</v>
      </c>
      <c r="AO192" s="76" t="s">
        <v>60</v>
      </c>
      <c r="AP192" s="76"/>
      <c r="AQ192" s="92"/>
      <c r="AR192" s="76"/>
      <c r="AS192" s="2"/>
      <c r="AT192" s="3"/>
      <c r="AU192" s="3"/>
      <c r="AV192" s="3"/>
      <c r="AW192" s="3"/>
    </row>
    <row r="193" spans="1:49" x14ac:dyDescent="0.25">
      <c r="A193" s="65"/>
      <c r="B193" s="66"/>
      <c r="C193" s="66"/>
      <c r="D193" s="67"/>
      <c r="E193" s="68"/>
      <c r="F193" s="93"/>
      <c r="G193" s="66"/>
      <c r="H193" s="69"/>
      <c r="I193" s="70"/>
      <c r="J193" s="70"/>
      <c r="K193" s="69"/>
      <c r="L193" s="72"/>
      <c r="M193" s="73">
        <v>7779.4697265625</v>
      </c>
      <c r="N193" s="73">
        <v>2261.6708984375</v>
      </c>
      <c r="O193" s="74"/>
      <c r="P193" s="75"/>
      <c r="Q193" s="75"/>
      <c r="R193" s="78">
        <f t="shared" si="2"/>
        <v>11</v>
      </c>
      <c r="S193" s="47">
        <v>6</v>
      </c>
      <c r="T193" s="47">
        <v>5</v>
      </c>
      <c r="U193" s="48">
        <v>37.081186000000002</v>
      </c>
      <c r="V193" s="48">
        <v>1.8829999999999999E-3</v>
      </c>
      <c r="W193" s="48">
        <v>1.255E-3</v>
      </c>
      <c r="X193" s="49"/>
      <c r="Y193" s="48">
        <v>0.35714285714285715</v>
      </c>
      <c r="Z193" s="48"/>
      <c r="AA193" s="71">
        <v>193</v>
      </c>
      <c r="AB193" s="71"/>
      <c r="AC193" s="116">
        <v>2</v>
      </c>
      <c r="AD193" s="76"/>
      <c r="AE193" s="76">
        <v>10</v>
      </c>
      <c r="AF193" s="76">
        <v>21781</v>
      </c>
      <c r="AG193" s="76">
        <v>11015</v>
      </c>
      <c r="AH193" s="76">
        <v>464</v>
      </c>
      <c r="AI193" s="76">
        <v>3600</v>
      </c>
      <c r="AJ193" s="76"/>
      <c r="AK193" s="76"/>
      <c r="AL193" s="92"/>
      <c r="AM193" s="76"/>
      <c r="AN193" s="76">
        <v>39649.542731481481</v>
      </c>
      <c r="AO193" s="76" t="s">
        <v>60</v>
      </c>
      <c r="AP193" s="76"/>
      <c r="AQ193" s="92"/>
      <c r="AR193" s="76"/>
      <c r="AS193" s="2"/>
      <c r="AT193" s="3"/>
      <c r="AU193" s="3"/>
      <c r="AV193" s="3"/>
      <c r="AW193" s="3"/>
    </row>
    <row r="194" spans="1:49" x14ac:dyDescent="0.25">
      <c r="A194" s="65"/>
      <c r="B194" s="66"/>
      <c r="C194" s="66"/>
      <c r="D194" s="67"/>
      <c r="E194" s="68"/>
      <c r="F194" s="93"/>
      <c r="G194" s="66"/>
      <c r="H194" s="69"/>
      <c r="I194" s="70"/>
      <c r="J194" s="70"/>
      <c r="K194" s="69"/>
      <c r="L194" s="72"/>
      <c r="M194" s="73">
        <v>6557.53125</v>
      </c>
      <c r="N194" s="73">
        <v>4248.35302734375</v>
      </c>
      <c r="O194" s="74"/>
      <c r="P194" s="75"/>
      <c r="Q194" s="75"/>
      <c r="R194" s="78">
        <f t="shared" si="2"/>
        <v>53</v>
      </c>
      <c r="S194" s="47">
        <v>25</v>
      </c>
      <c r="T194" s="47">
        <v>28</v>
      </c>
      <c r="U194" s="48">
        <v>416.22669000000002</v>
      </c>
      <c r="V194" s="48">
        <v>2.3640000000000002E-3</v>
      </c>
      <c r="W194" s="48">
        <v>1.1476999999999999E-2</v>
      </c>
      <c r="X194" s="49"/>
      <c r="Y194" s="48">
        <v>0.30871212121212122</v>
      </c>
      <c r="Z194" s="48"/>
      <c r="AA194" s="71">
        <v>194</v>
      </c>
      <c r="AB194" s="71"/>
      <c r="AC194" s="116">
        <v>2</v>
      </c>
      <c r="AD194" s="76"/>
      <c r="AE194" s="76">
        <v>919</v>
      </c>
      <c r="AF194" s="76">
        <v>3319</v>
      </c>
      <c r="AG194" s="76">
        <v>1612</v>
      </c>
      <c r="AH194" s="76">
        <v>2212</v>
      </c>
      <c r="AI194" s="76">
        <v>3600</v>
      </c>
      <c r="AJ194" s="76"/>
      <c r="AK194" s="76"/>
      <c r="AL194" s="92"/>
      <c r="AM194" s="76"/>
      <c r="AN194" s="76">
        <v>41436.384247685186</v>
      </c>
      <c r="AO194" s="76" t="s">
        <v>60</v>
      </c>
      <c r="AP194" s="76"/>
      <c r="AQ194" s="92"/>
      <c r="AR194" s="76"/>
      <c r="AS194" s="2"/>
      <c r="AT194" s="3"/>
      <c r="AU194" s="3"/>
      <c r="AV194" s="3"/>
      <c r="AW194" s="3"/>
    </row>
    <row r="195" spans="1:49" x14ac:dyDescent="0.25">
      <c r="A195" s="65"/>
      <c r="B195" s="66"/>
      <c r="C195" s="66"/>
      <c r="D195" s="67"/>
      <c r="E195" s="68"/>
      <c r="F195" s="93"/>
      <c r="G195" s="66"/>
      <c r="H195" s="69"/>
      <c r="I195" s="70"/>
      <c r="J195" s="70"/>
      <c r="K195" s="69"/>
      <c r="L195" s="72"/>
      <c r="M195" s="73">
        <v>6274.90869140625</v>
      </c>
      <c r="N195" s="73">
        <v>5863.9111328125</v>
      </c>
      <c r="O195" s="74"/>
      <c r="P195" s="75"/>
      <c r="Q195" s="75"/>
      <c r="R195" s="78">
        <f t="shared" ref="R195:R228" si="3">S195+T195</f>
        <v>40</v>
      </c>
      <c r="S195" s="47">
        <v>16</v>
      </c>
      <c r="T195" s="47">
        <v>24</v>
      </c>
      <c r="U195" s="48">
        <v>761.885401</v>
      </c>
      <c r="V195" s="48">
        <v>2.3809999999999999E-3</v>
      </c>
      <c r="W195" s="48">
        <v>9.809E-3</v>
      </c>
      <c r="X195" s="49"/>
      <c r="Y195" s="48">
        <v>0.26559139784946234</v>
      </c>
      <c r="Z195" s="48"/>
      <c r="AA195" s="71">
        <v>195</v>
      </c>
      <c r="AB195" s="71"/>
      <c r="AC195" s="116">
        <v>2</v>
      </c>
      <c r="AD195" s="76"/>
      <c r="AE195" s="76">
        <v>2045</v>
      </c>
      <c r="AF195" s="76">
        <v>3689</v>
      </c>
      <c r="AG195" s="76">
        <v>5275</v>
      </c>
      <c r="AH195" s="76">
        <v>1694</v>
      </c>
      <c r="AI195" s="76">
        <v>7200</v>
      </c>
      <c r="AJ195" s="76"/>
      <c r="AK195" s="76"/>
      <c r="AL195" s="92"/>
      <c r="AM195" s="76"/>
      <c r="AN195" s="76">
        <v>40806.648287037038</v>
      </c>
      <c r="AO195" s="76" t="s">
        <v>60</v>
      </c>
      <c r="AP195" s="76"/>
      <c r="AQ195" s="92"/>
      <c r="AR195" s="76"/>
      <c r="AS195" s="2"/>
      <c r="AT195" s="3"/>
      <c r="AU195" s="3"/>
      <c r="AV195" s="3"/>
      <c r="AW195" s="3"/>
    </row>
    <row r="196" spans="1:49" x14ac:dyDescent="0.25">
      <c r="A196" s="65"/>
      <c r="B196" s="66"/>
      <c r="C196" s="66"/>
      <c r="D196" s="67"/>
      <c r="E196" s="68"/>
      <c r="F196" s="93"/>
      <c r="G196" s="66"/>
      <c r="H196" s="69"/>
      <c r="I196" s="70"/>
      <c r="J196" s="70"/>
      <c r="K196" s="69"/>
      <c r="L196" s="72"/>
      <c r="M196" s="73">
        <v>5748.50537109375</v>
      </c>
      <c r="N196" s="73">
        <v>4396.990234375</v>
      </c>
      <c r="O196" s="74"/>
      <c r="P196" s="75"/>
      <c r="Q196" s="75"/>
      <c r="R196" s="78">
        <f t="shared" si="3"/>
        <v>48</v>
      </c>
      <c r="S196" s="47">
        <v>21</v>
      </c>
      <c r="T196" s="47">
        <v>27</v>
      </c>
      <c r="U196" s="48">
        <v>98.164280000000005</v>
      </c>
      <c r="V196" s="48">
        <v>2.398E-3</v>
      </c>
      <c r="W196" s="48">
        <v>1.2019999999999999E-2</v>
      </c>
      <c r="X196" s="49"/>
      <c r="Y196" s="48">
        <v>0.38505747126436779</v>
      </c>
      <c r="Z196" s="48"/>
      <c r="AA196" s="71">
        <v>196</v>
      </c>
      <c r="AB196" s="71"/>
      <c r="AC196" s="116">
        <v>2</v>
      </c>
      <c r="AD196" s="76"/>
      <c r="AE196" s="76">
        <v>1635</v>
      </c>
      <c r="AF196" s="76">
        <v>2439</v>
      </c>
      <c r="AG196" s="76">
        <v>3708</v>
      </c>
      <c r="AH196" s="76">
        <v>307</v>
      </c>
      <c r="AI196" s="76">
        <v>3600</v>
      </c>
      <c r="AJ196" s="76"/>
      <c r="AK196" s="76"/>
      <c r="AL196" s="92"/>
      <c r="AM196" s="76"/>
      <c r="AN196" s="76">
        <v>41052.621087962965</v>
      </c>
      <c r="AO196" s="76" t="s">
        <v>60</v>
      </c>
      <c r="AP196" s="76"/>
      <c r="AQ196" s="92"/>
      <c r="AR196" s="76"/>
      <c r="AS196" s="2"/>
      <c r="AT196" s="3"/>
      <c r="AU196" s="3"/>
      <c r="AV196" s="3"/>
      <c r="AW196" s="3"/>
    </row>
    <row r="197" spans="1:49" x14ac:dyDescent="0.25">
      <c r="A197" s="65"/>
      <c r="B197" s="66"/>
      <c r="C197" s="66"/>
      <c r="D197" s="67"/>
      <c r="E197" s="68"/>
      <c r="F197" s="93"/>
      <c r="G197" s="66"/>
      <c r="H197" s="69"/>
      <c r="I197" s="70"/>
      <c r="J197" s="70"/>
      <c r="K197" s="69"/>
      <c r="L197" s="72"/>
      <c r="M197" s="73">
        <v>5751.08154296875</v>
      </c>
      <c r="N197" s="73">
        <v>5398.87646484375</v>
      </c>
      <c r="O197" s="74"/>
      <c r="P197" s="75"/>
      <c r="Q197" s="75"/>
      <c r="R197" s="78">
        <f t="shared" si="3"/>
        <v>55</v>
      </c>
      <c r="S197" s="47">
        <v>21</v>
      </c>
      <c r="T197" s="47">
        <v>34</v>
      </c>
      <c r="U197" s="48">
        <v>192.05241000000001</v>
      </c>
      <c r="V197" s="48">
        <v>2.4390000000000002E-3</v>
      </c>
      <c r="W197" s="48">
        <v>1.4277E-2</v>
      </c>
      <c r="X197" s="49"/>
      <c r="Y197" s="48">
        <v>0.32928475033738192</v>
      </c>
      <c r="Z197" s="48"/>
      <c r="AA197" s="71">
        <v>197</v>
      </c>
      <c r="AB197" s="71"/>
      <c r="AC197" s="116">
        <v>2</v>
      </c>
      <c r="AD197" s="76"/>
      <c r="AE197" s="76">
        <v>1208</v>
      </c>
      <c r="AF197" s="76">
        <v>4007</v>
      </c>
      <c r="AG197" s="76">
        <v>2059</v>
      </c>
      <c r="AH197" s="76">
        <v>705</v>
      </c>
      <c r="AI197" s="76">
        <v>3600</v>
      </c>
      <c r="AJ197" s="76"/>
      <c r="AK197" s="76"/>
      <c r="AL197" s="92"/>
      <c r="AM197" s="76"/>
      <c r="AN197" s="76">
        <v>40112.583287037036</v>
      </c>
      <c r="AO197" s="76" t="s">
        <v>60</v>
      </c>
      <c r="AP197" s="76"/>
      <c r="AQ197" s="92"/>
      <c r="AR197" s="76"/>
      <c r="AS197" s="2"/>
      <c r="AT197" s="3"/>
      <c r="AU197" s="3"/>
      <c r="AV197" s="3"/>
      <c r="AW197" s="3"/>
    </row>
    <row r="198" spans="1:49" x14ac:dyDescent="0.25">
      <c r="A198" s="65"/>
      <c r="B198" s="66"/>
      <c r="C198" s="66"/>
      <c r="D198" s="67"/>
      <c r="E198" s="68"/>
      <c r="F198" s="93"/>
      <c r="G198" s="66"/>
      <c r="H198" s="69"/>
      <c r="I198" s="70"/>
      <c r="J198" s="70"/>
      <c r="K198" s="69"/>
      <c r="L198" s="72"/>
      <c r="M198" s="73">
        <v>5095.82861328125</v>
      </c>
      <c r="N198" s="73">
        <v>5398.59033203125</v>
      </c>
      <c r="O198" s="74"/>
      <c r="P198" s="75"/>
      <c r="Q198" s="75"/>
      <c r="R198" s="78">
        <f t="shared" si="3"/>
        <v>91</v>
      </c>
      <c r="S198" s="47">
        <v>35</v>
      </c>
      <c r="T198" s="47">
        <v>56</v>
      </c>
      <c r="U198" s="48">
        <v>2289.014154</v>
      </c>
      <c r="V198" s="48">
        <v>2.725E-3</v>
      </c>
      <c r="W198" s="48">
        <v>1.8317E-2</v>
      </c>
      <c r="X198" s="49"/>
      <c r="Y198" s="48">
        <v>0.16899766899766899</v>
      </c>
      <c r="Z198" s="48"/>
      <c r="AA198" s="71">
        <v>198</v>
      </c>
      <c r="AB198" s="71"/>
      <c r="AC198" s="116">
        <v>2</v>
      </c>
      <c r="AD198" s="76"/>
      <c r="AE198" s="76">
        <v>2243</v>
      </c>
      <c r="AF198" s="76">
        <v>9987</v>
      </c>
      <c r="AG198" s="76">
        <v>19162</v>
      </c>
      <c r="AH198" s="76">
        <v>2114</v>
      </c>
      <c r="AI198" s="76">
        <v>3600</v>
      </c>
      <c r="AJ198" s="76"/>
      <c r="AK198" s="76"/>
      <c r="AL198" s="92"/>
      <c r="AM198" s="76"/>
      <c r="AN198" s="76">
        <v>40730.431018518517</v>
      </c>
      <c r="AO198" s="76" t="s">
        <v>60</v>
      </c>
      <c r="AP198" s="76"/>
      <c r="AQ198" s="92"/>
      <c r="AR198" s="76"/>
      <c r="AS198" s="2"/>
      <c r="AT198" s="3"/>
      <c r="AU198" s="3"/>
      <c r="AV198" s="3"/>
      <c r="AW198" s="3"/>
    </row>
    <row r="199" spans="1:49" x14ac:dyDescent="0.25">
      <c r="A199" s="65"/>
      <c r="B199" s="96"/>
      <c r="C199" s="96"/>
      <c r="D199" s="99"/>
      <c r="E199" s="95"/>
      <c r="F199" s="93"/>
      <c r="G199" s="96"/>
      <c r="H199" s="100"/>
      <c r="I199" s="101"/>
      <c r="J199" s="101"/>
      <c r="K199" s="100"/>
      <c r="L199" s="102"/>
      <c r="M199" s="103">
        <v>5142.57958984375</v>
      </c>
      <c r="N199" s="103">
        <v>5646.09130859375</v>
      </c>
      <c r="O199" s="104"/>
      <c r="P199" s="105"/>
      <c r="Q199" s="105"/>
      <c r="R199" s="106">
        <f t="shared" si="3"/>
        <v>50</v>
      </c>
      <c r="S199" s="47">
        <v>27</v>
      </c>
      <c r="T199" s="47">
        <v>23</v>
      </c>
      <c r="U199" s="48">
        <v>418.08899100000002</v>
      </c>
      <c r="V199" s="48">
        <v>2.4450000000000001E-3</v>
      </c>
      <c r="W199" s="48">
        <v>1.1965E-2</v>
      </c>
      <c r="X199" s="107"/>
      <c r="Y199" s="48">
        <v>0.23897581792318634</v>
      </c>
      <c r="Z199" s="108"/>
      <c r="AA199" s="109">
        <v>199</v>
      </c>
      <c r="AB199" s="109"/>
      <c r="AC199" s="116">
        <v>2</v>
      </c>
      <c r="AD199" s="76"/>
      <c r="AE199" s="76">
        <v>743</v>
      </c>
      <c r="AF199" s="76">
        <v>9024</v>
      </c>
      <c r="AG199" s="76">
        <v>6308</v>
      </c>
      <c r="AH199" s="76">
        <v>3785</v>
      </c>
      <c r="AI199" s="76">
        <v>3600</v>
      </c>
      <c r="AJ199" s="76"/>
      <c r="AK199" s="76"/>
      <c r="AL199" s="92"/>
      <c r="AM199" s="76"/>
      <c r="AN199" s="76">
        <v>40430.434074074074</v>
      </c>
      <c r="AO199" s="76" t="s">
        <v>60</v>
      </c>
      <c r="AP199" s="76"/>
      <c r="AQ199" s="92"/>
      <c r="AR199" s="76"/>
      <c r="AS199" s="2"/>
      <c r="AT199" s="3"/>
      <c r="AU199" s="3"/>
      <c r="AV199" s="3"/>
      <c r="AW199" s="3"/>
    </row>
    <row r="200" spans="1:49" x14ac:dyDescent="0.25">
      <c r="A200" s="65"/>
      <c r="B200" s="66"/>
      <c r="C200" s="66"/>
      <c r="D200" s="67"/>
      <c r="E200" s="68"/>
      <c r="F200" s="93"/>
      <c r="G200" s="66"/>
      <c r="H200" s="69"/>
      <c r="I200" s="70"/>
      <c r="J200" s="70"/>
      <c r="K200" s="69"/>
      <c r="L200" s="72"/>
      <c r="M200" s="73">
        <v>2794.506591796875</v>
      </c>
      <c r="N200" s="73">
        <v>4329.3076171875</v>
      </c>
      <c r="O200" s="74"/>
      <c r="P200" s="75"/>
      <c r="Q200" s="75"/>
      <c r="R200" s="78">
        <f t="shared" si="3"/>
        <v>20</v>
      </c>
      <c r="S200" s="47">
        <v>8</v>
      </c>
      <c r="T200" s="47">
        <v>12</v>
      </c>
      <c r="U200" s="48">
        <v>147.27159599999999</v>
      </c>
      <c r="V200" s="48">
        <v>2.1410000000000001E-3</v>
      </c>
      <c r="W200" s="48">
        <v>2.392E-3</v>
      </c>
      <c r="X200" s="49"/>
      <c r="Y200" s="48">
        <v>0.39560439560439559</v>
      </c>
      <c r="Z200" s="48"/>
      <c r="AA200" s="71">
        <v>200</v>
      </c>
      <c r="AB200" s="71"/>
      <c r="AC200" s="116">
        <v>3</v>
      </c>
      <c r="AD200" s="76"/>
      <c r="AE200" s="76">
        <v>970</v>
      </c>
      <c r="AF200" s="76">
        <v>855</v>
      </c>
      <c r="AG200" s="76">
        <v>977</v>
      </c>
      <c r="AH200" s="76">
        <v>105</v>
      </c>
      <c r="AI200" s="76"/>
      <c r="AJ200" s="76"/>
      <c r="AK200" s="76"/>
      <c r="AL200" s="92"/>
      <c r="AM200" s="76"/>
      <c r="AN200" s="76">
        <v>42039.576053240744</v>
      </c>
      <c r="AO200" s="76" t="s">
        <v>60</v>
      </c>
      <c r="AP200" s="76"/>
      <c r="AQ200" s="92"/>
      <c r="AR200" s="76"/>
      <c r="AS200" s="2"/>
      <c r="AT200" s="3"/>
      <c r="AU200" s="3"/>
      <c r="AV200" s="3"/>
      <c r="AW200" s="3"/>
    </row>
    <row r="201" spans="1:49" x14ac:dyDescent="0.25">
      <c r="A201" s="65"/>
      <c r="B201" s="66"/>
      <c r="C201" s="66"/>
      <c r="D201" s="67"/>
      <c r="E201" s="68"/>
      <c r="F201" s="93"/>
      <c r="G201" s="66"/>
      <c r="H201" s="69"/>
      <c r="I201" s="70"/>
      <c r="J201" s="70"/>
      <c r="K201" s="69"/>
      <c r="L201" s="72"/>
      <c r="M201" s="73">
        <v>2598.59375</v>
      </c>
      <c r="N201" s="73">
        <v>3541.186279296875</v>
      </c>
      <c r="O201" s="74"/>
      <c r="P201" s="75"/>
      <c r="Q201" s="75"/>
      <c r="R201" s="78">
        <f t="shared" si="3"/>
        <v>34</v>
      </c>
      <c r="S201" s="47">
        <v>16</v>
      </c>
      <c r="T201" s="47">
        <v>18</v>
      </c>
      <c r="U201" s="48">
        <v>373.24790400000001</v>
      </c>
      <c r="V201" s="48">
        <v>2.1050000000000001E-3</v>
      </c>
      <c r="W201" s="48">
        <v>2.568E-3</v>
      </c>
      <c r="X201" s="49"/>
      <c r="Y201" s="48">
        <v>0.35263157894736841</v>
      </c>
      <c r="Z201" s="48"/>
      <c r="AA201" s="71">
        <v>201</v>
      </c>
      <c r="AB201" s="71"/>
      <c r="AC201" s="116">
        <v>3</v>
      </c>
      <c r="AD201" s="76"/>
      <c r="AE201" s="76">
        <v>571</v>
      </c>
      <c r="AF201" s="76">
        <v>1569</v>
      </c>
      <c r="AG201" s="76">
        <v>3370</v>
      </c>
      <c r="AH201" s="76">
        <v>685</v>
      </c>
      <c r="AI201" s="76">
        <v>7200</v>
      </c>
      <c r="AJ201" s="76"/>
      <c r="AK201" s="76"/>
      <c r="AL201" s="92"/>
      <c r="AM201" s="76"/>
      <c r="AN201" s="76">
        <v>41782.346504629626</v>
      </c>
      <c r="AO201" s="76" t="s">
        <v>60</v>
      </c>
      <c r="AP201" s="76"/>
      <c r="AQ201" s="92"/>
      <c r="AR201" s="76"/>
      <c r="AS201" s="2"/>
      <c r="AT201" s="3"/>
      <c r="AU201" s="3"/>
      <c r="AV201" s="3"/>
      <c r="AW201" s="3"/>
    </row>
    <row r="202" spans="1:49" x14ac:dyDescent="0.25">
      <c r="A202" s="65"/>
      <c r="B202" s="66"/>
      <c r="C202" s="66"/>
      <c r="D202" s="67"/>
      <c r="E202" s="68"/>
      <c r="F202" s="93"/>
      <c r="G202" s="66"/>
      <c r="H202" s="69"/>
      <c r="I202" s="70"/>
      <c r="J202" s="70"/>
      <c r="K202" s="69"/>
      <c r="L202" s="72"/>
      <c r="M202" s="73">
        <v>2086.400390625</v>
      </c>
      <c r="N202" s="73">
        <v>4894.5380859375</v>
      </c>
      <c r="O202" s="74"/>
      <c r="P202" s="75"/>
      <c r="Q202" s="75"/>
      <c r="R202" s="78">
        <f t="shared" si="3"/>
        <v>6</v>
      </c>
      <c r="S202" s="47">
        <v>1</v>
      </c>
      <c r="T202" s="47">
        <v>5</v>
      </c>
      <c r="U202" s="48">
        <v>9.9420850000000005</v>
      </c>
      <c r="V202" s="48">
        <v>1.9959999999999999E-3</v>
      </c>
      <c r="W202" s="48">
        <v>1.0640000000000001E-3</v>
      </c>
      <c r="X202" s="49"/>
      <c r="Y202" s="48">
        <v>0.4</v>
      </c>
      <c r="Z202" s="48"/>
      <c r="AA202" s="71">
        <v>202</v>
      </c>
      <c r="AB202" s="71"/>
      <c r="AC202" s="116">
        <v>3</v>
      </c>
      <c r="AD202" s="76"/>
      <c r="AE202" s="76">
        <v>871</v>
      </c>
      <c r="AF202" s="76">
        <v>486</v>
      </c>
      <c r="AG202" s="76">
        <v>420</v>
      </c>
      <c r="AH202" s="76">
        <v>386</v>
      </c>
      <c r="AI202" s="76">
        <v>3600</v>
      </c>
      <c r="AJ202" s="76"/>
      <c r="AK202" s="76"/>
      <c r="AL202" s="92"/>
      <c r="AM202" s="76"/>
      <c r="AN202" s="76">
        <v>42167.397835648146</v>
      </c>
      <c r="AO202" s="76" t="s">
        <v>60</v>
      </c>
      <c r="AP202" s="76"/>
      <c r="AQ202" s="92"/>
      <c r="AR202" s="76"/>
      <c r="AS202" s="2"/>
      <c r="AT202" s="3"/>
      <c r="AU202" s="3"/>
      <c r="AV202" s="3"/>
      <c r="AW202" s="3"/>
    </row>
    <row r="203" spans="1:49" x14ac:dyDescent="0.25">
      <c r="A203" s="65"/>
      <c r="B203" s="66"/>
      <c r="C203" s="66"/>
      <c r="D203" s="67"/>
      <c r="E203" s="68"/>
      <c r="F203" s="93"/>
      <c r="G203" s="66"/>
      <c r="H203" s="69"/>
      <c r="I203" s="70"/>
      <c r="J203" s="70"/>
      <c r="K203" s="69"/>
      <c r="L203" s="72"/>
      <c r="M203" s="73">
        <v>1331.404052734375</v>
      </c>
      <c r="N203" s="73">
        <v>3135.490478515625</v>
      </c>
      <c r="O203" s="74"/>
      <c r="P203" s="75"/>
      <c r="Q203" s="75"/>
      <c r="R203" s="78">
        <f t="shared" si="3"/>
        <v>15</v>
      </c>
      <c r="S203" s="47">
        <v>5</v>
      </c>
      <c r="T203" s="47">
        <v>10</v>
      </c>
      <c r="U203" s="48">
        <v>5.5971060000000001</v>
      </c>
      <c r="V203" s="48">
        <v>1.701E-3</v>
      </c>
      <c r="W203" s="48">
        <v>8.1300000000000003E-4</v>
      </c>
      <c r="X203" s="49"/>
      <c r="Y203" s="48">
        <v>0.61818181818181817</v>
      </c>
      <c r="Z203" s="48"/>
      <c r="AA203" s="71">
        <v>203</v>
      </c>
      <c r="AB203" s="71"/>
      <c r="AC203" s="116">
        <v>3</v>
      </c>
      <c r="AD203" s="76"/>
      <c r="AE203" s="76">
        <v>791</v>
      </c>
      <c r="AF203" s="76">
        <v>630</v>
      </c>
      <c r="AG203" s="76">
        <v>2502</v>
      </c>
      <c r="AH203" s="76">
        <v>459</v>
      </c>
      <c r="AI203" s="76">
        <v>3600</v>
      </c>
      <c r="AJ203" s="76"/>
      <c r="AK203" s="76"/>
      <c r="AL203" s="92"/>
      <c r="AM203" s="76"/>
      <c r="AN203" s="76">
        <v>41173.41201388889</v>
      </c>
      <c r="AO203" s="76" t="s">
        <v>60</v>
      </c>
      <c r="AP203" s="76"/>
      <c r="AQ203" s="92"/>
      <c r="AR203" s="76"/>
      <c r="AS203" s="2"/>
      <c r="AT203" s="3"/>
      <c r="AU203" s="3"/>
      <c r="AV203" s="3"/>
      <c r="AW203" s="3"/>
    </row>
    <row r="204" spans="1:49" x14ac:dyDescent="0.25">
      <c r="A204" s="65"/>
      <c r="B204" s="66"/>
      <c r="C204" s="66"/>
      <c r="D204" s="67"/>
      <c r="E204" s="68"/>
      <c r="F204" s="93"/>
      <c r="G204" s="66"/>
      <c r="H204" s="69"/>
      <c r="I204" s="70"/>
      <c r="J204" s="70"/>
      <c r="K204" s="69"/>
      <c r="L204" s="72"/>
      <c r="M204" s="73">
        <v>3513.601806640625</v>
      </c>
      <c r="N204" s="73">
        <v>3432.025390625</v>
      </c>
      <c r="O204" s="74"/>
      <c r="P204" s="75"/>
      <c r="Q204" s="75"/>
      <c r="R204" s="78">
        <f t="shared" si="3"/>
        <v>19</v>
      </c>
      <c r="S204" s="47">
        <v>3</v>
      </c>
      <c r="T204" s="47">
        <v>16</v>
      </c>
      <c r="U204" s="48">
        <v>364.76160099999998</v>
      </c>
      <c r="V204" s="48">
        <v>2.1689999999999999E-3</v>
      </c>
      <c r="W204" s="48">
        <v>4.5139999999999998E-3</v>
      </c>
      <c r="X204" s="49"/>
      <c r="Y204" s="48">
        <v>0.24264705882352941</v>
      </c>
      <c r="Z204" s="48"/>
      <c r="AA204" s="71">
        <v>204</v>
      </c>
      <c r="AB204" s="71"/>
      <c r="AC204" s="116">
        <v>3</v>
      </c>
      <c r="AD204" s="76"/>
      <c r="AE204" s="76">
        <v>353</v>
      </c>
      <c r="AF204" s="76">
        <v>457</v>
      </c>
      <c r="AG204" s="76">
        <v>658</v>
      </c>
      <c r="AH204" s="76">
        <v>23</v>
      </c>
      <c r="AI204" s="76">
        <v>3600</v>
      </c>
      <c r="AJ204" s="76"/>
      <c r="AK204" s="76"/>
      <c r="AL204" s="92"/>
      <c r="AM204" s="76"/>
      <c r="AN204" s="76">
        <v>42543.440115740741</v>
      </c>
      <c r="AO204" s="76" t="s">
        <v>60</v>
      </c>
      <c r="AP204" s="76"/>
      <c r="AQ204" s="92"/>
      <c r="AR204" s="76"/>
      <c r="AS204" s="2"/>
      <c r="AT204" s="3"/>
      <c r="AU204" s="3"/>
      <c r="AV204" s="3"/>
      <c r="AW204" s="3"/>
    </row>
    <row r="205" spans="1:49" x14ac:dyDescent="0.25">
      <c r="A205" s="117"/>
      <c r="B205" s="66"/>
      <c r="C205" s="66"/>
      <c r="D205" s="67"/>
      <c r="E205" s="68"/>
      <c r="F205" s="93"/>
      <c r="G205" s="66"/>
      <c r="H205" s="69"/>
      <c r="I205" s="70"/>
      <c r="J205" s="70"/>
      <c r="K205" s="69"/>
      <c r="L205" s="72"/>
      <c r="M205" s="73">
        <v>1634.944580078125</v>
      </c>
      <c r="N205" s="73">
        <v>4092.642822265625</v>
      </c>
      <c r="O205" s="74"/>
      <c r="P205" s="75"/>
      <c r="Q205" s="75"/>
      <c r="R205" s="78">
        <f t="shared" si="3"/>
        <v>10</v>
      </c>
      <c r="S205" s="47">
        <v>9</v>
      </c>
      <c r="T205" s="47">
        <v>1</v>
      </c>
      <c r="U205" s="48">
        <v>40.355353000000001</v>
      </c>
      <c r="V205" s="48">
        <v>1.825E-3</v>
      </c>
      <c r="W205" s="48">
        <v>9.8900000000000008E-4</v>
      </c>
      <c r="X205" s="49"/>
      <c r="Y205" s="48">
        <v>0.29166666666666669</v>
      </c>
      <c r="Z205" s="48"/>
      <c r="AA205" s="71">
        <v>205</v>
      </c>
      <c r="AB205" s="71"/>
      <c r="AC205" s="116">
        <v>3</v>
      </c>
      <c r="AD205" s="76"/>
      <c r="AE205" s="76">
        <v>45</v>
      </c>
      <c r="AF205" s="76">
        <v>100261</v>
      </c>
      <c r="AG205" s="76">
        <v>2874</v>
      </c>
      <c r="AH205" s="76">
        <v>8</v>
      </c>
      <c r="AI205" s="76">
        <v>7200</v>
      </c>
      <c r="AJ205" s="76"/>
      <c r="AK205" s="76"/>
      <c r="AL205" s="92"/>
      <c r="AM205" s="76"/>
      <c r="AN205" s="76">
        <v>40681.584907407407</v>
      </c>
      <c r="AO205" s="76" t="s">
        <v>60</v>
      </c>
      <c r="AP205" s="76"/>
      <c r="AQ205" s="92"/>
      <c r="AR205" s="76"/>
      <c r="AS205" s="2"/>
      <c r="AT205" s="3"/>
      <c r="AU205" s="3"/>
      <c r="AV205" s="3"/>
      <c r="AW205" s="3"/>
    </row>
    <row r="206" spans="1:49" x14ac:dyDescent="0.25">
      <c r="A206" s="65"/>
      <c r="B206" s="66"/>
      <c r="C206" s="66"/>
      <c r="D206" s="67"/>
      <c r="E206" s="68"/>
      <c r="F206" s="93"/>
      <c r="G206" s="66"/>
      <c r="H206" s="69"/>
      <c r="I206" s="70"/>
      <c r="J206" s="70"/>
      <c r="K206" s="69"/>
      <c r="L206" s="72"/>
      <c r="M206" s="73">
        <v>2284.693359375</v>
      </c>
      <c r="N206" s="73">
        <v>2951.000244140625</v>
      </c>
      <c r="O206" s="74"/>
      <c r="P206" s="75"/>
      <c r="Q206" s="75"/>
      <c r="R206" s="78">
        <f t="shared" si="3"/>
        <v>17</v>
      </c>
      <c r="S206" s="47">
        <v>9</v>
      </c>
      <c r="T206" s="47">
        <v>8</v>
      </c>
      <c r="U206" s="48">
        <v>101.49321500000001</v>
      </c>
      <c r="V206" s="48">
        <v>1.869E-3</v>
      </c>
      <c r="W206" s="48">
        <v>1.2830000000000001E-3</v>
      </c>
      <c r="X206" s="49"/>
      <c r="Y206" s="48">
        <v>0.44871794871794873</v>
      </c>
      <c r="Z206" s="48"/>
      <c r="AA206" s="71">
        <v>206</v>
      </c>
      <c r="AB206" s="71"/>
      <c r="AC206" s="116">
        <v>3</v>
      </c>
      <c r="AD206" s="76"/>
      <c r="AE206" s="76">
        <v>1361</v>
      </c>
      <c r="AF206" s="76">
        <v>3058</v>
      </c>
      <c r="AG206" s="76">
        <v>3405</v>
      </c>
      <c r="AH206" s="76">
        <v>1413</v>
      </c>
      <c r="AI206" s="76">
        <v>3600</v>
      </c>
      <c r="AJ206" s="76"/>
      <c r="AK206" s="76"/>
      <c r="AL206" s="92"/>
      <c r="AM206" s="76"/>
      <c r="AN206" s="76">
        <v>41920.648194444446</v>
      </c>
      <c r="AO206" s="76" t="s">
        <v>60</v>
      </c>
      <c r="AP206" s="76"/>
      <c r="AQ206" s="92"/>
      <c r="AR206" s="76"/>
      <c r="AS206" s="2"/>
      <c r="AT206" s="3"/>
      <c r="AU206" s="3"/>
      <c r="AV206" s="3"/>
      <c r="AW206" s="3"/>
    </row>
    <row r="207" spans="1:49" x14ac:dyDescent="0.25">
      <c r="A207" s="65"/>
      <c r="B207" s="66"/>
      <c r="C207" s="66"/>
      <c r="D207" s="67"/>
      <c r="E207" s="68"/>
      <c r="F207" s="93"/>
      <c r="G207" s="66"/>
      <c r="H207" s="69"/>
      <c r="I207" s="70"/>
      <c r="J207" s="70"/>
      <c r="K207" s="69"/>
      <c r="L207" s="72"/>
      <c r="M207" s="73">
        <v>4133.611328125</v>
      </c>
      <c r="N207" s="73">
        <v>2544.106201171875</v>
      </c>
      <c r="O207" s="74"/>
      <c r="P207" s="75"/>
      <c r="Q207" s="75"/>
      <c r="R207" s="78">
        <f t="shared" si="3"/>
        <v>13</v>
      </c>
      <c r="S207" s="47">
        <v>4</v>
      </c>
      <c r="T207" s="47">
        <v>9</v>
      </c>
      <c r="U207" s="48">
        <v>60.789955999999997</v>
      </c>
      <c r="V207" s="48">
        <v>2.0960000000000002E-3</v>
      </c>
      <c r="W207" s="48">
        <v>2.3470000000000001E-3</v>
      </c>
      <c r="X207" s="49"/>
      <c r="Y207" s="48">
        <v>0.21111111111111111</v>
      </c>
      <c r="Z207" s="48"/>
      <c r="AA207" s="71">
        <v>207</v>
      </c>
      <c r="AB207" s="71"/>
      <c r="AC207" s="116">
        <v>3</v>
      </c>
      <c r="AD207" s="76"/>
      <c r="AE207" s="76">
        <v>2119</v>
      </c>
      <c r="AF207" s="76">
        <v>709</v>
      </c>
      <c r="AG207" s="76">
        <v>751</v>
      </c>
      <c r="AH207" s="76">
        <v>139</v>
      </c>
      <c r="AI207" s="76"/>
      <c r="AJ207" s="76"/>
      <c r="AK207" s="76"/>
      <c r="AL207" s="92"/>
      <c r="AM207" s="76"/>
      <c r="AN207" s="76">
        <v>42430.401990740742</v>
      </c>
      <c r="AO207" s="76" t="s">
        <v>60</v>
      </c>
      <c r="AP207" s="76"/>
      <c r="AQ207" s="92"/>
      <c r="AR207" s="76"/>
      <c r="AS207" s="2"/>
      <c r="AT207" s="3"/>
      <c r="AU207" s="3"/>
      <c r="AV207" s="3"/>
      <c r="AW207" s="3"/>
    </row>
    <row r="208" spans="1:49" x14ac:dyDescent="0.25">
      <c r="A208" s="65"/>
      <c r="B208" s="66"/>
      <c r="C208" s="66"/>
      <c r="D208" s="67"/>
      <c r="E208" s="68"/>
      <c r="F208" s="93"/>
      <c r="G208" s="66"/>
      <c r="H208" s="69"/>
      <c r="I208" s="70"/>
      <c r="J208" s="70"/>
      <c r="K208" s="69"/>
      <c r="L208" s="72"/>
      <c r="M208" s="73">
        <v>2514.50244140625</v>
      </c>
      <c r="N208" s="73">
        <v>7668.37060546875</v>
      </c>
      <c r="O208" s="74"/>
      <c r="P208" s="75"/>
      <c r="Q208" s="75"/>
      <c r="R208" s="47">
        <f t="shared" si="3"/>
        <v>0</v>
      </c>
      <c r="S208" s="47"/>
      <c r="T208" s="47"/>
      <c r="U208" s="48"/>
      <c r="V208" s="48"/>
      <c r="W208" s="48"/>
      <c r="X208" s="49"/>
      <c r="Y208" s="48"/>
      <c r="Z208" s="48"/>
      <c r="AA208" s="71">
        <v>208</v>
      </c>
      <c r="AB208" s="71"/>
      <c r="AC208" s="116">
        <v>3</v>
      </c>
      <c r="AD208" s="76"/>
      <c r="AE208" s="76">
        <v>147</v>
      </c>
      <c r="AF208" s="76">
        <v>69</v>
      </c>
      <c r="AG208" s="76">
        <v>30</v>
      </c>
      <c r="AH208" s="76">
        <v>4</v>
      </c>
      <c r="AI208" s="76">
        <v>3600</v>
      </c>
      <c r="AJ208" s="76"/>
      <c r="AK208" s="76"/>
      <c r="AL208" s="92"/>
      <c r="AM208" s="76"/>
      <c r="AN208" s="76">
        <v>42073.389027777775</v>
      </c>
      <c r="AO208" s="76" t="s">
        <v>60</v>
      </c>
      <c r="AP208" s="76"/>
      <c r="AQ208" s="92"/>
      <c r="AR208" s="76"/>
      <c r="AS208" s="2"/>
      <c r="AT208" s="3"/>
      <c r="AU208" s="3"/>
      <c r="AV208" s="3"/>
      <c r="AW208" s="3"/>
    </row>
    <row r="209" spans="1:49" x14ac:dyDescent="0.25">
      <c r="A209" s="65"/>
      <c r="B209" s="66"/>
      <c r="C209" s="66"/>
      <c r="D209" s="67"/>
      <c r="E209" s="68"/>
      <c r="F209" s="93"/>
      <c r="G209" s="66"/>
      <c r="H209" s="69"/>
      <c r="I209" s="70"/>
      <c r="J209" s="70"/>
      <c r="K209" s="69"/>
      <c r="L209" s="72"/>
      <c r="M209" s="73">
        <v>1198.124755859375</v>
      </c>
      <c r="N209" s="73">
        <v>3100.166748046875</v>
      </c>
      <c r="O209" s="74"/>
      <c r="P209" s="75"/>
      <c r="Q209" s="75"/>
      <c r="R209" s="78">
        <f t="shared" si="3"/>
        <v>10</v>
      </c>
      <c r="S209" s="47">
        <v>6</v>
      </c>
      <c r="T209" s="47">
        <v>4</v>
      </c>
      <c r="U209" s="48">
        <v>3.1828409999999998</v>
      </c>
      <c r="V209" s="48">
        <v>1.689E-3</v>
      </c>
      <c r="W209" s="48">
        <v>5.9400000000000002E-4</v>
      </c>
      <c r="X209" s="49"/>
      <c r="Y209" s="48">
        <v>0.54166666666666663</v>
      </c>
      <c r="Z209" s="48"/>
      <c r="AA209" s="71">
        <v>209</v>
      </c>
      <c r="AB209" s="71"/>
      <c r="AC209" s="116">
        <v>3</v>
      </c>
      <c r="AD209" s="76"/>
      <c r="AE209" s="76">
        <v>2096</v>
      </c>
      <c r="AF209" s="76">
        <v>4068</v>
      </c>
      <c r="AG209" s="76">
        <v>1556</v>
      </c>
      <c r="AH209" s="76">
        <v>109</v>
      </c>
      <c r="AI209" s="76">
        <v>-25200</v>
      </c>
      <c r="AJ209" s="76"/>
      <c r="AK209" s="76"/>
      <c r="AL209" s="92"/>
      <c r="AM209" s="76"/>
      <c r="AN209" s="76">
        <v>40568.789155092592</v>
      </c>
      <c r="AO209" s="76" t="s">
        <v>60</v>
      </c>
      <c r="AP209" s="76"/>
      <c r="AQ209" s="92"/>
      <c r="AR209" s="76"/>
      <c r="AS209" s="2"/>
      <c r="AT209" s="3"/>
      <c r="AU209" s="3"/>
      <c r="AV209" s="3"/>
      <c r="AW209" s="3"/>
    </row>
    <row r="210" spans="1:49" x14ac:dyDescent="0.25">
      <c r="A210" s="65"/>
      <c r="B210" s="66"/>
      <c r="C210" s="66"/>
      <c r="D210" s="67"/>
      <c r="E210" s="68"/>
      <c r="F210" s="93"/>
      <c r="G210" s="66"/>
      <c r="H210" s="69"/>
      <c r="I210" s="70"/>
      <c r="J210" s="70"/>
      <c r="K210" s="69"/>
      <c r="L210" s="72"/>
      <c r="M210" s="73">
        <v>1587.045166015625</v>
      </c>
      <c r="N210" s="73">
        <v>2359.881103515625</v>
      </c>
      <c r="O210" s="74"/>
      <c r="P210" s="75"/>
      <c r="Q210" s="75"/>
      <c r="R210" s="78">
        <f t="shared" si="3"/>
        <v>11</v>
      </c>
      <c r="S210" s="47">
        <v>7</v>
      </c>
      <c r="T210" s="47">
        <v>4</v>
      </c>
      <c r="U210" s="48">
        <v>4.7769890000000004</v>
      </c>
      <c r="V210" s="48">
        <v>1.681E-3</v>
      </c>
      <c r="W210" s="48">
        <v>5.71E-4</v>
      </c>
      <c r="X210" s="49"/>
      <c r="Y210" s="48">
        <v>0.52777777777777779</v>
      </c>
      <c r="Z210" s="48"/>
      <c r="AA210" s="71">
        <v>210</v>
      </c>
      <c r="AB210" s="71"/>
      <c r="AC210" s="116">
        <v>3</v>
      </c>
      <c r="AD210" s="76"/>
      <c r="AE210" s="76">
        <v>159</v>
      </c>
      <c r="AF210" s="76">
        <v>1844</v>
      </c>
      <c r="AG210" s="76">
        <v>826</v>
      </c>
      <c r="AH210" s="76">
        <v>86</v>
      </c>
      <c r="AI210" s="76">
        <v>3600</v>
      </c>
      <c r="AJ210" s="76"/>
      <c r="AK210" s="76"/>
      <c r="AL210" s="92"/>
      <c r="AM210" s="76"/>
      <c r="AN210" s="76">
        <v>41624.352037037039</v>
      </c>
      <c r="AO210" s="76" t="s">
        <v>60</v>
      </c>
      <c r="AP210" s="76"/>
      <c r="AQ210" s="92"/>
      <c r="AR210" s="76"/>
      <c r="AS210" s="2"/>
      <c r="AT210" s="3"/>
      <c r="AU210" s="3"/>
      <c r="AV210" s="3"/>
      <c r="AW210" s="3"/>
    </row>
    <row r="211" spans="1:49" x14ac:dyDescent="0.25">
      <c r="A211" s="65"/>
      <c r="B211" s="66"/>
      <c r="C211" s="66"/>
      <c r="D211" s="67"/>
      <c r="E211" s="68"/>
      <c r="F211" s="93"/>
      <c r="G211" s="66"/>
      <c r="H211" s="69"/>
      <c r="I211" s="70"/>
      <c r="J211" s="70"/>
      <c r="K211" s="69"/>
      <c r="L211" s="72"/>
      <c r="M211" s="73">
        <v>2855.05322265625</v>
      </c>
      <c r="N211" s="73">
        <v>1270.4298095703125</v>
      </c>
      <c r="O211" s="74"/>
      <c r="P211" s="75"/>
      <c r="Q211" s="75"/>
      <c r="R211" s="78">
        <f t="shared" si="3"/>
        <v>4</v>
      </c>
      <c r="S211" s="47">
        <v>0</v>
      </c>
      <c r="T211" s="47">
        <v>4</v>
      </c>
      <c r="U211" s="48">
        <v>4.0449520000000003</v>
      </c>
      <c r="V211" s="48">
        <v>1.678E-3</v>
      </c>
      <c r="W211" s="48">
        <v>5.3399999999999997E-4</v>
      </c>
      <c r="X211" s="49"/>
      <c r="Y211" s="48">
        <v>0.41666666666666669</v>
      </c>
      <c r="Z211" s="48"/>
      <c r="AA211" s="71">
        <v>211</v>
      </c>
      <c r="AB211" s="71"/>
      <c r="AC211" s="116">
        <v>3</v>
      </c>
      <c r="AD211" s="76"/>
      <c r="AE211" s="76">
        <v>305</v>
      </c>
      <c r="AF211" s="76">
        <v>3598</v>
      </c>
      <c r="AG211" s="76">
        <v>1379</v>
      </c>
      <c r="AH211" s="76">
        <v>98</v>
      </c>
      <c r="AI211" s="76">
        <v>3600</v>
      </c>
      <c r="AJ211" s="76"/>
      <c r="AK211" s="76"/>
      <c r="AL211" s="92"/>
      <c r="AM211" s="76"/>
      <c r="AN211" s="76">
        <v>40575.549745370372</v>
      </c>
      <c r="AO211" s="76" t="s">
        <v>60</v>
      </c>
      <c r="AP211" s="76"/>
      <c r="AQ211" s="92"/>
      <c r="AR211" s="76"/>
      <c r="AS211" s="2"/>
      <c r="AT211" s="3"/>
      <c r="AU211" s="3"/>
      <c r="AV211" s="3"/>
      <c r="AW211" s="3"/>
    </row>
    <row r="212" spans="1:49" x14ac:dyDescent="0.25">
      <c r="A212" s="65"/>
      <c r="B212" s="66"/>
      <c r="C212" s="66"/>
      <c r="D212" s="67"/>
      <c r="E212" s="68"/>
      <c r="F212" s="93"/>
      <c r="G212" s="66"/>
      <c r="H212" s="69"/>
      <c r="I212" s="70"/>
      <c r="J212" s="70"/>
      <c r="K212" s="69"/>
      <c r="L212" s="72"/>
      <c r="M212" s="73">
        <v>2390.185546875</v>
      </c>
      <c r="N212" s="73">
        <v>4084.93017578125</v>
      </c>
      <c r="O212" s="74"/>
      <c r="P212" s="75"/>
      <c r="Q212" s="75"/>
      <c r="R212" s="78">
        <f t="shared" si="3"/>
        <v>33</v>
      </c>
      <c r="S212" s="47">
        <v>21</v>
      </c>
      <c r="T212" s="47">
        <v>12</v>
      </c>
      <c r="U212" s="48">
        <v>632.60359800000003</v>
      </c>
      <c r="V212" s="48">
        <v>2.1189999999999998E-3</v>
      </c>
      <c r="W212" s="48">
        <v>2.4030000000000002E-3</v>
      </c>
      <c r="X212" s="49"/>
      <c r="Y212" s="48">
        <v>0.30039525691699603</v>
      </c>
      <c r="Z212" s="48"/>
      <c r="AA212" s="71">
        <v>212</v>
      </c>
      <c r="AB212" s="71"/>
      <c r="AC212" s="116">
        <v>3</v>
      </c>
      <c r="AD212" s="76"/>
      <c r="AE212" s="76">
        <v>685</v>
      </c>
      <c r="AF212" s="76">
        <v>14270</v>
      </c>
      <c r="AG212" s="76">
        <v>6561</v>
      </c>
      <c r="AH212" s="76">
        <v>71</v>
      </c>
      <c r="AI212" s="76">
        <v>3600</v>
      </c>
      <c r="AJ212" s="76"/>
      <c r="AK212" s="76"/>
      <c r="AL212" s="92"/>
      <c r="AM212" s="76"/>
      <c r="AN212" s="76">
        <v>40255.593726851854</v>
      </c>
      <c r="AO212" s="76" t="s">
        <v>60</v>
      </c>
      <c r="AP212" s="76"/>
      <c r="AQ212" s="92"/>
      <c r="AR212" s="76"/>
      <c r="AS212" s="2"/>
      <c r="AT212" s="3"/>
      <c r="AU212" s="3"/>
      <c r="AV212" s="3"/>
      <c r="AW212" s="3"/>
    </row>
    <row r="213" spans="1:49" x14ac:dyDescent="0.25">
      <c r="A213" s="65"/>
      <c r="B213" s="66"/>
      <c r="C213" s="66"/>
      <c r="D213" s="67"/>
      <c r="E213" s="68"/>
      <c r="F213" s="93"/>
      <c r="G213" s="66"/>
      <c r="H213" s="69"/>
      <c r="I213" s="70"/>
      <c r="J213" s="70"/>
      <c r="K213" s="69"/>
      <c r="L213" s="72"/>
      <c r="M213" s="73">
        <v>3227.8212890625</v>
      </c>
      <c r="N213" s="73">
        <v>3735.927978515625</v>
      </c>
      <c r="O213" s="74"/>
      <c r="P213" s="75"/>
      <c r="Q213" s="75"/>
      <c r="R213" s="78">
        <f t="shared" si="3"/>
        <v>33</v>
      </c>
      <c r="S213" s="47">
        <v>18</v>
      </c>
      <c r="T213" s="47">
        <v>15</v>
      </c>
      <c r="U213" s="48">
        <v>416.77310499999999</v>
      </c>
      <c r="V213" s="48">
        <v>2.222E-3</v>
      </c>
      <c r="W213" s="48">
        <v>3.9430000000000003E-3</v>
      </c>
      <c r="X213" s="49"/>
      <c r="Y213" s="48">
        <v>0.26877470355731226</v>
      </c>
      <c r="Z213" s="48"/>
      <c r="AA213" s="71">
        <v>213</v>
      </c>
      <c r="AB213" s="71"/>
      <c r="AC213" s="116">
        <v>3</v>
      </c>
      <c r="AD213" s="76"/>
      <c r="AE213" s="76">
        <v>467</v>
      </c>
      <c r="AF213" s="76">
        <v>1533</v>
      </c>
      <c r="AG213" s="76">
        <v>886</v>
      </c>
      <c r="AH213" s="76">
        <v>27</v>
      </c>
      <c r="AI213" s="76">
        <v>3600</v>
      </c>
      <c r="AJ213" s="76"/>
      <c r="AK213" s="76"/>
      <c r="AL213" s="92"/>
      <c r="AM213" s="76"/>
      <c r="AN213" s="76">
        <v>41114.672442129631</v>
      </c>
      <c r="AO213" s="76" t="s">
        <v>60</v>
      </c>
      <c r="AP213" s="76"/>
      <c r="AQ213" s="92"/>
      <c r="AR213" s="76"/>
      <c r="AS213" s="2"/>
      <c r="AT213" s="3"/>
      <c r="AU213" s="3"/>
      <c r="AV213" s="3"/>
      <c r="AW213" s="3"/>
    </row>
    <row r="214" spans="1:49" x14ac:dyDescent="0.25">
      <c r="A214" s="65"/>
      <c r="B214" s="66"/>
      <c r="C214" s="66"/>
      <c r="D214" s="67"/>
      <c r="E214" s="68"/>
      <c r="F214" s="93"/>
      <c r="G214" s="66"/>
      <c r="H214" s="69"/>
      <c r="I214" s="70"/>
      <c r="J214" s="70"/>
      <c r="K214" s="69"/>
      <c r="L214" s="72"/>
      <c r="M214" s="73">
        <v>2944.885498046875</v>
      </c>
      <c r="N214" s="73">
        <v>3197.51611328125</v>
      </c>
      <c r="O214" s="74"/>
      <c r="P214" s="75"/>
      <c r="Q214" s="75"/>
      <c r="R214" s="78">
        <f t="shared" si="3"/>
        <v>9</v>
      </c>
      <c r="S214" s="47">
        <v>2</v>
      </c>
      <c r="T214" s="47">
        <v>7</v>
      </c>
      <c r="U214" s="48">
        <v>25.653611999999999</v>
      </c>
      <c r="V214" s="48">
        <v>2.0409999999999998E-3</v>
      </c>
      <c r="W214" s="48">
        <v>1.9550000000000001E-3</v>
      </c>
      <c r="X214" s="49"/>
      <c r="Y214" s="48">
        <v>0.39285714285714285</v>
      </c>
      <c r="Z214" s="48"/>
      <c r="AA214" s="71">
        <v>214</v>
      </c>
      <c r="AB214" s="71"/>
      <c r="AC214" s="116">
        <v>3</v>
      </c>
      <c r="AD214" s="76"/>
      <c r="AE214" s="76">
        <v>105</v>
      </c>
      <c r="AF214" s="76">
        <v>163</v>
      </c>
      <c r="AG214" s="76">
        <v>961</v>
      </c>
      <c r="AH214" s="76">
        <v>116</v>
      </c>
      <c r="AI214" s="76">
        <v>3600</v>
      </c>
      <c r="AJ214" s="76"/>
      <c r="AK214" s="76"/>
      <c r="AL214" s="92"/>
      <c r="AM214" s="76"/>
      <c r="AN214" s="76">
        <v>42124.417314814818</v>
      </c>
      <c r="AO214" s="76" t="s">
        <v>60</v>
      </c>
      <c r="AP214" s="76"/>
      <c r="AQ214" s="92"/>
      <c r="AR214" s="76"/>
      <c r="AS214" s="2"/>
      <c r="AT214" s="3"/>
      <c r="AU214" s="3"/>
      <c r="AV214" s="3"/>
      <c r="AW214" s="3"/>
    </row>
    <row r="215" spans="1:49" x14ac:dyDescent="0.25">
      <c r="A215" s="65"/>
      <c r="B215" s="66"/>
      <c r="C215" s="66"/>
      <c r="D215" s="67"/>
      <c r="E215" s="68"/>
      <c r="F215" s="93"/>
      <c r="G215" s="66"/>
      <c r="H215" s="69"/>
      <c r="I215" s="70"/>
      <c r="J215" s="70"/>
      <c r="K215" s="69"/>
      <c r="L215" s="72"/>
      <c r="M215" s="73">
        <v>2446.91796875</v>
      </c>
      <c r="N215" s="73">
        <v>978.05487060546875</v>
      </c>
      <c r="O215" s="74"/>
      <c r="P215" s="75"/>
      <c r="Q215" s="75"/>
      <c r="R215" s="78">
        <f t="shared" si="3"/>
        <v>3</v>
      </c>
      <c r="S215" s="47">
        <v>2</v>
      </c>
      <c r="T215" s="47">
        <v>1</v>
      </c>
      <c r="U215" s="48">
        <v>0.4</v>
      </c>
      <c r="V215" s="48">
        <v>1.585E-3</v>
      </c>
      <c r="W215" s="48">
        <v>3.2200000000000002E-4</v>
      </c>
      <c r="X215" s="49"/>
      <c r="Y215" s="48">
        <v>0.5</v>
      </c>
      <c r="Z215" s="48"/>
      <c r="AA215" s="71">
        <v>215</v>
      </c>
      <c r="AB215" s="71"/>
      <c r="AC215" s="116">
        <v>3</v>
      </c>
      <c r="AD215" s="76"/>
      <c r="AE215" s="76">
        <v>137</v>
      </c>
      <c r="AF215" s="76">
        <v>924</v>
      </c>
      <c r="AG215" s="76">
        <v>475</v>
      </c>
      <c r="AH215" s="76">
        <v>30</v>
      </c>
      <c r="AI215" s="76">
        <v>3600</v>
      </c>
      <c r="AJ215" s="76"/>
      <c r="AK215" s="76"/>
      <c r="AL215" s="92"/>
      <c r="AM215" s="76"/>
      <c r="AN215" s="76">
        <v>40829.271898148145</v>
      </c>
      <c r="AO215" s="76" t="s">
        <v>60</v>
      </c>
      <c r="AP215" s="76"/>
      <c r="AQ215" s="92"/>
      <c r="AR215" s="76"/>
      <c r="AS215" s="2"/>
      <c r="AT215" s="3"/>
      <c r="AU215" s="3"/>
      <c r="AV215" s="3"/>
      <c r="AW215" s="3"/>
    </row>
    <row r="216" spans="1:49" x14ac:dyDescent="0.25">
      <c r="A216" s="65"/>
      <c r="B216" s="66"/>
      <c r="C216" s="66"/>
      <c r="D216" s="67"/>
      <c r="E216" s="68"/>
      <c r="F216" s="93"/>
      <c r="G216" s="66"/>
      <c r="H216" s="69"/>
      <c r="I216" s="70"/>
      <c r="J216" s="70"/>
      <c r="K216" s="69"/>
      <c r="L216" s="72"/>
      <c r="M216" s="73">
        <v>2305.561767578125</v>
      </c>
      <c r="N216" s="73">
        <v>4551.0458984375</v>
      </c>
      <c r="O216" s="74"/>
      <c r="P216" s="75"/>
      <c r="Q216" s="75"/>
      <c r="R216" s="78">
        <f t="shared" si="3"/>
        <v>19</v>
      </c>
      <c r="S216" s="47">
        <v>3</v>
      </c>
      <c r="T216" s="47">
        <v>16</v>
      </c>
      <c r="U216" s="48">
        <v>173.63466199999999</v>
      </c>
      <c r="V216" s="48">
        <v>2.0960000000000002E-3</v>
      </c>
      <c r="W216" s="48">
        <v>1.9680000000000001E-3</v>
      </c>
      <c r="X216" s="49"/>
      <c r="Y216" s="48">
        <v>0.3</v>
      </c>
      <c r="Z216" s="48"/>
      <c r="AA216" s="71">
        <v>216</v>
      </c>
      <c r="AB216" s="71"/>
      <c r="AC216" s="116">
        <v>3</v>
      </c>
      <c r="AD216" s="76"/>
      <c r="AE216" s="76">
        <v>649</v>
      </c>
      <c r="AF216" s="76">
        <v>966</v>
      </c>
      <c r="AG216" s="76">
        <v>2746</v>
      </c>
      <c r="AH216" s="76">
        <v>16</v>
      </c>
      <c r="AI216" s="76">
        <v>3600</v>
      </c>
      <c r="AJ216" s="76"/>
      <c r="AK216" s="76"/>
      <c r="AL216" s="92"/>
      <c r="AM216" s="76"/>
      <c r="AN216" s="76">
        <v>41691.715069444443</v>
      </c>
      <c r="AO216" s="76" t="s">
        <v>60</v>
      </c>
      <c r="AP216" s="76"/>
      <c r="AQ216" s="92"/>
      <c r="AR216" s="76"/>
      <c r="AS216" s="2"/>
      <c r="AT216" s="3"/>
      <c r="AU216" s="3"/>
      <c r="AV216" s="3"/>
      <c r="AW216" s="3"/>
    </row>
    <row r="217" spans="1:49" x14ac:dyDescent="0.25">
      <c r="A217" s="65"/>
      <c r="B217" s="66"/>
      <c r="C217" s="66"/>
      <c r="D217" s="67"/>
      <c r="E217" s="68"/>
      <c r="F217" s="93"/>
      <c r="G217" s="66"/>
      <c r="H217" s="69"/>
      <c r="I217" s="70"/>
      <c r="J217" s="70"/>
      <c r="K217" s="69"/>
      <c r="L217" s="72"/>
      <c r="M217" s="73">
        <v>2490.699462890625</v>
      </c>
      <c r="N217" s="73">
        <v>1765.373046875</v>
      </c>
      <c r="O217" s="74"/>
      <c r="P217" s="75"/>
      <c r="Q217" s="75"/>
      <c r="R217" s="78">
        <f t="shared" si="3"/>
        <v>7</v>
      </c>
      <c r="S217" s="47">
        <v>7</v>
      </c>
      <c r="T217" s="47">
        <v>0</v>
      </c>
      <c r="U217" s="48">
        <v>7.1325599999999998</v>
      </c>
      <c r="V217" s="48">
        <v>1.7149999999999999E-3</v>
      </c>
      <c r="W217" s="48">
        <v>7.8700000000000005E-4</v>
      </c>
      <c r="X217" s="49"/>
      <c r="Y217" s="48">
        <v>0.2857142857142857</v>
      </c>
      <c r="Z217" s="48"/>
      <c r="AA217" s="71">
        <v>217</v>
      </c>
      <c r="AB217" s="71"/>
      <c r="AC217" s="116">
        <v>3</v>
      </c>
      <c r="AD217" s="76"/>
      <c r="AE217" s="76">
        <v>394</v>
      </c>
      <c r="AF217" s="76">
        <v>2243</v>
      </c>
      <c r="AG217" s="76">
        <v>297</v>
      </c>
      <c r="AH217" s="76">
        <v>35</v>
      </c>
      <c r="AI217" s="76">
        <v>3600</v>
      </c>
      <c r="AJ217" s="76"/>
      <c r="AK217" s="76"/>
      <c r="AL217" s="92"/>
      <c r="AM217" s="76"/>
      <c r="AN217" s="76">
        <v>40869.661469907405</v>
      </c>
      <c r="AO217" s="76" t="s">
        <v>60</v>
      </c>
      <c r="AP217" s="76"/>
      <c r="AQ217" s="92"/>
      <c r="AR217" s="76"/>
      <c r="AS217" s="2"/>
      <c r="AT217" s="3"/>
      <c r="AU217" s="3"/>
      <c r="AV217" s="3"/>
      <c r="AW217" s="3"/>
    </row>
    <row r="218" spans="1:49" x14ac:dyDescent="0.25">
      <c r="A218" s="65"/>
      <c r="B218" s="66"/>
      <c r="C218" s="66"/>
      <c r="D218" s="67"/>
      <c r="E218" s="68"/>
      <c r="F218" s="93"/>
      <c r="G218" s="66"/>
      <c r="H218" s="69"/>
      <c r="I218" s="70"/>
      <c r="J218" s="70"/>
      <c r="K218" s="69"/>
      <c r="L218" s="72"/>
      <c r="M218" s="73">
        <v>1164.931640625</v>
      </c>
      <c r="N218" s="73">
        <v>2396.54345703125</v>
      </c>
      <c r="O218" s="74"/>
      <c r="P218" s="75"/>
      <c r="Q218" s="75"/>
      <c r="R218" s="78">
        <f t="shared" si="3"/>
        <v>12</v>
      </c>
      <c r="S218" s="47">
        <v>7</v>
      </c>
      <c r="T218" s="47">
        <v>5</v>
      </c>
      <c r="U218" s="48">
        <v>1.6476409999999999</v>
      </c>
      <c r="V218" s="48">
        <v>1.5969999999999999E-3</v>
      </c>
      <c r="W218" s="48">
        <v>5.7600000000000001E-4</v>
      </c>
      <c r="X218" s="49"/>
      <c r="Y218" s="48">
        <v>0.625</v>
      </c>
      <c r="Z218" s="48"/>
      <c r="AA218" s="71">
        <v>218</v>
      </c>
      <c r="AB218" s="71"/>
      <c r="AC218" s="116">
        <v>3</v>
      </c>
      <c r="AD218" s="76"/>
      <c r="AE218" s="76">
        <v>70</v>
      </c>
      <c r="AF218" s="76">
        <v>3562</v>
      </c>
      <c r="AG218" s="76">
        <v>3712</v>
      </c>
      <c r="AH218" s="76">
        <v>0</v>
      </c>
      <c r="AI218" s="76">
        <v>3600</v>
      </c>
      <c r="AJ218" s="76"/>
      <c r="AK218" s="76"/>
      <c r="AL218" s="92"/>
      <c r="AM218" s="76"/>
      <c r="AN218" s="76">
        <v>40596.615370370368</v>
      </c>
      <c r="AO218" s="76" t="s">
        <v>60</v>
      </c>
      <c r="AP218" s="76"/>
      <c r="AQ218" s="92"/>
      <c r="AR218" s="76"/>
      <c r="AS218" s="2"/>
      <c r="AT218" s="3"/>
      <c r="AU218" s="3"/>
      <c r="AV218" s="3"/>
      <c r="AW218" s="3"/>
    </row>
    <row r="219" spans="1:49" x14ac:dyDescent="0.25">
      <c r="A219" s="65"/>
      <c r="B219" s="66"/>
      <c r="C219" s="66"/>
      <c r="D219" s="67"/>
      <c r="E219" s="68"/>
      <c r="F219" s="93"/>
      <c r="G219" s="66"/>
      <c r="H219" s="69"/>
      <c r="I219" s="70"/>
      <c r="J219" s="70"/>
      <c r="K219" s="69"/>
      <c r="L219" s="72"/>
      <c r="M219" s="73">
        <v>96.188484191894531</v>
      </c>
      <c r="N219" s="73">
        <v>4395.158203125</v>
      </c>
      <c r="O219" s="74"/>
      <c r="P219" s="75"/>
      <c r="Q219" s="75"/>
      <c r="R219" s="78">
        <f t="shared" si="3"/>
        <v>2</v>
      </c>
      <c r="S219" s="47">
        <v>1</v>
      </c>
      <c r="T219" s="47">
        <v>1</v>
      </c>
      <c r="U219" s="48">
        <v>0</v>
      </c>
      <c r="V219" s="48">
        <v>1.4679999999999999E-3</v>
      </c>
      <c r="W219" s="48">
        <v>7.7000000000000001E-5</v>
      </c>
      <c r="X219" s="49"/>
      <c r="Y219" s="48">
        <v>0</v>
      </c>
      <c r="Z219" s="48"/>
      <c r="AA219" s="71">
        <v>219</v>
      </c>
      <c r="AB219" s="71"/>
      <c r="AC219" s="116">
        <v>3</v>
      </c>
      <c r="AD219" s="76"/>
      <c r="AE219" s="76">
        <v>720</v>
      </c>
      <c r="AF219" s="76">
        <v>1097</v>
      </c>
      <c r="AG219" s="76">
        <v>653</v>
      </c>
      <c r="AH219" s="76">
        <v>9</v>
      </c>
      <c r="AI219" s="76">
        <v>7200</v>
      </c>
      <c r="AJ219" s="76"/>
      <c r="AK219" s="76"/>
      <c r="AL219" s="92"/>
      <c r="AM219" s="76"/>
      <c r="AN219" s="76">
        <v>40774.876481481479</v>
      </c>
      <c r="AO219" s="76" t="s">
        <v>60</v>
      </c>
      <c r="AP219" s="76"/>
      <c r="AQ219" s="92"/>
      <c r="AR219" s="76"/>
      <c r="AS219" s="2"/>
      <c r="AT219" s="3"/>
      <c r="AU219" s="3"/>
      <c r="AV219" s="3"/>
      <c r="AW219" s="3"/>
    </row>
    <row r="220" spans="1:49" x14ac:dyDescent="0.25">
      <c r="A220" s="65"/>
      <c r="B220" s="66"/>
      <c r="C220" s="66"/>
      <c r="D220" s="67"/>
      <c r="E220" s="68"/>
      <c r="F220" s="93"/>
      <c r="G220" s="66"/>
      <c r="H220" s="69"/>
      <c r="I220" s="70"/>
      <c r="J220" s="70"/>
      <c r="K220" s="69"/>
      <c r="L220" s="72"/>
      <c r="M220" s="73">
        <v>342.95266723632812</v>
      </c>
      <c r="N220" s="73">
        <v>3320.52734375</v>
      </c>
      <c r="O220" s="74"/>
      <c r="P220" s="75"/>
      <c r="Q220" s="75"/>
      <c r="R220" s="78">
        <f t="shared" si="3"/>
        <v>6</v>
      </c>
      <c r="S220" s="47">
        <v>4</v>
      </c>
      <c r="T220" s="47">
        <v>2</v>
      </c>
      <c r="U220" s="48">
        <v>0</v>
      </c>
      <c r="V220" s="48">
        <v>1.4989999999999999E-3</v>
      </c>
      <c r="W220" s="48">
        <v>2.7500000000000002E-4</v>
      </c>
      <c r="X220" s="49"/>
      <c r="Y220" s="48">
        <v>1</v>
      </c>
      <c r="Z220" s="48"/>
      <c r="AA220" s="71">
        <v>220</v>
      </c>
      <c r="AB220" s="71"/>
      <c r="AC220" s="116">
        <v>3</v>
      </c>
      <c r="AD220" s="76"/>
      <c r="AE220" s="76">
        <v>1972</v>
      </c>
      <c r="AF220" s="76">
        <v>4857</v>
      </c>
      <c r="AG220" s="76">
        <v>1060</v>
      </c>
      <c r="AH220" s="76">
        <v>13</v>
      </c>
      <c r="AI220" s="76">
        <v>3600</v>
      </c>
      <c r="AJ220" s="76"/>
      <c r="AK220" s="76"/>
      <c r="AL220" s="92"/>
      <c r="AM220" s="76"/>
      <c r="AN220" s="76">
        <v>40769.570833333331</v>
      </c>
      <c r="AO220" s="76" t="s">
        <v>60</v>
      </c>
      <c r="AP220" s="76"/>
      <c r="AQ220" s="92"/>
      <c r="AR220" s="76"/>
      <c r="AS220" s="2"/>
      <c r="AT220" s="3"/>
      <c r="AU220" s="3"/>
      <c r="AV220" s="3"/>
      <c r="AW220" s="3"/>
    </row>
    <row r="221" spans="1:49" x14ac:dyDescent="0.25">
      <c r="A221" s="65"/>
      <c r="B221" s="66"/>
      <c r="C221" s="66"/>
      <c r="D221" s="67"/>
      <c r="E221" s="68"/>
      <c r="F221" s="93"/>
      <c r="G221" s="66"/>
      <c r="H221" s="69"/>
      <c r="I221" s="70"/>
      <c r="J221" s="70"/>
      <c r="K221" s="69"/>
      <c r="L221" s="72"/>
      <c r="M221" s="73">
        <v>2554.573486328125</v>
      </c>
      <c r="N221" s="73">
        <v>3661.761474609375</v>
      </c>
      <c r="O221" s="74"/>
      <c r="P221" s="75"/>
      <c r="Q221" s="75"/>
      <c r="R221" s="78">
        <f t="shared" si="3"/>
        <v>31</v>
      </c>
      <c r="S221" s="47">
        <v>13</v>
      </c>
      <c r="T221" s="47">
        <v>18</v>
      </c>
      <c r="U221" s="48">
        <v>339.54198700000001</v>
      </c>
      <c r="V221" s="48">
        <v>2.1099999999999999E-3</v>
      </c>
      <c r="W221" s="48">
        <v>2.2769999999999999E-3</v>
      </c>
      <c r="X221" s="49"/>
      <c r="Y221" s="48">
        <v>0.36257309941520466</v>
      </c>
      <c r="Z221" s="48"/>
      <c r="AA221" s="71">
        <v>221</v>
      </c>
      <c r="AB221" s="71"/>
      <c r="AC221" s="116">
        <v>3</v>
      </c>
      <c r="AD221" s="76"/>
      <c r="AE221" s="76">
        <v>3316</v>
      </c>
      <c r="AF221" s="76">
        <v>6888</v>
      </c>
      <c r="AG221" s="76">
        <v>6496</v>
      </c>
      <c r="AH221" s="76">
        <v>850</v>
      </c>
      <c r="AI221" s="76">
        <v>3600</v>
      </c>
      <c r="AJ221" s="76"/>
      <c r="AK221" s="76"/>
      <c r="AL221" s="92"/>
      <c r="AM221" s="76"/>
      <c r="AN221" s="76">
        <v>40802.340671296297</v>
      </c>
      <c r="AO221" s="76" t="s">
        <v>60</v>
      </c>
      <c r="AP221" s="76"/>
      <c r="AQ221" s="92"/>
      <c r="AR221" s="76"/>
      <c r="AS221" s="2"/>
      <c r="AT221" s="3"/>
      <c r="AU221" s="3"/>
      <c r="AV221" s="3"/>
      <c r="AW221" s="3"/>
    </row>
    <row r="222" spans="1:49" x14ac:dyDescent="0.25">
      <c r="A222" s="118"/>
      <c r="B222" s="66"/>
      <c r="C222" s="96"/>
      <c r="D222" s="99"/>
      <c r="E222" s="95"/>
      <c r="F222" s="96"/>
      <c r="G222" s="96"/>
      <c r="H222" s="100"/>
      <c r="I222" s="101"/>
      <c r="J222" s="101"/>
      <c r="K222" s="100"/>
      <c r="L222" s="102"/>
      <c r="M222" s="103">
        <v>1049.69970703125</v>
      </c>
      <c r="N222" s="103">
        <v>1792.7532958984375</v>
      </c>
      <c r="O222" s="104"/>
      <c r="P222" s="105"/>
      <c r="Q222" s="105"/>
      <c r="R222" s="106">
        <f t="shared" si="3"/>
        <v>8</v>
      </c>
      <c r="S222" s="47">
        <v>4</v>
      </c>
      <c r="T222" s="47">
        <v>4</v>
      </c>
      <c r="U222" s="48">
        <v>0</v>
      </c>
      <c r="V222" s="48">
        <v>1.5039999999999999E-3</v>
      </c>
      <c r="W222" s="48">
        <v>3.5E-4</v>
      </c>
      <c r="X222" s="107"/>
      <c r="Y222" s="48">
        <v>0.95</v>
      </c>
      <c r="Z222" s="108"/>
      <c r="AA222" s="109">
        <v>222</v>
      </c>
      <c r="AB222" s="109"/>
      <c r="AC222" s="116">
        <v>3</v>
      </c>
      <c r="AD222" s="97"/>
      <c r="AE222" s="97"/>
      <c r="AF222" s="97"/>
      <c r="AG222" s="97"/>
      <c r="AH222" s="97"/>
      <c r="AI222" s="97"/>
      <c r="AJ222" s="97"/>
      <c r="AK222" s="97"/>
      <c r="AL222" s="97"/>
      <c r="AM222" s="97"/>
      <c r="AN222" s="97"/>
      <c r="AO222" s="97"/>
      <c r="AP222" s="97"/>
      <c r="AQ222" s="97"/>
      <c r="AR222" s="76"/>
      <c r="AS222" s="2"/>
      <c r="AT222" s="3"/>
      <c r="AU222" s="3"/>
      <c r="AV222" s="3"/>
      <c r="AW222" s="3"/>
    </row>
    <row r="223" spans="1:49" x14ac:dyDescent="0.25">
      <c r="A223" s="65"/>
      <c r="B223" s="66"/>
      <c r="C223" s="66"/>
      <c r="D223" s="67"/>
      <c r="E223" s="68"/>
      <c r="F223" s="93"/>
      <c r="G223" s="66"/>
      <c r="H223" s="69"/>
      <c r="I223" s="70"/>
      <c r="J223" s="70"/>
      <c r="K223" s="69"/>
      <c r="L223" s="72"/>
      <c r="M223" s="73">
        <v>2756.37255859375</v>
      </c>
      <c r="N223" s="73">
        <v>3219.738525390625</v>
      </c>
      <c r="O223" s="74"/>
      <c r="P223" s="75"/>
      <c r="Q223" s="75"/>
      <c r="R223" s="78">
        <f t="shared" si="3"/>
        <v>27</v>
      </c>
      <c r="S223" s="47">
        <v>6</v>
      </c>
      <c r="T223" s="47">
        <v>21</v>
      </c>
      <c r="U223" s="48">
        <v>372.03411999999997</v>
      </c>
      <c r="V223" s="48">
        <v>2.1189999999999998E-3</v>
      </c>
      <c r="W223" s="48">
        <v>2.3540000000000002E-3</v>
      </c>
      <c r="X223" s="49"/>
      <c r="Y223" s="48">
        <v>0.34047619047619049</v>
      </c>
      <c r="Z223" s="48"/>
      <c r="AA223" s="71">
        <v>223</v>
      </c>
      <c r="AB223" s="71"/>
      <c r="AC223" s="116">
        <v>3</v>
      </c>
      <c r="AD223" s="76"/>
      <c r="AE223" s="76">
        <v>1026</v>
      </c>
      <c r="AF223" s="76">
        <v>944</v>
      </c>
      <c r="AG223" s="76">
        <v>9144</v>
      </c>
      <c r="AH223" s="76">
        <v>100</v>
      </c>
      <c r="AI223" s="76">
        <v>3600</v>
      </c>
      <c r="AJ223" s="76"/>
      <c r="AK223" s="76"/>
      <c r="AL223" s="92"/>
      <c r="AM223" s="76"/>
      <c r="AN223" s="76">
        <v>41921.519745370373</v>
      </c>
      <c r="AO223" s="76" t="s">
        <v>60</v>
      </c>
      <c r="AP223" s="76"/>
      <c r="AQ223" s="92"/>
      <c r="AR223" s="76"/>
      <c r="AS223" s="2"/>
      <c r="AT223" s="3"/>
      <c r="AU223" s="3"/>
      <c r="AV223" s="3"/>
      <c r="AW223" s="3"/>
    </row>
    <row r="224" spans="1:49" x14ac:dyDescent="0.25">
      <c r="A224" s="65"/>
      <c r="B224" s="66"/>
      <c r="C224" s="66"/>
      <c r="D224" s="67"/>
      <c r="E224" s="68"/>
      <c r="F224" s="93"/>
      <c r="G224" s="66"/>
      <c r="H224" s="69"/>
      <c r="I224" s="70"/>
      <c r="J224" s="70"/>
      <c r="K224" s="69"/>
      <c r="L224" s="72"/>
      <c r="M224" s="73">
        <v>2276.37548828125</v>
      </c>
      <c r="N224" s="73">
        <v>2515.737060546875</v>
      </c>
      <c r="O224" s="74"/>
      <c r="P224" s="75"/>
      <c r="Q224" s="75"/>
      <c r="R224" s="78">
        <f t="shared" si="3"/>
        <v>22</v>
      </c>
      <c r="S224" s="47">
        <v>5</v>
      </c>
      <c r="T224" s="47">
        <v>17</v>
      </c>
      <c r="U224" s="48">
        <v>128.192465</v>
      </c>
      <c r="V224" s="48">
        <v>1.8550000000000001E-3</v>
      </c>
      <c r="W224" s="48">
        <v>1.4580000000000001E-3</v>
      </c>
      <c r="X224" s="49"/>
      <c r="Y224" s="48">
        <v>0.38562091503267976</v>
      </c>
      <c r="Z224" s="48"/>
      <c r="AA224" s="71">
        <v>224</v>
      </c>
      <c r="AB224" s="71"/>
      <c r="AC224" s="116">
        <v>3</v>
      </c>
      <c r="AD224" s="76"/>
      <c r="AE224" s="76">
        <v>1809</v>
      </c>
      <c r="AF224" s="76">
        <v>1162</v>
      </c>
      <c r="AG224" s="76">
        <v>4227</v>
      </c>
      <c r="AH224" s="76">
        <v>54</v>
      </c>
      <c r="AI224" s="76">
        <v>-25200</v>
      </c>
      <c r="AJ224" s="76"/>
      <c r="AK224" s="76"/>
      <c r="AL224" s="92"/>
      <c r="AM224" s="76"/>
      <c r="AN224" s="76">
        <v>41922.539583333331</v>
      </c>
      <c r="AO224" s="76" t="s">
        <v>60</v>
      </c>
      <c r="AP224" s="76"/>
      <c r="AQ224" s="92"/>
      <c r="AR224" s="76"/>
      <c r="AS224" s="2"/>
      <c r="AT224" s="3"/>
      <c r="AU224" s="3"/>
      <c r="AV224" s="3"/>
      <c r="AW224" s="3"/>
    </row>
    <row r="225" spans="1:49" x14ac:dyDescent="0.25">
      <c r="A225" s="65"/>
      <c r="B225" s="66"/>
      <c r="C225" s="79"/>
      <c r="D225" s="80"/>
      <c r="E225" s="81"/>
      <c r="F225" s="94"/>
      <c r="G225" s="79"/>
      <c r="H225" s="82"/>
      <c r="I225" s="83"/>
      <c r="J225" s="83"/>
      <c r="K225" s="82"/>
      <c r="L225" s="84"/>
      <c r="M225" s="85">
        <v>1237.9569091796875</v>
      </c>
      <c r="N225" s="85">
        <v>3718.629638671875</v>
      </c>
      <c r="O225" s="86"/>
      <c r="P225" s="87"/>
      <c r="Q225" s="87"/>
      <c r="R225" s="88">
        <f t="shared" si="3"/>
        <v>14</v>
      </c>
      <c r="S225" s="47">
        <v>6</v>
      </c>
      <c r="T225" s="47">
        <v>8</v>
      </c>
      <c r="U225" s="48">
        <v>19.306432999999998</v>
      </c>
      <c r="V225" s="48">
        <v>1.7329999999999999E-3</v>
      </c>
      <c r="W225" s="48">
        <v>8.7200000000000005E-4</v>
      </c>
      <c r="X225" s="89"/>
      <c r="Y225" s="48">
        <v>0.44545454545454544</v>
      </c>
      <c r="Z225" s="90"/>
      <c r="AA225" s="91">
        <v>225</v>
      </c>
      <c r="AB225" s="91"/>
      <c r="AC225" s="116">
        <v>3</v>
      </c>
      <c r="AD225" s="76"/>
      <c r="AE225" s="76">
        <v>653</v>
      </c>
      <c r="AF225" s="76">
        <v>1836</v>
      </c>
      <c r="AG225" s="76">
        <v>1138</v>
      </c>
      <c r="AH225" s="76">
        <v>405</v>
      </c>
      <c r="AI225" s="76">
        <v>3600</v>
      </c>
      <c r="AJ225" s="76"/>
      <c r="AK225" s="76"/>
      <c r="AL225" s="92"/>
      <c r="AM225" s="76"/>
      <c r="AN225" s="76">
        <v>41346.395937499998</v>
      </c>
      <c r="AO225" s="76" t="s">
        <v>60</v>
      </c>
      <c r="AP225" s="76"/>
      <c r="AQ225" s="92"/>
      <c r="AR225" s="76"/>
      <c r="AS225" s="2"/>
      <c r="AT225" s="3"/>
      <c r="AU225" s="3"/>
      <c r="AV225" s="3"/>
      <c r="AW225" s="3"/>
    </row>
    <row r="226" spans="1:49" x14ac:dyDescent="0.25">
      <c r="A226" s="65"/>
      <c r="B226" s="66"/>
      <c r="C226" s="66"/>
      <c r="D226" s="67"/>
      <c r="E226" s="68"/>
      <c r="F226" s="93"/>
      <c r="G226" s="66"/>
      <c r="H226" s="69"/>
      <c r="I226" s="70"/>
      <c r="J226" s="70"/>
      <c r="K226" s="69"/>
      <c r="L226" s="72"/>
      <c r="M226" s="73">
        <v>2281.318359375</v>
      </c>
      <c r="N226" s="73">
        <v>3847.40625</v>
      </c>
      <c r="O226" s="74"/>
      <c r="P226" s="75"/>
      <c r="Q226" s="75"/>
      <c r="R226" s="78">
        <f t="shared" si="3"/>
        <v>16</v>
      </c>
      <c r="S226" s="47">
        <v>13</v>
      </c>
      <c r="T226" s="47">
        <v>3</v>
      </c>
      <c r="U226" s="48">
        <v>180.426108</v>
      </c>
      <c r="V226" s="48">
        <v>2.0409999999999998E-3</v>
      </c>
      <c r="W226" s="48">
        <v>1.5870000000000001E-3</v>
      </c>
      <c r="X226" s="49"/>
      <c r="Y226" s="48">
        <v>0.35714285714285715</v>
      </c>
      <c r="Z226" s="48"/>
      <c r="AA226" s="71">
        <v>226</v>
      </c>
      <c r="AB226" s="71"/>
      <c r="AC226" s="116">
        <v>3</v>
      </c>
      <c r="AD226" s="76"/>
      <c r="AE226" s="76">
        <v>579</v>
      </c>
      <c r="AF226" s="76">
        <v>10418</v>
      </c>
      <c r="AG226" s="76">
        <v>369</v>
      </c>
      <c r="AH226" s="76">
        <v>27</v>
      </c>
      <c r="AI226" s="76">
        <v>3600</v>
      </c>
      <c r="AJ226" s="76"/>
      <c r="AK226" s="76"/>
      <c r="AL226" s="92"/>
      <c r="AM226" s="76"/>
      <c r="AN226" s="76">
        <v>40395.509525462963</v>
      </c>
      <c r="AO226" s="76" t="s">
        <v>60</v>
      </c>
      <c r="AP226" s="76"/>
      <c r="AQ226" s="92"/>
      <c r="AR226" s="76"/>
    </row>
    <row r="227" spans="1:49" x14ac:dyDescent="0.25">
      <c r="A227" s="65"/>
      <c r="B227" s="66"/>
      <c r="C227" s="66"/>
      <c r="D227" s="67"/>
      <c r="E227" s="68"/>
      <c r="F227" s="93"/>
      <c r="G227" s="66"/>
      <c r="H227" s="69"/>
      <c r="I227" s="70"/>
      <c r="J227" s="70"/>
      <c r="K227" s="69"/>
      <c r="L227" s="72"/>
      <c r="M227" s="73">
        <v>2550.548095703125</v>
      </c>
      <c r="N227" s="73">
        <v>3900.38037109375</v>
      </c>
      <c r="O227" s="74"/>
      <c r="P227" s="75"/>
      <c r="Q227" s="75"/>
      <c r="R227" s="78">
        <f t="shared" si="3"/>
        <v>29</v>
      </c>
      <c r="S227" s="47">
        <v>13</v>
      </c>
      <c r="T227" s="47">
        <v>16</v>
      </c>
      <c r="U227" s="48">
        <v>322.98824300000001</v>
      </c>
      <c r="V227" s="48">
        <v>2.1189999999999998E-3</v>
      </c>
      <c r="W227" s="48">
        <v>2.2569999999999999E-3</v>
      </c>
      <c r="X227" s="49"/>
      <c r="Y227" s="48">
        <v>0.34210526315789475</v>
      </c>
      <c r="Z227" s="48"/>
      <c r="AA227" s="71">
        <v>227</v>
      </c>
      <c r="AB227" s="71"/>
      <c r="AC227" s="116">
        <v>3</v>
      </c>
      <c r="AD227" s="76"/>
      <c r="AE227" s="76">
        <v>964</v>
      </c>
      <c r="AF227" s="76">
        <v>2931</v>
      </c>
      <c r="AG227" s="76">
        <v>4267</v>
      </c>
      <c r="AH227" s="76">
        <v>264</v>
      </c>
      <c r="AI227" s="76">
        <v>3600</v>
      </c>
      <c r="AJ227" s="76"/>
      <c r="AK227" s="76"/>
      <c r="AL227" s="92"/>
      <c r="AM227" s="76"/>
      <c r="AN227" s="76">
        <v>41346.158078703702</v>
      </c>
      <c r="AO227" s="76" t="s">
        <v>60</v>
      </c>
      <c r="AP227" s="76"/>
      <c r="AQ227" s="92"/>
      <c r="AR227" s="76"/>
    </row>
    <row r="228" spans="1:49" x14ac:dyDescent="0.25">
      <c r="A228" s="65"/>
      <c r="B228" s="79"/>
      <c r="C228" s="79"/>
      <c r="D228" s="80"/>
      <c r="E228" s="81"/>
      <c r="F228" s="94"/>
      <c r="G228" s="79"/>
      <c r="H228" s="82"/>
      <c r="I228" s="83"/>
      <c r="J228" s="83"/>
      <c r="K228" s="82"/>
      <c r="L228" s="84"/>
      <c r="M228" s="85">
        <v>4632.76220703125</v>
      </c>
      <c r="N228" s="85">
        <v>4911.14453125</v>
      </c>
      <c r="O228" s="86"/>
      <c r="P228" s="87"/>
      <c r="Q228" s="87"/>
      <c r="R228" s="88">
        <f t="shared" si="3"/>
        <v>120</v>
      </c>
      <c r="S228" s="47">
        <v>112</v>
      </c>
      <c r="T228" s="47">
        <v>8</v>
      </c>
      <c r="U228" s="48">
        <v>9506.5894769999995</v>
      </c>
      <c r="V228" s="48">
        <v>3.215E-3</v>
      </c>
      <c r="W228" s="48">
        <v>2.5552999999999999E-2</v>
      </c>
      <c r="X228" s="89"/>
      <c r="Y228" s="48">
        <v>0.11125158027812895</v>
      </c>
      <c r="Z228" s="90"/>
      <c r="AA228" s="91">
        <v>228</v>
      </c>
      <c r="AB228" s="91"/>
      <c r="AC228" s="116">
        <v>4</v>
      </c>
      <c r="AD228" s="76"/>
      <c r="AE228" s="76">
        <v>1037</v>
      </c>
      <c r="AF228" s="76">
        <v>100456</v>
      </c>
      <c r="AG228" s="76">
        <v>12586</v>
      </c>
      <c r="AH228" s="76">
        <v>227</v>
      </c>
      <c r="AI228" s="76">
        <v>3600</v>
      </c>
      <c r="AJ228" s="76"/>
      <c r="AK228" s="76"/>
      <c r="AL228" s="92"/>
      <c r="AM228" s="76"/>
      <c r="AN228" s="76">
        <v>39976.562407407408</v>
      </c>
      <c r="AO228" s="76" t="s">
        <v>60</v>
      </c>
      <c r="AP228" s="76"/>
      <c r="AQ228" s="92"/>
      <c r="AR228" s="76"/>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28"/>
    <dataValidation allowBlank="1" errorTitle="Invalid Vertex Visibility" error="You have entered an unrecognized vertex visibility.  Try selecting from the drop-down list instead." sqref="AS3"/>
    <dataValidation allowBlank="1" showErrorMessage="1" sqref="A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28">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28"/>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28"/>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28"/>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28"/>
    <dataValidation allowBlank="1" showInputMessage="1" errorTitle="Invalid Vertex Image Key" promptTitle="Vertex Tooltip" prompt="Enter optional text that will pop up when the mouse is hovered over the vertex." sqref="K3:K228"/>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28"/>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28">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28"/>
    <dataValidation allowBlank="1" showInputMessage="1" promptTitle="Vertex Label Fill Color" prompt="To select an optional fill color for the Label shape, right-click and select Select Color on the right-click menu." sqref="I3:I228"/>
    <dataValidation allowBlank="1" showInputMessage="1" errorTitle="Invalid Vertex Image Key" promptTitle="Vertex Image File" prompt="Enter the path to an image file.  Hover over the column header for examples." sqref="F3:F228"/>
    <dataValidation allowBlank="1" showInputMessage="1" promptTitle="Vertex Color" prompt="To select an optional vertex color, right-click and select Select Color on the right-click menu." sqref="B3:B228"/>
    <dataValidation allowBlank="1" showInputMessage="1" errorTitle="Invalid Vertex Opacity" error="The optional vertex opacity must be a whole number between 0 and 10." promptTitle="Vertex Opacity" prompt="Enter an optional vertex opacity between 0 (transparent) and 100 (opaque)." sqref="E3:E228"/>
    <dataValidation type="list" allowBlank="1" showInputMessage="1" showErrorMessage="1" errorTitle="Invalid Vertex Shape" error="You have entered an invalid vertex shape.  Try selecting from the drop-down list instead." promptTitle="Vertex Shape" prompt="Select an optional vertex shape." sqref="C3:C228">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28"/>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28">
      <formula1>ValidVertexLabelPositions</formula1>
    </dataValidation>
    <dataValidation allowBlank="1" showInputMessage="1" showErrorMessage="1" promptTitle="Vertex Name" prompt="Enter the name of the vertex." sqref="A3:A228"/>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43</v>
      </c>
    </row>
    <row r="2" spans="1:1" ht="15" customHeight="1" x14ac:dyDescent="0.25"/>
    <row r="3" spans="1:1" ht="15" customHeight="1" x14ac:dyDescent="0.25">
      <c r="A3" s="29" t="s">
        <v>44</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 customWidth="1"/>
  </cols>
  <sheetData>
    <row r="1" spans="1:24" x14ac:dyDescent="0.25">
      <c r="B1" s="52" t="s">
        <v>34</v>
      </c>
      <c r="C1" s="53"/>
      <c r="D1" s="53"/>
      <c r="E1" s="54"/>
      <c r="F1" s="51" t="s">
        <v>38</v>
      </c>
      <c r="G1" s="55" t="s">
        <v>39</v>
      </c>
      <c r="H1" s="56"/>
      <c r="I1" s="57" t="s">
        <v>35</v>
      </c>
      <c r="J1" s="58"/>
      <c r="K1" s="59" t="s">
        <v>37</v>
      </c>
      <c r="L1" s="60"/>
      <c r="M1" s="60"/>
      <c r="N1" s="60"/>
      <c r="O1" s="60"/>
      <c r="P1" s="60"/>
      <c r="Q1" s="60"/>
      <c r="R1" s="60"/>
      <c r="S1" s="60"/>
      <c r="T1" s="60"/>
      <c r="U1" s="60"/>
      <c r="V1" s="60"/>
      <c r="W1" s="60"/>
      <c r="X1" s="60"/>
    </row>
    <row r="2" spans="1:24" s="13" customFormat="1" ht="30" customHeight="1" x14ac:dyDescent="0.25">
      <c r="A2" s="11" t="s">
        <v>137</v>
      </c>
      <c r="B2" s="13" t="s">
        <v>17</v>
      </c>
      <c r="C2" s="13" t="s">
        <v>16</v>
      </c>
      <c r="D2" s="13" t="s">
        <v>7</v>
      </c>
      <c r="E2" s="13" t="s">
        <v>138</v>
      </c>
      <c r="F2" s="13" t="s">
        <v>41</v>
      </c>
      <c r="G2" s="13" t="s">
        <v>156</v>
      </c>
      <c r="H2" s="13" t="s">
        <v>157</v>
      </c>
      <c r="I2" s="13" t="s">
        <v>8</v>
      </c>
      <c r="J2" s="13" t="s">
        <v>155</v>
      </c>
      <c r="K2" s="13" t="s">
        <v>139</v>
      </c>
      <c r="L2" s="13" t="s">
        <v>140</v>
      </c>
      <c r="M2" s="13" t="s">
        <v>141</v>
      </c>
      <c r="N2" s="13" t="s">
        <v>142</v>
      </c>
      <c r="O2" s="13" t="s">
        <v>143</v>
      </c>
      <c r="P2" s="13" t="s">
        <v>159</v>
      </c>
      <c r="Q2" s="13" t="s">
        <v>160</v>
      </c>
      <c r="R2" s="13" t="s">
        <v>144</v>
      </c>
      <c r="S2" s="13" t="s">
        <v>145</v>
      </c>
      <c r="T2" s="13" t="s">
        <v>146</v>
      </c>
      <c r="U2" s="13" t="s">
        <v>147</v>
      </c>
      <c r="V2" s="13" t="s">
        <v>148</v>
      </c>
      <c r="W2" s="13" t="s">
        <v>149</v>
      </c>
      <c r="X2" s="13" t="s">
        <v>150</v>
      </c>
    </row>
    <row r="3" spans="1:24" x14ac:dyDescent="0.25">
      <c r="A3" s="117" t="s">
        <v>180</v>
      </c>
      <c r="B3" s="66" t="s">
        <v>190</v>
      </c>
      <c r="C3" s="66" t="s">
        <v>50</v>
      </c>
      <c r="D3" s="14"/>
      <c r="E3" s="14"/>
      <c r="F3" s="15"/>
      <c r="G3" s="61"/>
      <c r="H3" s="61"/>
      <c r="I3" s="50">
        <v>3</v>
      </c>
      <c r="J3" s="50"/>
      <c r="K3" s="47">
        <v>112</v>
      </c>
      <c r="L3" s="47">
        <v>188</v>
      </c>
      <c r="M3" s="47">
        <v>951</v>
      </c>
      <c r="N3" s="47">
        <v>1139</v>
      </c>
      <c r="O3" s="47">
        <v>0</v>
      </c>
      <c r="P3" s="48">
        <v>0.308</v>
      </c>
      <c r="Q3" s="48">
        <v>0.47094801223241589</v>
      </c>
      <c r="R3" s="47">
        <v>12</v>
      </c>
      <c r="S3" s="47">
        <v>10</v>
      </c>
      <c r="T3" s="47">
        <v>100</v>
      </c>
      <c r="U3" s="47">
        <v>1138</v>
      </c>
      <c r="V3" s="47">
        <v>7</v>
      </c>
      <c r="W3" s="48">
        <v>2.9752100000000001</v>
      </c>
      <c r="X3" s="48">
        <v>2.6303088803088803E-2</v>
      </c>
    </row>
    <row r="4" spans="1:24" x14ac:dyDescent="0.25">
      <c r="A4" s="117" t="s">
        <v>181</v>
      </c>
      <c r="B4" s="66" t="s">
        <v>184</v>
      </c>
      <c r="C4" s="66" t="s">
        <v>55</v>
      </c>
      <c r="D4" s="110"/>
      <c r="E4" s="14"/>
      <c r="F4" s="15"/>
      <c r="G4" s="61"/>
      <c r="H4" s="61"/>
      <c r="I4" s="112">
        <v>4</v>
      </c>
      <c r="J4" s="50"/>
      <c r="K4" s="47">
        <v>71</v>
      </c>
      <c r="L4" s="47">
        <v>296</v>
      </c>
      <c r="M4" s="47">
        <v>4452</v>
      </c>
      <c r="N4" s="47">
        <v>4748</v>
      </c>
      <c r="O4" s="47">
        <v>0</v>
      </c>
      <c r="P4" s="48">
        <v>0.42003853564547206</v>
      </c>
      <c r="Q4" s="48">
        <v>0.59158751696065126</v>
      </c>
      <c r="R4" s="47">
        <v>1</v>
      </c>
      <c r="S4" s="47">
        <v>0</v>
      </c>
      <c r="T4" s="47">
        <v>71</v>
      </c>
      <c r="U4" s="47">
        <v>4748</v>
      </c>
      <c r="V4" s="47">
        <v>4</v>
      </c>
      <c r="W4" s="48">
        <v>1.938504</v>
      </c>
      <c r="X4" s="48">
        <v>0.14828973843058349</v>
      </c>
    </row>
    <row r="5" spans="1:24" x14ac:dyDescent="0.25">
      <c r="A5" s="117" t="s">
        <v>182</v>
      </c>
      <c r="B5" s="66" t="s">
        <v>191</v>
      </c>
      <c r="C5" s="66" t="s">
        <v>57</v>
      </c>
      <c r="D5" s="110"/>
      <c r="E5" s="14"/>
      <c r="F5" s="15"/>
      <c r="G5" s="61"/>
      <c r="H5" s="61"/>
      <c r="I5" s="112">
        <v>5</v>
      </c>
      <c r="J5" s="50"/>
      <c r="K5" s="47">
        <v>27</v>
      </c>
      <c r="L5" s="47">
        <v>56</v>
      </c>
      <c r="M5" s="47">
        <v>1406</v>
      </c>
      <c r="N5" s="47">
        <v>1462</v>
      </c>
      <c r="O5" s="47">
        <v>0</v>
      </c>
      <c r="P5" s="48">
        <v>0.39823008849557523</v>
      </c>
      <c r="Q5" s="48">
        <v>0.569620253164557</v>
      </c>
      <c r="R5" s="47">
        <v>2</v>
      </c>
      <c r="S5" s="47">
        <v>1</v>
      </c>
      <c r="T5" s="47">
        <v>26</v>
      </c>
      <c r="U5" s="47">
        <v>1462</v>
      </c>
      <c r="V5" s="47">
        <v>3</v>
      </c>
      <c r="W5" s="48">
        <v>1.6745559999999999</v>
      </c>
      <c r="X5" s="48">
        <v>0.22507122507122507</v>
      </c>
    </row>
    <row r="6" spans="1:24" x14ac:dyDescent="0.25">
      <c r="A6" s="118" t="s">
        <v>183</v>
      </c>
      <c r="B6" s="66" t="s">
        <v>192</v>
      </c>
      <c r="C6" s="66" t="s">
        <v>53</v>
      </c>
      <c r="D6" s="115"/>
      <c r="E6" s="114"/>
      <c r="F6" s="113"/>
      <c r="G6" s="111"/>
      <c r="H6" s="111"/>
      <c r="I6" s="119">
        <v>6</v>
      </c>
      <c r="J6" s="120"/>
      <c r="K6" s="47">
        <v>1</v>
      </c>
      <c r="L6" s="47">
        <v>0</v>
      </c>
      <c r="M6" s="47">
        <v>0</v>
      </c>
      <c r="N6" s="47">
        <v>0</v>
      </c>
      <c r="O6" s="47">
        <v>0</v>
      </c>
      <c r="P6" s="48" t="s">
        <v>177</v>
      </c>
      <c r="Q6" s="48" t="s">
        <v>177</v>
      </c>
      <c r="R6" s="47">
        <v>1</v>
      </c>
      <c r="S6" s="47">
        <v>1</v>
      </c>
      <c r="T6" s="47">
        <v>1</v>
      </c>
      <c r="U6" s="47">
        <v>0</v>
      </c>
      <c r="V6" s="47" t="s">
        <v>177</v>
      </c>
      <c r="W6" s="48" t="s">
        <v>177</v>
      </c>
      <c r="X6" s="48" t="s">
        <v>177</v>
      </c>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B6"/>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6">
      <formula1>ValidGroupShapes</formula1>
    </dataValidation>
    <dataValidation allowBlank="1" showInputMessage="1" showErrorMessage="1" promptTitle="Group Name" prompt="Enter the name of the group." sqref="A3:A6"/>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6">
      <formula1>ValidBooleansDefaultFalse</formula1>
    </dataValidation>
    <dataValidation allowBlank="1" sqref="K3:K6"/>
    <dataValidation allowBlank="1" showInputMessage="1" showErrorMessage="1" errorTitle="Invalid Group Collapsed" error="You have entered an unrecognized &quot;group collapsed.&quot;  Try selecting from the drop-down list instead." promptTitle="Group Label" prompt="Enter an optional group label." sqref="F3:F6"/>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6"/>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6">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12"/>
  <sheetViews>
    <sheetView workbookViewId="0">
      <selection activeCell="C1" sqref="C1:C1048576"/>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ht="15" customHeight="1" x14ac:dyDescent="0.25">
      <c r="A1" s="11" t="s">
        <v>137</v>
      </c>
      <c r="B1" s="11" t="s">
        <v>196</v>
      </c>
      <c r="C1" s="11" t="s">
        <v>197</v>
      </c>
    </row>
    <row r="2" spans="1:3" x14ac:dyDescent="0.25">
      <c r="A2" s="76">
        <v>1</v>
      </c>
      <c r="B2" s="121"/>
      <c r="C2" s="76"/>
    </row>
    <row r="3" spans="1:3" x14ac:dyDescent="0.25">
      <c r="A3" s="76">
        <v>1</v>
      </c>
      <c r="B3" s="121"/>
      <c r="C3" s="76"/>
    </row>
    <row r="4" spans="1:3" x14ac:dyDescent="0.25">
      <c r="A4" s="76">
        <v>1</v>
      </c>
      <c r="B4" s="121"/>
      <c r="C4" s="76"/>
    </row>
    <row r="5" spans="1:3" x14ac:dyDescent="0.25">
      <c r="A5" s="76">
        <v>1</v>
      </c>
      <c r="B5" s="121"/>
      <c r="C5" s="76"/>
    </row>
    <row r="6" spans="1:3" x14ac:dyDescent="0.25">
      <c r="A6" s="76">
        <v>1</v>
      </c>
      <c r="B6" s="121"/>
      <c r="C6" s="76"/>
    </row>
    <row r="7" spans="1:3" x14ac:dyDescent="0.25">
      <c r="A7" s="76">
        <v>1</v>
      </c>
      <c r="B7" s="121"/>
      <c r="C7" s="76"/>
    </row>
    <row r="8" spans="1:3" x14ac:dyDescent="0.25">
      <c r="A8" s="76">
        <v>1</v>
      </c>
      <c r="B8" s="121"/>
      <c r="C8" s="76"/>
    </row>
    <row r="9" spans="1:3" x14ac:dyDescent="0.25">
      <c r="A9" s="76">
        <v>1</v>
      </c>
      <c r="B9" s="121"/>
      <c r="C9" s="76"/>
    </row>
    <row r="10" spans="1:3" x14ac:dyDescent="0.25">
      <c r="A10" s="76">
        <v>1</v>
      </c>
      <c r="B10" s="121"/>
      <c r="C10" s="76"/>
    </row>
    <row r="11" spans="1:3" x14ac:dyDescent="0.25">
      <c r="A11" s="76">
        <v>1</v>
      </c>
      <c r="B11" s="121"/>
      <c r="C11" s="76"/>
    </row>
    <row r="12" spans="1:3" x14ac:dyDescent="0.25">
      <c r="A12" s="76">
        <v>1</v>
      </c>
      <c r="B12" s="121"/>
      <c r="C12" s="76"/>
    </row>
    <row r="13" spans="1:3" x14ac:dyDescent="0.25">
      <c r="A13" s="76">
        <v>1</v>
      </c>
      <c r="B13" s="121"/>
      <c r="C13" s="76"/>
    </row>
    <row r="14" spans="1:3" x14ac:dyDescent="0.25">
      <c r="A14" s="76">
        <v>1</v>
      </c>
      <c r="B14" s="121"/>
      <c r="C14" s="76"/>
    </row>
    <row r="15" spans="1:3" x14ac:dyDescent="0.25">
      <c r="A15" s="76">
        <v>1</v>
      </c>
      <c r="B15" s="121"/>
      <c r="C15" s="76"/>
    </row>
    <row r="16" spans="1:3" x14ac:dyDescent="0.25">
      <c r="A16" s="76">
        <v>1</v>
      </c>
      <c r="B16" s="121"/>
      <c r="C16" s="76"/>
    </row>
    <row r="17" spans="1:3" x14ac:dyDescent="0.25">
      <c r="A17" s="76">
        <v>1</v>
      </c>
      <c r="B17" s="121"/>
      <c r="C17" s="76"/>
    </row>
    <row r="18" spans="1:3" x14ac:dyDescent="0.25">
      <c r="A18" s="76">
        <v>1</v>
      </c>
      <c r="B18" s="121"/>
      <c r="C18" s="76"/>
    </row>
    <row r="19" spans="1:3" x14ac:dyDescent="0.25">
      <c r="A19" s="76">
        <v>1</v>
      </c>
      <c r="B19" s="121"/>
      <c r="C19" s="76"/>
    </row>
    <row r="20" spans="1:3" x14ac:dyDescent="0.25">
      <c r="A20" s="76">
        <v>1</v>
      </c>
      <c r="B20" s="121"/>
      <c r="C20" s="76"/>
    </row>
    <row r="21" spans="1:3" x14ac:dyDescent="0.25">
      <c r="A21" s="76">
        <v>1</v>
      </c>
      <c r="B21" s="121"/>
      <c r="C21" s="76"/>
    </row>
    <row r="22" spans="1:3" x14ac:dyDescent="0.25">
      <c r="A22" s="76">
        <v>1</v>
      </c>
      <c r="B22" s="121"/>
      <c r="C22" s="76"/>
    </row>
    <row r="23" spans="1:3" x14ac:dyDescent="0.25">
      <c r="A23" s="76">
        <v>1</v>
      </c>
      <c r="B23" s="121"/>
      <c r="C23" s="76"/>
    </row>
    <row r="24" spans="1:3" x14ac:dyDescent="0.25">
      <c r="A24" s="76">
        <v>1</v>
      </c>
      <c r="B24" s="121"/>
      <c r="C24" s="76"/>
    </row>
    <row r="25" spans="1:3" x14ac:dyDescent="0.25">
      <c r="A25" s="76">
        <v>1</v>
      </c>
      <c r="B25" s="121"/>
      <c r="C25" s="76"/>
    </row>
    <row r="26" spans="1:3" x14ac:dyDescent="0.25">
      <c r="A26" s="76">
        <v>1</v>
      </c>
      <c r="B26" s="121"/>
      <c r="C26" s="76"/>
    </row>
    <row r="27" spans="1:3" x14ac:dyDescent="0.25">
      <c r="A27" s="76">
        <v>1</v>
      </c>
      <c r="B27" s="121"/>
      <c r="C27" s="76"/>
    </row>
    <row r="28" spans="1:3" x14ac:dyDescent="0.25">
      <c r="A28" s="76">
        <v>1</v>
      </c>
      <c r="B28" s="121"/>
      <c r="C28" s="76"/>
    </row>
    <row r="29" spans="1:3" x14ac:dyDescent="0.25">
      <c r="A29" s="76">
        <v>1</v>
      </c>
      <c r="B29" s="121"/>
      <c r="C29" s="76"/>
    </row>
    <row r="30" spans="1:3" x14ac:dyDescent="0.25">
      <c r="A30" s="76">
        <v>1</v>
      </c>
      <c r="B30" s="121"/>
      <c r="C30" s="76"/>
    </row>
    <row r="31" spans="1:3" x14ac:dyDescent="0.25">
      <c r="A31" s="76">
        <v>1</v>
      </c>
      <c r="B31" s="121"/>
      <c r="C31" s="76"/>
    </row>
    <row r="32" spans="1:3" x14ac:dyDescent="0.25">
      <c r="A32" s="76">
        <v>1</v>
      </c>
      <c r="B32" s="121"/>
      <c r="C32" s="76"/>
    </row>
    <row r="33" spans="1:3" x14ac:dyDescent="0.25">
      <c r="A33" s="76">
        <v>1</v>
      </c>
      <c r="B33" s="121"/>
      <c r="C33" s="76"/>
    </row>
    <row r="34" spans="1:3" x14ac:dyDescent="0.25">
      <c r="A34" s="76">
        <v>1</v>
      </c>
      <c r="B34" s="121"/>
      <c r="C34" s="76"/>
    </row>
    <row r="35" spans="1:3" x14ac:dyDescent="0.25">
      <c r="A35" s="76">
        <v>1</v>
      </c>
      <c r="B35" s="121"/>
      <c r="C35" s="76"/>
    </row>
    <row r="36" spans="1:3" x14ac:dyDescent="0.25">
      <c r="A36" s="76">
        <v>1</v>
      </c>
      <c r="B36" s="121"/>
      <c r="C36" s="76"/>
    </row>
    <row r="37" spans="1:3" x14ac:dyDescent="0.25">
      <c r="A37" s="76">
        <v>1</v>
      </c>
      <c r="B37" s="121"/>
      <c r="C37" s="76"/>
    </row>
    <row r="38" spans="1:3" x14ac:dyDescent="0.25">
      <c r="A38" s="76">
        <v>1</v>
      </c>
      <c r="B38" s="121"/>
      <c r="C38" s="76"/>
    </row>
    <row r="39" spans="1:3" x14ac:dyDescent="0.25">
      <c r="A39" s="76">
        <v>1</v>
      </c>
      <c r="B39" s="121"/>
      <c r="C39" s="76"/>
    </row>
    <row r="40" spans="1:3" x14ac:dyDescent="0.25">
      <c r="A40" s="76">
        <v>1</v>
      </c>
      <c r="B40" s="121"/>
      <c r="C40" s="76"/>
    </row>
    <row r="41" spans="1:3" x14ac:dyDescent="0.25">
      <c r="A41" s="76">
        <v>1</v>
      </c>
      <c r="B41" s="121"/>
      <c r="C41" s="76"/>
    </row>
    <row r="42" spans="1:3" x14ac:dyDescent="0.25">
      <c r="A42" s="76">
        <v>1</v>
      </c>
      <c r="B42" s="121"/>
      <c r="C42" s="76"/>
    </row>
    <row r="43" spans="1:3" x14ac:dyDescent="0.25">
      <c r="A43" s="76">
        <v>1</v>
      </c>
      <c r="B43" s="121"/>
      <c r="C43" s="76"/>
    </row>
    <row r="44" spans="1:3" x14ac:dyDescent="0.25">
      <c r="A44" s="76">
        <v>1</v>
      </c>
      <c r="B44" s="121"/>
      <c r="C44" s="76"/>
    </row>
    <row r="45" spans="1:3" x14ac:dyDescent="0.25">
      <c r="A45" s="76">
        <v>1</v>
      </c>
      <c r="B45" s="121"/>
      <c r="C45" s="76"/>
    </row>
    <row r="46" spans="1:3" x14ac:dyDescent="0.25">
      <c r="A46" s="76">
        <v>1</v>
      </c>
      <c r="B46" s="121"/>
      <c r="C46" s="76"/>
    </row>
    <row r="47" spans="1:3" x14ac:dyDescent="0.25">
      <c r="A47" s="76">
        <v>1</v>
      </c>
      <c r="B47" s="121"/>
      <c r="C47" s="76"/>
    </row>
    <row r="48" spans="1:3" x14ac:dyDescent="0.25">
      <c r="A48" s="76">
        <v>1</v>
      </c>
      <c r="B48" s="121"/>
      <c r="C48" s="76"/>
    </row>
    <row r="49" spans="1:3" x14ac:dyDescent="0.25">
      <c r="A49" s="76">
        <v>1</v>
      </c>
      <c r="B49" s="121"/>
      <c r="C49" s="76"/>
    </row>
    <row r="50" spans="1:3" x14ac:dyDescent="0.25">
      <c r="A50" s="76">
        <v>1</v>
      </c>
      <c r="B50" s="121"/>
      <c r="C50" s="76"/>
    </row>
    <row r="51" spans="1:3" x14ac:dyDescent="0.25">
      <c r="A51" s="76">
        <v>1</v>
      </c>
      <c r="B51" s="121"/>
      <c r="C51" s="76"/>
    </row>
    <row r="52" spans="1:3" x14ac:dyDescent="0.25">
      <c r="A52" s="76">
        <v>1</v>
      </c>
      <c r="B52" s="121"/>
      <c r="C52" s="76"/>
    </row>
    <row r="53" spans="1:3" x14ac:dyDescent="0.25">
      <c r="A53" s="76">
        <v>1</v>
      </c>
      <c r="B53" s="121"/>
      <c r="C53" s="76"/>
    </row>
    <row r="54" spans="1:3" x14ac:dyDescent="0.25">
      <c r="A54" s="76">
        <v>1</v>
      </c>
      <c r="B54" s="121"/>
      <c r="C54" s="76"/>
    </row>
    <row r="55" spans="1:3" x14ac:dyDescent="0.25">
      <c r="A55" s="76">
        <v>1</v>
      </c>
      <c r="B55" s="121"/>
      <c r="C55" s="76"/>
    </row>
    <row r="56" spans="1:3" x14ac:dyDescent="0.25">
      <c r="A56" s="76">
        <v>1</v>
      </c>
      <c r="B56" s="121"/>
      <c r="C56" s="76"/>
    </row>
    <row r="57" spans="1:3" x14ac:dyDescent="0.25">
      <c r="A57" s="76">
        <v>1</v>
      </c>
      <c r="B57" s="121"/>
      <c r="C57" s="76"/>
    </row>
    <row r="58" spans="1:3" x14ac:dyDescent="0.25">
      <c r="A58" s="76">
        <v>1</v>
      </c>
      <c r="B58" s="121"/>
      <c r="C58" s="76"/>
    </row>
    <row r="59" spans="1:3" x14ac:dyDescent="0.25">
      <c r="A59" s="76">
        <v>1</v>
      </c>
      <c r="B59" s="121"/>
      <c r="C59" s="76"/>
    </row>
    <row r="60" spans="1:3" x14ac:dyDescent="0.25">
      <c r="A60" s="76">
        <v>1</v>
      </c>
      <c r="B60" s="121"/>
      <c r="C60" s="76"/>
    </row>
    <row r="61" spans="1:3" x14ac:dyDescent="0.25">
      <c r="A61" s="76">
        <v>1</v>
      </c>
      <c r="B61" s="121"/>
      <c r="C61" s="76"/>
    </row>
    <row r="62" spans="1:3" x14ac:dyDescent="0.25">
      <c r="A62" s="76">
        <v>1</v>
      </c>
      <c r="B62" s="121"/>
      <c r="C62" s="76"/>
    </row>
    <row r="63" spans="1:3" x14ac:dyDescent="0.25">
      <c r="A63" s="76">
        <v>1</v>
      </c>
      <c r="B63" s="121"/>
      <c r="C63" s="76"/>
    </row>
    <row r="64" spans="1:3" x14ac:dyDescent="0.25">
      <c r="A64" s="76">
        <v>1</v>
      </c>
      <c r="B64" s="121"/>
      <c r="C64" s="76"/>
    </row>
    <row r="65" spans="1:3" x14ac:dyDescent="0.25">
      <c r="A65" s="76">
        <v>1</v>
      </c>
      <c r="B65" s="121"/>
      <c r="C65" s="76"/>
    </row>
    <row r="66" spans="1:3" x14ac:dyDescent="0.25">
      <c r="A66" s="76">
        <v>1</v>
      </c>
      <c r="B66" s="121"/>
      <c r="C66" s="76"/>
    </row>
    <row r="67" spans="1:3" x14ac:dyDescent="0.25">
      <c r="A67" s="76">
        <v>1</v>
      </c>
      <c r="B67" s="121"/>
      <c r="C67" s="76"/>
    </row>
    <row r="68" spans="1:3" x14ac:dyDescent="0.25">
      <c r="A68" s="76">
        <v>1</v>
      </c>
      <c r="B68" s="121"/>
      <c r="C68" s="76"/>
    </row>
    <row r="69" spans="1:3" x14ac:dyDescent="0.25">
      <c r="A69" s="76">
        <v>1</v>
      </c>
      <c r="B69" s="121"/>
      <c r="C69" s="76"/>
    </row>
    <row r="70" spans="1:3" x14ac:dyDescent="0.25">
      <c r="A70" s="76">
        <v>1</v>
      </c>
      <c r="B70" s="121"/>
      <c r="C70" s="76"/>
    </row>
    <row r="71" spans="1:3" x14ac:dyDescent="0.25">
      <c r="A71" s="76">
        <v>1</v>
      </c>
      <c r="B71" s="121"/>
      <c r="C71" s="76"/>
    </row>
    <row r="72" spans="1:3" x14ac:dyDescent="0.25">
      <c r="A72" s="76">
        <v>1</v>
      </c>
      <c r="B72" s="121"/>
      <c r="C72" s="76"/>
    </row>
    <row r="73" spans="1:3" x14ac:dyDescent="0.25">
      <c r="A73" s="76">
        <v>1</v>
      </c>
      <c r="B73" s="121"/>
      <c r="C73" s="76"/>
    </row>
    <row r="74" spans="1:3" x14ac:dyDescent="0.25">
      <c r="A74" s="76">
        <v>1</v>
      </c>
      <c r="B74" s="121"/>
      <c r="C74" s="76"/>
    </row>
    <row r="75" spans="1:3" x14ac:dyDescent="0.25">
      <c r="A75" s="76">
        <v>1</v>
      </c>
      <c r="B75" s="121"/>
      <c r="C75" s="76"/>
    </row>
    <row r="76" spans="1:3" x14ac:dyDescent="0.25">
      <c r="A76" s="76">
        <v>1</v>
      </c>
      <c r="B76" s="121"/>
      <c r="C76" s="76"/>
    </row>
    <row r="77" spans="1:3" x14ac:dyDescent="0.25">
      <c r="A77" s="76">
        <v>1</v>
      </c>
      <c r="B77" s="121"/>
      <c r="C77" s="76"/>
    </row>
    <row r="78" spans="1:3" x14ac:dyDescent="0.25">
      <c r="A78" s="76">
        <v>1</v>
      </c>
      <c r="B78" s="121"/>
      <c r="C78" s="76"/>
    </row>
    <row r="79" spans="1:3" x14ac:dyDescent="0.25">
      <c r="A79" s="76">
        <v>1</v>
      </c>
      <c r="B79" s="121"/>
      <c r="C79" s="76"/>
    </row>
    <row r="80" spans="1:3" x14ac:dyDescent="0.25">
      <c r="A80" s="76">
        <v>1</v>
      </c>
      <c r="B80" s="121"/>
      <c r="C80" s="76"/>
    </row>
    <row r="81" spans="1:3" x14ac:dyDescent="0.25">
      <c r="A81" s="76">
        <v>1</v>
      </c>
      <c r="B81" s="121"/>
      <c r="C81" s="76"/>
    </row>
    <row r="82" spans="1:3" x14ac:dyDescent="0.25">
      <c r="A82" s="76">
        <v>1</v>
      </c>
      <c r="B82" s="121"/>
      <c r="C82" s="76"/>
    </row>
    <row r="83" spans="1:3" x14ac:dyDescent="0.25">
      <c r="A83" s="76">
        <v>1</v>
      </c>
      <c r="B83" s="121"/>
      <c r="C83" s="76"/>
    </row>
    <row r="84" spans="1:3" x14ac:dyDescent="0.25">
      <c r="A84" s="76">
        <v>1</v>
      </c>
      <c r="B84" s="121"/>
      <c r="C84" s="76"/>
    </row>
    <row r="85" spans="1:3" x14ac:dyDescent="0.25">
      <c r="A85" s="76">
        <v>1</v>
      </c>
      <c r="B85" s="121"/>
      <c r="C85" s="76"/>
    </row>
    <row r="86" spans="1:3" x14ac:dyDescent="0.25">
      <c r="A86" s="76">
        <v>1</v>
      </c>
      <c r="B86" s="121"/>
      <c r="C86" s="76"/>
    </row>
    <row r="87" spans="1:3" x14ac:dyDescent="0.25">
      <c r="A87" s="76">
        <v>1</v>
      </c>
      <c r="B87" s="121"/>
      <c r="C87" s="76"/>
    </row>
    <row r="88" spans="1:3" x14ac:dyDescent="0.25">
      <c r="A88" s="76">
        <v>1</v>
      </c>
      <c r="B88" s="121"/>
      <c r="C88" s="76"/>
    </row>
    <row r="89" spans="1:3" x14ac:dyDescent="0.25">
      <c r="A89" s="76">
        <v>1</v>
      </c>
      <c r="B89" s="121"/>
      <c r="C89" s="76"/>
    </row>
    <row r="90" spans="1:3" x14ac:dyDescent="0.25">
      <c r="A90" s="76">
        <v>1</v>
      </c>
      <c r="B90" s="121"/>
      <c r="C90" s="76"/>
    </row>
    <row r="91" spans="1:3" x14ac:dyDescent="0.25">
      <c r="A91" s="76">
        <v>1</v>
      </c>
      <c r="B91" s="121"/>
      <c r="C91" s="76"/>
    </row>
    <row r="92" spans="1:3" x14ac:dyDescent="0.25">
      <c r="A92" s="76">
        <v>1</v>
      </c>
      <c r="B92" s="121"/>
      <c r="C92" s="76"/>
    </row>
    <row r="93" spans="1:3" x14ac:dyDescent="0.25">
      <c r="A93" s="76">
        <v>1</v>
      </c>
      <c r="B93" s="121"/>
      <c r="C93" s="76"/>
    </row>
    <row r="94" spans="1:3" x14ac:dyDescent="0.25">
      <c r="A94" s="76">
        <v>1</v>
      </c>
      <c r="B94" s="121"/>
      <c r="C94" s="76"/>
    </row>
    <row r="95" spans="1:3" x14ac:dyDescent="0.25">
      <c r="A95" s="76">
        <v>1</v>
      </c>
      <c r="B95" s="121"/>
      <c r="C95" s="76"/>
    </row>
    <row r="96" spans="1:3" x14ac:dyDescent="0.25">
      <c r="A96" s="76">
        <v>1</v>
      </c>
      <c r="B96" s="121"/>
      <c r="C96" s="76"/>
    </row>
    <row r="97" spans="1:3" x14ac:dyDescent="0.25">
      <c r="A97" s="76">
        <v>1</v>
      </c>
      <c r="B97" s="121"/>
      <c r="C97" s="76"/>
    </row>
    <row r="98" spans="1:3" x14ac:dyDescent="0.25">
      <c r="A98" s="76">
        <v>1</v>
      </c>
      <c r="B98" s="121"/>
      <c r="C98" s="76"/>
    </row>
    <row r="99" spans="1:3" x14ac:dyDescent="0.25">
      <c r="A99" s="76">
        <v>1</v>
      </c>
      <c r="B99" s="121"/>
      <c r="C99" s="76"/>
    </row>
    <row r="100" spans="1:3" x14ac:dyDescent="0.25">
      <c r="A100" s="76">
        <v>1</v>
      </c>
      <c r="B100" s="121"/>
      <c r="C100" s="76"/>
    </row>
    <row r="101" spans="1:3" x14ac:dyDescent="0.25">
      <c r="A101" s="76">
        <v>1</v>
      </c>
      <c r="B101" s="121"/>
      <c r="C101" s="76"/>
    </row>
    <row r="102" spans="1:3" x14ac:dyDescent="0.25">
      <c r="A102" s="76">
        <v>1</v>
      </c>
      <c r="B102" s="121"/>
      <c r="C102" s="76"/>
    </row>
    <row r="103" spans="1:3" x14ac:dyDescent="0.25">
      <c r="A103" s="76">
        <v>1</v>
      </c>
      <c r="B103" s="121"/>
      <c r="C103" s="76"/>
    </row>
    <row r="104" spans="1:3" x14ac:dyDescent="0.25">
      <c r="A104" s="76">
        <v>1</v>
      </c>
      <c r="B104" s="121"/>
      <c r="C104" s="76"/>
    </row>
    <row r="105" spans="1:3" x14ac:dyDescent="0.25">
      <c r="A105" s="76">
        <v>1</v>
      </c>
      <c r="B105" s="121"/>
      <c r="C105" s="76"/>
    </row>
    <row r="106" spans="1:3" x14ac:dyDescent="0.25">
      <c r="A106" s="76">
        <v>1</v>
      </c>
      <c r="B106" s="121"/>
      <c r="C106" s="76"/>
    </row>
    <row r="107" spans="1:3" x14ac:dyDescent="0.25">
      <c r="A107" s="76">
        <v>1</v>
      </c>
      <c r="B107" s="121"/>
      <c r="C107" s="76"/>
    </row>
    <row r="108" spans="1:3" x14ac:dyDescent="0.25">
      <c r="A108" s="76">
        <v>1</v>
      </c>
      <c r="B108" s="121"/>
      <c r="C108" s="76"/>
    </row>
    <row r="109" spans="1:3" x14ac:dyDescent="0.25">
      <c r="A109" s="76">
        <v>1</v>
      </c>
      <c r="B109" s="121"/>
      <c r="C109" s="76"/>
    </row>
    <row r="110" spans="1:3" x14ac:dyDescent="0.25">
      <c r="A110" s="76">
        <v>1</v>
      </c>
      <c r="B110" s="121"/>
      <c r="C110" s="76"/>
    </row>
    <row r="111" spans="1:3" x14ac:dyDescent="0.25">
      <c r="A111" s="76">
        <v>1</v>
      </c>
      <c r="B111" s="121"/>
      <c r="C111" s="76"/>
    </row>
    <row r="112" spans="1:3" x14ac:dyDescent="0.25">
      <c r="A112" s="76">
        <v>1</v>
      </c>
      <c r="B112" s="121"/>
      <c r="C112" s="76"/>
    </row>
    <row r="113" spans="1:3" x14ac:dyDescent="0.25">
      <c r="A113" s="76">
        <v>1</v>
      </c>
      <c r="B113" s="121"/>
      <c r="C113" s="76"/>
    </row>
    <row r="114" spans="1:3" x14ac:dyDescent="0.25">
      <c r="A114" s="76">
        <v>2</v>
      </c>
      <c r="B114" s="121"/>
      <c r="C114" s="76"/>
    </row>
    <row r="115" spans="1:3" x14ac:dyDescent="0.25">
      <c r="A115" s="76">
        <v>2</v>
      </c>
      <c r="B115" s="121"/>
      <c r="C115" s="76"/>
    </row>
    <row r="116" spans="1:3" x14ac:dyDescent="0.25">
      <c r="A116" s="76">
        <v>2</v>
      </c>
      <c r="B116" s="121"/>
      <c r="C116" s="76"/>
    </row>
    <row r="117" spans="1:3" x14ac:dyDescent="0.25">
      <c r="A117" s="76">
        <v>2</v>
      </c>
      <c r="B117" s="121"/>
      <c r="C117" s="76"/>
    </row>
    <row r="118" spans="1:3" x14ac:dyDescent="0.25">
      <c r="A118" s="76">
        <v>2</v>
      </c>
      <c r="B118" s="121"/>
      <c r="C118" s="76"/>
    </row>
    <row r="119" spans="1:3" x14ac:dyDescent="0.25">
      <c r="A119" s="76">
        <v>2</v>
      </c>
      <c r="B119" s="121"/>
      <c r="C119" s="76"/>
    </row>
    <row r="120" spans="1:3" x14ac:dyDescent="0.25">
      <c r="A120" s="76">
        <v>2</v>
      </c>
      <c r="B120" s="121"/>
      <c r="C120" s="76"/>
    </row>
    <row r="121" spans="1:3" x14ac:dyDescent="0.25">
      <c r="A121" s="76">
        <v>2</v>
      </c>
      <c r="B121" s="121"/>
      <c r="C121" s="76"/>
    </row>
    <row r="122" spans="1:3" x14ac:dyDescent="0.25">
      <c r="A122" s="76">
        <v>2</v>
      </c>
      <c r="B122" s="121"/>
      <c r="C122" s="76"/>
    </row>
    <row r="123" spans="1:3" x14ac:dyDescent="0.25">
      <c r="A123" s="76">
        <v>2</v>
      </c>
      <c r="B123" s="121"/>
      <c r="C123" s="76"/>
    </row>
    <row r="124" spans="1:3" x14ac:dyDescent="0.25">
      <c r="A124" s="76">
        <v>2</v>
      </c>
      <c r="B124" s="121"/>
      <c r="C124" s="76"/>
    </row>
    <row r="125" spans="1:3" x14ac:dyDescent="0.25">
      <c r="A125" s="76">
        <v>2</v>
      </c>
      <c r="B125" s="121"/>
      <c r="C125" s="76"/>
    </row>
    <row r="126" spans="1:3" x14ac:dyDescent="0.25">
      <c r="A126" s="76">
        <v>2</v>
      </c>
      <c r="B126" s="121"/>
      <c r="C126" s="76"/>
    </row>
    <row r="127" spans="1:3" x14ac:dyDescent="0.25">
      <c r="A127" s="76">
        <v>2</v>
      </c>
      <c r="B127" s="121"/>
      <c r="C127" s="76"/>
    </row>
    <row r="128" spans="1:3" x14ac:dyDescent="0.25">
      <c r="A128" s="76">
        <v>2</v>
      </c>
      <c r="B128" s="121"/>
      <c r="C128" s="76"/>
    </row>
    <row r="129" spans="1:3" x14ac:dyDescent="0.25">
      <c r="A129" s="76">
        <v>2</v>
      </c>
      <c r="B129" s="121"/>
      <c r="C129" s="76"/>
    </row>
    <row r="130" spans="1:3" x14ac:dyDescent="0.25">
      <c r="A130" s="76">
        <v>2</v>
      </c>
      <c r="B130" s="121"/>
      <c r="C130" s="76"/>
    </row>
    <row r="131" spans="1:3" x14ac:dyDescent="0.25">
      <c r="A131" s="76">
        <v>2</v>
      </c>
      <c r="B131" s="121"/>
      <c r="C131" s="76"/>
    </row>
    <row r="132" spans="1:3" x14ac:dyDescent="0.25">
      <c r="A132" s="76">
        <v>2</v>
      </c>
      <c r="B132" s="121"/>
      <c r="C132" s="76"/>
    </row>
    <row r="133" spans="1:3" x14ac:dyDescent="0.25">
      <c r="A133" s="76">
        <v>2</v>
      </c>
      <c r="B133" s="121"/>
      <c r="C133" s="76"/>
    </row>
    <row r="134" spans="1:3" x14ac:dyDescent="0.25">
      <c r="A134" s="76">
        <v>2</v>
      </c>
      <c r="B134" s="121"/>
      <c r="C134" s="76"/>
    </row>
    <row r="135" spans="1:3" x14ac:dyDescent="0.25">
      <c r="A135" s="76">
        <v>2</v>
      </c>
      <c r="B135" s="121"/>
      <c r="C135" s="76"/>
    </row>
    <row r="136" spans="1:3" x14ac:dyDescent="0.25">
      <c r="A136" s="76">
        <v>2</v>
      </c>
      <c r="B136" s="121"/>
      <c r="C136" s="76"/>
    </row>
    <row r="137" spans="1:3" x14ac:dyDescent="0.25">
      <c r="A137" s="76">
        <v>2</v>
      </c>
      <c r="B137" s="121"/>
      <c r="C137" s="76"/>
    </row>
    <row r="138" spans="1:3" x14ac:dyDescent="0.25">
      <c r="A138" s="76">
        <v>2</v>
      </c>
      <c r="B138" s="121"/>
      <c r="C138" s="76"/>
    </row>
    <row r="139" spans="1:3" x14ac:dyDescent="0.25">
      <c r="A139" s="76">
        <v>2</v>
      </c>
      <c r="B139" s="121"/>
      <c r="C139" s="76"/>
    </row>
    <row r="140" spans="1:3" x14ac:dyDescent="0.25">
      <c r="A140" s="76">
        <v>2</v>
      </c>
      <c r="B140" s="121"/>
      <c r="C140" s="76"/>
    </row>
    <row r="141" spans="1:3" x14ac:dyDescent="0.25">
      <c r="A141" s="76">
        <v>2</v>
      </c>
      <c r="B141" s="121"/>
      <c r="C141" s="76"/>
    </row>
    <row r="142" spans="1:3" x14ac:dyDescent="0.25">
      <c r="A142" s="76">
        <v>2</v>
      </c>
      <c r="B142" s="121"/>
      <c r="C142" s="76"/>
    </row>
    <row r="143" spans="1:3" x14ac:dyDescent="0.25">
      <c r="A143" s="76">
        <v>2</v>
      </c>
      <c r="B143" s="121"/>
      <c r="C143" s="76"/>
    </row>
    <row r="144" spans="1:3" x14ac:dyDescent="0.25">
      <c r="A144" s="76">
        <v>2</v>
      </c>
      <c r="B144" s="121"/>
      <c r="C144" s="76"/>
    </row>
    <row r="145" spans="1:3" x14ac:dyDescent="0.25">
      <c r="A145" s="76">
        <v>2</v>
      </c>
      <c r="B145" s="121"/>
      <c r="C145" s="76"/>
    </row>
    <row r="146" spans="1:3" x14ac:dyDescent="0.25">
      <c r="A146" s="76">
        <v>2</v>
      </c>
      <c r="B146" s="121"/>
      <c r="C146" s="76"/>
    </row>
    <row r="147" spans="1:3" x14ac:dyDescent="0.25">
      <c r="A147" s="76">
        <v>2</v>
      </c>
      <c r="B147" s="121"/>
      <c r="C147" s="76"/>
    </row>
    <row r="148" spans="1:3" x14ac:dyDescent="0.25">
      <c r="A148" s="76">
        <v>2</v>
      </c>
      <c r="B148" s="121"/>
      <c r="C148" s="76"/>
    </row>
    <row r="149" spans="1:3" x14ac:dyDescent="0.25">
      <c r="A149" s="76">
        <v>2</v>
      </c>
      <c r="B149" s="121"/>
      <c r="C149" s="76"/>
    </row>
    <row r="150" spans="1:3" x14ac:dyDescent="0.25">
      <c r="A150" s="76">
        <v>2</v>
      </c>
      <c r="B150" s="121"/>
      <c r="C150" s="76"/>
    </row>
    <row r="151" spans="1:3" x14ac:dyDescent="0.25">
      <c r="A151" s="76">
        <v>2</v>
      </c>
      <c r="B151" s="121"/>
      <c r="C151" s="76"/>
    </row>
    <row r="152" spans="1:3" x14ac:dyDescent="0.25">
      <c r="A152" s="76">
        <v>2</v>
      </c>
      <c r="B152" s="121"/>
      <c r="C152" s="76"/>
    </row>
    <row r="153" spans="1:3" x14ac:dyDescent="0.25">
      <c r="A153" s="76">
        <v>2</v>
      </c>
      <c r="B153" s="121"/>
      <c r="C153" s="76"/>
    </row>
    <row r="154" spans="1:3" x14ac:dyDescent="0.25">
      <c r="A154" s="76">
        <v>2</v>
      </c>
      <c r="B154" s="121"/>
      <c r="C154" s="76"/>
    </row>
    <row r="155" spans="1:3" x14ac:dyDescent="0.25">
      <c r="A155" s="76">
        <v>2</v>
      </c>
      <c r="B155" s="121"/>
      <c r="C155" s="76"/>
    </row>
    <row r="156" spans="1:3" x14ac:dyDescent="0.25">
      <c r="A156" s="76">
        <v>2</v>
      </c>
      <c r="B156" s="121"/>
      <c r="C156" s="76"/>
    </row>
    <row r="157" spans="1:3" x14ac:dyDescent="0.25">
      <c r="A157" s="76">
        <v>2</v>
      </c>
      <c r="B157" s="121"/>
      <c r="C157" s="76"/>
    </row>
    <row r="158" spans="1:3" x14ac:dyDescent="0.25">
      <c r="A158" s="76">
        <v>2</v>
      </c>
      <c r="B158" s="121"/>
      <c r="C158" s="76"/>
    </row>
    <row r="159" spans="1:3" x14ac:dyDescent="0.25">
      <c r="A159" s="76">
        <v>2</v>
      </c>
      <c r="B159" s="121"/>
      <c r="C159" s="76"/>
    </row>
    <row r="160" spans="1:3" x14ac:dyDescent="0.25">
      <c r="A160" s="76">
        <v>2</v>
      </c>
      <c r="B160" s="121"/>
      <c r="C160" s="76"/>
    </row>
    <row r="161" spans="1:3" x14ac:dyDescent="0.25">
      <c r="A161" s="76">
        <v>2</v>
      </c>
      <c r="B161" s="121"/>
      <c r="C161" s="76"/>
    </row>
    <row r="162" spans="1:3" x14ac:dyDescent="0.25">
      <c r="A162" s="76">
        <v>2</v>
      </c>
      <c r="B162" s="121"/>
      <c r="C162" s="76"/>
    </row>
    <row r="163" spans="1:3" x14ac:dyDescent="0.25">
      <c r="A163" s="76">
        <v>2</v>
      </c>
      <c r="B163" s="121"/>
      <c r="C163" s="76"/>
    </row>
    <row r="164" spans="1:3" x14ac:dyDescent="0.25">
      <c r="A164" s="76">
        <v>2</v>
      </c>
      <c r="B164" s="121"/>
      <c r="C164" s="76"/>
    </row>
    <row r="165" spans="1:3" x14ac:dyDescent="0.25">
      <c r="A165" s="76">
        <v>2</v>
      </c>
      <c r="B165" s="121"/>
      <c r="C165" s="76"/>
    </row>
    <row r="166" spans="1:3" x14ac:dyDescent="0.25">
      <c r="A166" s="76">
        <v>2</v>
      </c>
      <c r="B166" s="121"/>
      <c r="C166" s="76"/>
    </row>
    <row r="167" spans="1:3" x14ac:dyDescent="0.25">
      <c r="A167" s="76">
        <v>2</v>
      </c>
      <c r="B167" s="121"/>
      <c r="C167" s="76"/>
    </row>
    <row r="168" spans="1:3" x14ac:dyDescent="0.25">
      <c r="A168" s="76">
        <v>2</v>
      </c>
      <c r="B168" s="121"/>
      <c r="C168" s="76"/>
    </row>
    <row r="169" spans="1:3" x14ac:dyDescent="0.25">
      <c r="A169" s="76">
        <v>2</v>
      </c>
      <c r="B169" s="121"/>
      <c r="C169" s="76"/>
    </row>
    <row r="170" spans="1:3" x14ac:dyDescent="0.25">
      <c r="A170" s="76">
        <v>2</v>
      </c>
      <c r="B170" s="121"/>
      <c r="C170" s="76"/>
    </row>
    <row r="171" spans="1:3" x14ac:dyDescent="0.25">
      <c r="A171" s="76">
        <v>2</v>
      </c>
      <c r="B171" s="121"/>
      <c r="C171" s="76"/>
    </row>
    <row r="172" spans="1:3" x14ac:dyDescent="0.25">
      <c r="A172" s="76">
        <v>2</v>
      </c>
      <c r="B172" s="121"/>
      <c r="C172" s="76"/>
    </row>
    <row r="173" spans="1:3" x14ac:dyDescent="0.25">
      <c r="A173" s="76">
        <v>2</v>
      </c>
      <c r="B173" s="121"/>
      <c r="C173" s="76"/>
    </row>
    <row r="174" spans="1:3" x14ac:dyDescent="0.25">
      <c r="A174" s="76">
        <v>2</v>
      </c>
      <c r="B174" s="121"/>
      <c r="C174" s="76"/>
    </row>
    <row r="175" spans="1:3" x14ac:dyDescent="0.25">
      <c r="A175" s="76">
        <v>2</v>
      </c>
      <c r="B175" s="121"/>
      <c r="C175" s="76"/>
    </row>
    <row r="176" spans="1:3" x14ac:dyDescent="0.25">
      <c r="A176" s="76">
        <v>2</v>
      </c>
      <c r="B176" s="121"/>
      <c r="C176" s="76"/>
    </row>
    <row r="177" spans="1:3" x14ac:dyDescent="0.25">
      <c r="A177" s="76">
        <v>2</v>
      </c>
      <c r="B177" s="121"/>
      <c r="C177" s="76"/>
    </row>
    <row r="178" spans="1:3" x14ac:dyDescent="0.25">
      <c r="A178" s="76">
        <v>2</v>
      </c>
      <c r="B178" s="121"/>
      <c r="C178" s="76"/>
    </row>
    <row r="179" spans="1:3" x14ac:dyDescent="0.25">
      <c r="A179" s="76">
        <v>2</v>
      </c>
      <c r="B179" s="121"/>
      <c r="C179" s="76"/>
    </row>
    <row r="180" spans="1:3" x14ac:dyDescent="0.25">
      <c r="A180" s="76">
        <v>2</v>
      </c>
      <c r="B180" s="121"/>
      <c r="C180" s="76"/>
    </row>
    <row r="181" spans="1:3" x14ac:dyDescent="0.25">
      <c r="A181" s="76">
        <v>2</v>
      </c>
      <c r="B181" s="121"/>
      <c r="C181" s="76"/>
    </row>
    <row r="182" spans="1:3" x14ac:dyDescent="0.25">
      <c r="A182" s="76">
        <v>2</v>
      </c>
      <c r="B182" s="121"/>
      <c r="C182" s="76"/>
    </row>
    <row r="183" spans="1:3" x14ac:dyDescent="0.25">
      <c r="A183" s="76">
        <v>2</v>
      </c>
      <c r="B183" s="121"/>
      <c r="C183" s="76"/>
    </row>
    <row r="184" spans="1:3" x14ac:dyDescent="0.25">
      <c r="A184" s="76">
        <v>2</v>
      </c>
      <c r="B184" s="121"/>
      <c r="C184" s="76"/>
    </row>
    <row r="185" spans="1:3" x14ac:dyDescent="0.25">
      <c r="A185" s="76">
        <v>3</v>
      </c>
      <c r="B185" s="121"/>
      <c r="C185" s="76"/>
    </row>
    <row r="186" spans="1:3" x14ac:dyDescent="0.25">
      <c r="A186" s="76">
        <v>3</v>
      </c>
      <c r="B186" s="121"/>
      <c r="C186" s="76"/>
    </row>
    <row r="187" spans="1:3" x14ac:dyDescent="0.25">
      <c r="A187" s="76">
        <v>3</v>
      </c>
      <c r="B187" s="121"/>
      <c r="C187" s="76"/>
    </row>
    <row r="188" spans="1:3" x14ac:dyDescent="0.25">
      <c r="A188" s="76">
        <v>3</v>
      </c>
      <c r="B188" s="121"/>
      <c r="C188" s="76"/>
    </row>
    <row r="189" spans="1:3" x14ac:dyDescent="0.25">
      <c r="A189" s="76">
        <v>3</v>
      </c>
      <c r="B189" s="121"/>
      <c r="C189" s="76"/>
    </row>
    <row r="190" spans="1:3" x14ac:dyDescent="0.25">
      <c r="A190" s="76">
        <v>3</v>
      </c>
      <c r="B190" s="121"/>
      <c r="C190" s="76"/>
    </row>
    <row r="191" spans="1:3" x14ac:dyDescent="0.25">
      <c r="A191" s="76">
        <v>3</v>
      </c>
      <c r="B191" s="121"/>
      <c r="C191" s="76"/>
    </row>
    <row r="192" spans="1:3" x14ac:dyDescent="0.25">
      <c r="A192" s="76">
        <v>3</v>
      </c>
      <c r="B192" s="121"/>
      <c r="C192" s="76"/>
    </row>
    <row r="193" spans="1:3" x14ac:dyDescent="0.25">
      <c r="A193" s="76">
        <v>3</v>
      </c>
      <c r="B193" s="121"/>
      <c r="C193" s="76"/>
    </row>
    <row r="194" spans="1:3" x14ac:dyDescent="0.25">
      <c r="A194" s="76">
        <v>3</v>
      </c>
      <c r="B194" s="121"/>
      <c r="C194" s="76"/>
    </row>
    <row r="195" spans="1:3" x14ac:dyDescent="0.25">
      <c r="A195" s="76">
        <v>3</v>
      </c>
      <c r="B195" s="121"/>
      <c r="C195" s="76"/>
    </row>
    <row r="196" spans="1:3" x14ac:dyDescent="0.25">
      <c r="A196" s="76">
        <v>3</v>
      </c>
      <c r="B196" s="121"/>
      <c r="C196" s="76"/>
    </row>
    <row r="197" spans="1:3" x14ac:dyDescent="0.25">
      <c r="A197" s="76">
        <v>3</v>
      </c>
      <c r="B197" s="121"/>
      <c r="C197" s="76"/>
    </row>
    <row r="198" spans="1:3" x14ac:dyDescent="0.25">
      <c r="A198" s="76">
        <v>3</v>
      </c>
      <c r="B198" s="121"/>
      <c r="C198" s="76"/>
    </row>
    <row r="199" spans="1:3" x14ac:dyDescent="0.25">
      <c r="A199" s="76">
        <v>3</v>
      </c>
      <c r="B199" s="121"/>
      <c r="C199" s="76"/>
    </row>
    <row r="200" spans="1:3" x14ac:dyDescent="0.25">
      <c r="A200" s="76">
        <v>3</v>
      </c>
      <c r="B200" s="121"/>
      <c r="C200" s="76"/>
    </row>
    <row r="201" spans="1:3" x14ac:dyDescent="0.25">
      <c r="A201" s="76">
        <v>3</v>
      </c>
      <c r="B201" s="121"/>
      <c r="C201" s="76"/>
    </row>
    <row r="202" spans="1:3" x14ac:dyDescent="0.25">
      <c r="A202" s="76">
        <v>3</v>
      </c>
      <c r="B202" s="121"/>
      <c r="C202" s="76"/>
    </row>
    <row r="203" spans="1:3" x14ac:dyDescent="0.25">
      <c r="A203" s="76">
        <v>3</v>
      </c>
      <c r="B203" s="121"/>
      <c r="C203" s="76"/>
    </row>
    <row r="204" spans="1:3" x14ac:dyDescent="0.25">
      <c r="A204" s="76">
        <v>3</v>
      </c>
      <c r="B204" s="121"/>
      <c r="C204" s="76"/>
    </row>
    <row r="205" spans="1:3" x14ac:dyDescent="0.25">
      <c r="A205" s="76">
        <v>3</v>
      </c>
      <c r="B205" s="121"/>
      <c r="C205" s="76"/>
    </row>
    <row r="206" spans="1:3" x14ac:dyDescent="0.25">
      <c r="A206" s="76">
        <v>3</v>
      </c>
      <c r="B206" s="121"/>
      <c r="C206" s="76"/>
    </row>
    <row r="207" spans="1:3" x14ac:dyDescent="0.25">
      <c r="A207" s="76">
        <v>3</v>
      </c>
      <c r="B207" s="121"/>
      <c r="C207" s="76"/>
    </row>
    <row r="208" spans="1:3" x14ac:dyDescent="0.25">
      <c r="A208" s="76">
        <v>3</v>
      </c>
      <c r="B208" s="121"/>
      <c r="C208" s="76"/>
    </row>
    <row r="209" spans="1:3" x14ac:dyDescent="0.25">
      <c r="A209" s="76">
        <v>3</v>
      </c>
      <c r="B209" s="121"/>
      <c r="C209" s="76"/>
    </row>
    <row r="210" spans="1:3" x14ac:dyDescent="0.25">
      <c r="A210" s="76">
        <v>3</v>
      </c>
      <c r="B210" s="121"/>
      <c r="C210" s="76"/>
    </row>
    <row r="211" spans="1:3" x14ac:dyDescent="0.25">
      <c r="A211" s="76">
        <v>3</v>
      </c>
      <c r="B211" s="121"/>
      <c r="C211" s="76"/>
    </row>
    <row r="212" spans="1:3" x14ac:dyDescent="0.25">
      <c r="A212" s="76">
        <v>4</v>
      </c>
      <c r="B212" s="121"/>
      <c r="C212" s="76"/>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B23" sqref="B23"/>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152</v>
      </c>
      <c r="B1" s="13" t="s">
        <v>13</v>
      </c>
      <c r="D1" t="s">
        <v>73</v>
      </c>
      <c r="E1" t="s">
        <v>74</v>
      </c>
      <c r="F1" s="34" t="s">
        <v>80</v>
      </c>
      <c r="G1" s="35" t="s">
        <v>81</v>
      </c>
      <c r="H1" s="34" t="s">
        <v>86</v>
      </c>
      <c r="I1" s="35" t="s">
        <v>87</v>
      </c>
      <c r="J1" s="34" t="s">
        <v>92</v>
      </c>
      <c r="K1" s="35" t="s">
        <v>93</v>
      </c>
      <c r="L1" s="34" t="s">
        <v>98</v>
      </c>
      <c r="M1" s="35" t="s">
        <v>99</v>
      </c>
      <c r="N1" s="34" t="s">
        <v>104</v>
      </c>
      <c r="O1" s="35" t="s">
        <v>105</v>
      </c>
      <c r="P1" s="35" t="s">
        <v>131</v>
      </c>
      <c r="Q1" s="35" t="s">
        <v>132</v>
      </c>
      <c r="R1" s="34" t="s">
        <v>110</v>
      </c>
      <c r="S1" s="34" t="s">
        <v>111</v>
      </c>
      <c r="T1" s="34" t="s">
        <v>116</v>
      </c>
      <c r="U1" s="35" t="s">
        <v>117</v>
      </c>
      <c r="W1" t="s">
        <v>121</v>
      </c>
      <c r="X1" t="s">
        <v>13</v>
      </c>
    </row>
    <row r="2" spans="1:24" ht="15.75" thickTop="1" x14ac:dyDescent="0.25">
      <c r="A2" s="33" t="s">
        <v>174</v>
      </c>
      <c r="B2" s="33" t="s">
        <v>173</v>
      </c>
      <c r="D2" s="30">
        <f>MIN(Vertices[Degree])</f>
        <v>0</v>
      </c>
      <c r="E2" s="3">
        <f>COUNTIF(Vertices[Degree], "&gt;= " &amp; D2) - COUNTIF(Vertices[Degree], "&gt;=" &amp; D3)</f>
        <v>35</v>
      </c>
      <c r="F2" s="36">
        <f>MIN(Vertices[In-Degree])</f>
        <v>0</v>
      </c>
      <c r="G2" s="37">
        <f>COUNTIF(Vertices[In-Degree], "&gt;= " &amp; F2) - COUNTIF(Vertices[In-Degree], "&gt;=" &amp; F3)</f>
        <v>43</v>
      </c>
      <c r="H2" s="36">
        <f>MIN(Vertices[Out-Degree])</f>
        <v>0</v>
      </c>
      <c r="I2" s="37">
        <f>COUNTIF(Vertices[Out-Degree], "&gt;= " &amp; H2) - COUNTIF(Vertices[Out-Degree], "&gt;=" &amp; H3)</f>
        <v>41</v>
      </c>
      <c r="J2" s="36">
        <f>MIN(Vertices[Betweenness Centrality])</f>
        <v>0</v>
      </c>
      <c r="K2" s="37">
        <f>COUNTIF(Vertices[Betweenness Centrality], "&gt;= " &amp; J2) - COUNTIF(Vertices[Betweenness Centrality], "&gt;=" &amp; J3)</f>
        <v>140</v>
      </c>
      <c r="L2" s="36">
        <f>MIN(Vertices[Closeness Centrality])</f>
        <v>1.335E-3</v>
      </c>
      <c r="M2" s="37">
        <f>COUNTIF(Vertices[Closeness Centrality], "&gt;= " &amp; L2) - COUNTIF(Vertices[Closeness Centrality], "&gt;=" &amp; L3)</f>
        <v>2</v>
      </c>
      <c r="N2" s="36">
        <f>MIN(Vertices[Eigenvector Centrality])</f>
        <v>5.1999999999999997E-5</v>
      </c>
      <c r="O2" s="37">
        <f>COUNTIF(Vertices[Eigenvector Centrality], "&gt;= " &amp; N2) - COUNTIF(Vertices[Eigenvector Centrality], "&gt;=" &amp; N3)</f>
        <v>20</v>
      </c>
      <c r="P2" s="36">
        <f>MIN(Vertices[PageRank])</f>
        <v>0</v>
      </c>
      <c r="Q2" s="37">
        <f>COUNTIF(Vertices[PageRank], "&gt;= " &amp; P2) - COUNTIF(Vertices[PageRank], "&gt;=" &amp; P3)</f>
        <v>0</v>
      </c>
      <c r="R2" s="36">
        <f>MIN(Vertices[Clustering Coefficient])</f>
        <v>0</v>
      </c>
      <c r="S2" s="42">
        <f>COUNTIF(Vertices[Clustering Coefficient], "&gt;= " &amp; R2) - COUNTIF(Vertices[Clustering Coefficient], "&gt;=" &amp; R3)</f>
        <v>19</v>
      </c>
      <c r="T2" s="36" t="e">
        <f ca="1">MIN(INDIRECT(DynamicFilterSourceColumnRange))</f>
        <v>#REF!</v>
      </c>
      <c r="U2" s="37" t="e">
        <f t="shared" ref="U2:U57" ca="1" si="0">COUNTIF(INDIRECT(DynamicFilterSourceColumnRange), "&gt;= " &amp; T2) - COUNTIF(INDIRECT(DynamicFilterSourceColumnRange), "&gt;=" &amp; T3)</f>
        <v>#REF!</v>
      </c>
      <c r="W2" t="s">
        <v>118</v>
      </c>
      <c r="X2">
        <f>ROWS(HistogramBins[Degree Bin]) - 1</f>
        <v>55</v>
      </c>
    </row>
    <row r="3" spans="1:24" x14ac:dyDescent="0.25">
      <c r="A3" s="98"/>
      <c r="B3" s="98"/>
      <c r="D3" s="31">
        <f t="shared" ref="D3:D26" si="1">D2+($D$57-$D$2)/BinDivisor</f>
        <v>2.1818181818181817</v>
      </c>
      <c r="E3" s="3">
        <f>COUNTIF(Vertices[Degree], "&gt;= " &amp; D3) - COUNTIF(Vertices[Degree], "&gt;=" &amp; D4)</f>
        <v>21</v>
      </c>
      <c r="F3" s="38">
        <f t="shared" ref="F3:F26" si="2">F2+($F$57-$F$2)/BinDivisor</f>
        <v>2.0363636363636362</v>
      </c>
      <c r="G3" s="39">
        <f>COUNTIF(Vertices[In-Degree], "&gt;= " &amp; F3) - COUNTIF(Vertices[In-Degree], "&gt;=" &amp; F4)</f>
        <v>27</v>
      </c>
      <c r="H3" s="38">
        <f t="shared" ref="H3:H26" si="3">H2+($H$57-$H$2)/BinDivisor</f>
        <v>1.2545454545454546</v>
      </c>
      <c r="I3" s="39">
        <f>COUNTIF(Vertices[Out-Degree], "&gt;= " &amp; H3) - COUNTIF(Vertices[Out-Degree], "&gt;=" &amp; H4)</f>
        <v>15</v>
      </c>
      <c r="J3" s="38">
        <f t="shared" ref="J3:J26" si="4">J2+($J$57-$J$2)/BinDivisor</f>
        <v>172.84708139999998</v>
      </c>
      <c r="K3" s="39">
        <f>COUNTIF(Vertices[Betweenness Centrality], "&gt;= " &amp; J3) - COUNTIF(Vertices[Betweenness Centrality], "&gt;=" &amp; J4)</f>
        <v>22</v>
      </c>
      <c r="L3" s="38">
        <f t="shared" ref="L3:L26" si="5">L2+($L$57-$L$2)/BinDivisor</f>
        <v>1.3691818181818182E-3</v>
      </c>
      <c r="M3" s="39">
        <f>COUNTIF(Vertices[Closeness Centrality], "&gt;= " &amp; L3) - COUNTIF(Vertices[Closeness Centrality], "&gt;=" &amp; L4)</f>
        <v>0</v>
      </c>
      <c r="N3" s="38">
        <f t="shared" ref="N3:N26" si="6">N2+($N$57-$N$2)/BinDivisor</f>
        <v>5.156545454545454E-4</v>
      </c>
      <c r="O3" s="39">
        <f>COUNTIF(Vertices[Eigenvector Centrality], "&gt;= " &amp; N3) - COUNTIF(Vertices[Eigenvector Centrality], "&gt;=" &amp; N4)</f>
        <v>24</v>
      </c>
      <c r="P3" s="38">
        <f t="shared" ref="P3:P26" si="7">P2+($P$57-$P$2)/BinDivisor</f>
        <v>0</v>
      </c>
      <c r="Q3" s="39">
        <f>COUNTIF(Vertices[PageRank], "&gt;= " &amp; P3) - COUNTIF(Vertices[PageRank], "&gt;=" &amp; P4)</f>
        <v>0</v>
      </c>
      <c r="R3" s="38">
        <f t="shared" ref="R3:R26" si="8">R2+($R$57-$R$2)/BinDivisor</f>
        <v>1.8181818181818181E-2</v>
      </c>
      <c r="S3" s="43">
        <f>COUNTIF(Vertices[Clustering Coefficient], "&gt;= " &amp; R3) - COUNTIF(Vertices[Clustering Coefficient], "&gt;=" &amp; R4)</f>
        <v>0</v>
      </c>
      <c r="T3" s="38" t="e">
        <f t="shared" ref="T3:T26" ca="1" si="9">T2+($T$57-$T$2)/BinDivisor</f>
        <v>#REF!</v>
      </c>
      <c r="U3" s="39" t="e">
        <f t="shared" ca="1" si="0"/>
        <v>#REF!</v>
      </c>
      <c r="W3" t="s">
        <v>119</v>
      </c>
      <c r="X3" t="s">
        <v>79</v>
      </c>
    </row>
    <row r="4" spans="1:24" x14ac:dyDescent="0.25">
      <c r="A4" s="33" t="s">
        <v>139</v>
      </c>
      <c r="B4" s="33">
        <v>211</v>
      </c>
      <c r="D4" s="31">
        <f t="shared" si="1"/>
        <v>4.3636363636363633</v>
      </c>
      <c r="E4" s="3">
        <f>COUNTIF(Vertices[Degree], "&gt;= " &amp; D4) - COUNTIF(Vertices[Degree], "&gt;=" &amp; D5)</f>
        <v>18</v>
      </c>
      <c r="F4" s="36">
        <f t="shared" si="2"/>
        <v>4.0727272727272723</v>
      </c>
      <c r="G4" s="37">
        <f>COUNTIF(Vertices[In-Degree], "&gt;= " &amp; F4) - COUNTIF(Vertices[In-Degree], "&gt;=" &amp; F5)</f>
        <v>33</v>
      </c>
      <c r="H4" s="36">
        <f t="shared" si="3"/>
        <v>2.5090909090909093</v>
      </c>
      <c r="I4" s="37">
        <f>COUNTIF(Vertices[Out-Degree], "&gt;= " &amp; H4) - COUNTIF(Vertices[Out-Degree], "&gt;=" &amp; H5)</f>
        <v>12</v>
      </c>
      <c r="J4" s="36">
        <f t="shared" si="4"/>
        <v>345.69416279999996</v>
      </c>
      <c r="K4" s="37">
        <f>COUNTIF(Vertices[Betweenness Centrality], "&gt;= " &amp; J4) - COUNTIF(Vertices[Betweenness Centrality], "&gt;=" &amp; J5)</f>
        <v>18</v>
      </c>
      <c r="L4" s="36">
        <f t="shared" si="5"/>
        <v>1.4033636363636364E-3</v>
      </c>
      <c r="M4" s="37">
        <f>COUNTIF(Vertices[Closeness Centrality], "&gt;= " &amp; L4) - COUNTIF(Vertices[Closeness Centrality], "&gt;=" &amp; L5)</f>
        <v>0</v>
      </c>
      <c r="N4" s="36">
        <f t="shared" si="6"/>
        <v>9.7930909090909084E-4</v>
      </c>
      <c r="O4" s="37">
        <f>COUNTIF(Vertices[Eigenvector Centrality], "&gt;= " &amp; N4) - COUNTIF(Vertices[Eigenvector Centrality], "&gt;=" &amp; N5)</f>
        <v>15</v>
      </c>
      <c r="P4" s="36">
        <f t="shared" si="7"/>
        <v>0</v>
      </c>
      <c r="Q4" s="37">
        <f>COUNTIF(Vertices[PageRank], "&gt;= " &amp; P4) - COUNTIF(Vertices[PageRank], "&gt;=" &amp; P5)</f>
        <v>0</v>
      </c>
      <c r="R4" s="36">
        <f t="shared" si="8"/>
        <v>3.6363636363636362E-2</v>
      </c>
      <c r="S4" s="42">
        <f>COUNTIF(Vertices[Clustering Coefficient], "&gt;= " &amp; R4) - COUNTIF(Vertices[Clustering Coefficient], "&gt;=" &amp; R5)</f>
        <v>0</v>
      </c>
      <c r="T4" s="36" t="e">
        <f t="shared" ca="1" si="9"/>
        <v>#REF!</v>
      </c>
      <c r="U4" s="37" t="e">
        <f t="shared" ca="1" si="0"/>
        <v>#REF!</v>
      </c>
      <c r="W4" s="12" t="s">
        <v>120</v>
      </c>
      <c r="X4" s="12" t="s">
        <v>122</v>
      </c>
    </row>
    <row r="5" spans="1:24" x14ac:dyDescent="0.25">
      <c r="A5" s="98"/>
      <c r="B5" s="98"/>
      <c r="D5" s="31">
        <f t="shared" si="1"/>
        <v>6.545454545454545</v>
      </c>
      <c r="E5" s="3">
        <f>COUNTIF(Vertices[Degree], "&gt;= " &amp; D5) - COUNTIF(Vertices[Degree], "&gt;=" &amp; D6)</f>
        <v>10</v>
      </c>
      <c r="F5" s="38">
        <f t="shared" si="2"/>
        <v>6.1090909090909085</v>
      </c>
      <c r="G5" s="39">
        <f>COUNTIF(Vertices[In-Degree], "&gt;= " &amp; F5) - COUNTIF(Vertices[In-Degree], "&gt;=" &amp; F6)</f>
        <v>22</v>
      </c>
      <c r="H5" s="38">
        <f t="shared" si="3"/>
        <v>3.7636363636363637</v>
      </c>
      <c r="I5" s="39">
        <f>COUNTIF(Vertices[Out-Degree], "&gt;= " &amp; H5) - COUNTIF(Vertices[Out-Degree], "&gt;=" &amp; H6)</f>
        <v>25</v>
      </c>
      <c r="J5" s="38">
        <f t="shared" si="4"/>
        <v>518.54124419999994</v>
      </c>
      <c r="K5" s="39">
        <f>COUNTIF(Vertices[Betweenness Centrality], "&gt;= " &amp; J5) - COUNTIF(Vertices[Betweenness Centrality], "&gt;=" &amp; J6)</f>
        <v>11</v>
      </c>
      <c r="L5" s="38">
        <f t="shared" si="5"/>
        <v>1.4375454545454546E-3</v>
      </c>
      <c r="M5" s="39">
        <f>COUNTIF(Vertices[Closeness Centrality], "&gt;= " &amp; L5) - COUNTIF(Vertices[Closeness Centrality], "&gt;=" &amp; L6)</f>
        <v>2</v>
      </c>
      <c r="N5" s="38">
        <f t="shared" si="6"/>
        <v>1.4429636363636363E-3</v>
      </c>
      <c r="O5" s="39">
        <f>COUNTIF(Vertices[Eigenvector Centrality], "&gt;= " &amp; N5) - COUNTIF(Vertices[Eigenvector Centrality], "&gt;=" &amp; N6)</f>
        <v>14</v>
      </c>
      <c r="P5" s="38">
        <f t="shared" si="7"/>
        <v>0</v>
      </c>
      <c r="Q5" s="39">
        <f>COUNTIF(Vertices[PageRank], "&gt;= " &amp; P5) - COUNTIF(Vertices[PageRank], "&gt;=" &amp; P6)</f>
        <v>0</v>
      </c>
      <c r="R5" s="38">
        <f t="shared" si="8"/>
        <v>5.4545454545454543E-2</v>
      </c>
      <c r="S5" s="43">
        <f>COUNTIF(Vertices[Clustering Coefficient], "&gt;= " &amp; R5) - COUNTIF(Vertices[Clustering Coefficient], "&gt;=" &amp; R6)</f>
        <v>0</v>
      </c>
      <c r="T5" s="38" t="e">
        <f t="shared" ca="1" si="9"/>
        <v>#REF!</v>
      </c>
      <c r="U5" s="39" t="e">
        <f t="shared" ca="1" si="0"/>
        <v>#REF!</v>
      </c>
    </row>
    <row r="6" spans="1:24" x14ac:dyDescent="0.25">
      <c r="A6" s="33" t="s">
        <v>140</v>
      </c>
      <c r="B6" s="33">
        <v>1004</v>
      </c>
      <c r="D6" s="31">
        <f t="shared" si="1"/>
        <v>8.7272727272727266</v>
      </c>
      <c r="E6" s="3">
        <f>COUNTIF(Vertices[Degree], "&gt;= " &amp; D6) - COUNTIF(Vertices[Degree], "&gt;=" &amp; D7)</f>
        <v>12</v>
      </c>
      <c r="F6" s="36">
        <f t="shared" si="2"/>
        <v>8.1454545454545446</v>
      </c>
      <c r="G6" s="37">
        <f>COUNTIF(Vertices[In-Degree], "&gt;= " &amp; F6) - COUNTIF(Vertices[In-Degree], "&gt;=" &amp; F7)</f>
        <v>16</v>
      </c>
      <c r="H6" s="36">
        <f t="shared" si="3"/>
        <v>5.0181818181818185</v>
      </c>
      <c r="I6" s="37">
        <f>COUNTIF(Vertices[Out-Degree], "&gt;= " &amp; H6) - COUNTIF(Vertices[Out-Degree], "&gt;=" &amp; H7)</f>
        <v>5</v>
      </c>
      <c r="J6" s="36">
        <f t="shared" si="4"/>
        <v>691.38832559999992</v>
      </c>
      <c r="K6" s="37">
        <f>COUNTIF(Vertices[Betweenness Centrality], "&gt;= " &amp; J6) - COUNTIF(Vertices[Betweenness Centrality], "&gt;=" &amp; J7)</f>
        <v>5</v>
      </c>
      <c r="L6" s="36">
        <f t="shared" si="5"/>
        <v>1.4717272727272728E-3</v>
      </c>
      <c r="M6" s="37">
        <f>COUNTIF(Vertices[Closeness Centrality], "&gt;= " &amp; L6) - COUNTIF(Vertices[Closeness Centrality], "&gt;=" &amp; L7)</f>
        <v>5</v>
      </c>
      <c r="N6" s="36">
        <f t="shared" si="6"/>
        <v>1.9066181818181817E-3</v>
      </c>
      <c r="O6" s="37">
        <f>COUNTIF(Vertices[Eigenvector Centrality], "&gt;= " &amp; N6) - COUNTIF(Vertices[Eigenvector Centrality], "&gt;=" &amp; N7)</f>
        <v>22</v>
      </c>
      <c r="P6" s="36">
        <f t="shared" si="7"/>
        <v>0</v>
      </c>
      <c r="Q6" s="37">
        <f>COUNTIF(Vertices[PageRank], "&gt;= " &amp; P6) - COUNTIF(Vertices[PageRank], "&gt;=" &amp; P7)</f>
        <v>0</v>
      </c>
      <c r="R6" s="36">
        <f t="shared" si="8"/>
        <v>7.2727272727272724E-2</v>
      </c>
      <c r="S6" s="42">
        <f>COUNTIF(Vertices[Clustering Coefficient], "&gt;= " &amp; R6) - COUNTIF(Vertices[Clustering Coefficient], "&gt;=" &amp; R7)</f>
        <v>0</v>
      </c>
      <c r="T6" s="36" t="e">
        <f t="shared" ca="1" si="9"/>
        <v>#REF!</v>
      </c>
      <c r="U6" s="37" t="e">
        <f t="shared" ca="1" si="0"/>
        <v>#REF!</v>
      </c>
    </row>
    <row r="7" spans="1:24" x14ac:dyDescent="0.25">
      <c r="A7" s="33" t="s">
        <v>141</v>
      </c>
      <c r="B7" s="33">
        <v>11752</v>
      </c>
      <c r="D7" s="31">
        <f t="shared" si="1"/>
        <v>10.909090909090908</v>
      </c>
      <c r="E7" s="3">
        <f>COUNTIF(Vertices[Degree], "&gt;= " &amp; D7) - COUNTIF(Vertices[Degree], "&gt;=" &amp; D8)</f>
        <v>15</v>
      </c>
      <c r="F7" s="38">
        <f t="shared" si="2"/>
        <v>10.18181818181818</v>
      </c>
      <c r="G7" s="39">
        <f>COUNTIF(Vertices[In-Degree], "&gt;= " &amp; F7) - COUNTIF(Vertices[In-Degree], "&gt;=" &amp; F8)</f>
        <v>7</v>
      </c>
      <c r="H7" s="38">
        <f t="shared" si="3"/>
        <v>6.2727272727272734</v>
      </c>
      <c r="I7" s="39">
        <f>COUNTIF(Vertices[Out-Degree], "&gt;= " &amp; H7) - COUNTIF(Vertices[Out-Degree], "&gt;=" &amp; H8)</f>
        <v>9</v>
      </c>
      <c r="J7" s="38">
        <f t="shared" si="4"/>
        <v>864.2354069999999</v>
      </c>
      <c r="K7" s="39">
        <f>COUNTIF(Vertices[Betweenness Centrality], "&gt;= " &amp; J7) - COUNTIF(Vertices[Betweenness Centrality], "&gt;=" &amp; J8)</f>
        <v>4</v>
      </c>
      <c r="L7" s="38">
        <f t="shared" si="5"/>
        <v>1.505909090909091E-3</v>
      </c>
      <c r="M7" s="39">
        <f>COUNTIF(Vertices[Closeness Centrality], "&gt;= " &amp; L7) - COUNTIF(Vertices[Closeness Centrality], "&gt;=" &amp; L8)</f>
        <v>4</v>
      </c>
      <c r="N7" s="38">
        <f t="shared" si="6"/>
        <v>2.3702727272727269E-3</v>
      </c>
      <c r="O7" s="39">
        <f>COUNTIF(Vertices[Eigenvector Centrality], "&gt;= " &amp; N7) - COUNTIF(Vertices[Eigenvector Centrality], "&gt;=" &amp; N8)</f>
        <v>7</v>
      </c>
      <c r="P7" s="38">
        <f t="shared" si="7"/>
        <v>0</v>
      </c>
      <c r="Q7" s="39">
        <f>COUNTIF(Vertices[PageRank], "&gt;= " &amp; P7) - COUNTIF(Vertices[PageRank], "&gt;=" &amp; P8)</f>
        <v>0</v>
      </c>
      <c r="R7" s="38">
        <f t="shared" si="8"/>
        <v>9.0909090909090912E-2</v>
      </c>
      <c r="S7" s="43">
        <f>COUNTIF(Vertices[Clustering Coefficient], "&gt;= " &amp; R7) - COUNTIF(Vertices[Clustering Coefficient], "&gt;=" &amp; R8)</f>
        <v>1</v>
      </c>
      <c r="T7" s="38" t="e">
        <f t="shared" ca="1" si="9"/>
        <v>#REF!</v>
      </c>
      <c r="U7" s="39" t="e">
        <f t="shared" ca="1" si="0"/>
        <v>#REF!</v>
      </c>
    </row>
    <row r="8" spans="1:24" x14ac:dyDescent="0.25">
      <c r="A8" s="33" t="s">
        <v>142</v>
      </c>
      <c r="B8" s="33">
        <v>12756</v>
      </c>
      <c r="D8" s="31">
        <f t="shared" si="1"/>
        <v>13.09090909090909</v>
      </c>
      <c r="E8" s="3">
        <f>COUNTIF(Vertices[Degree], "&gt;= " &amp; D8) - COUNTIF(Vertices[Degree], "&gt;=" &amp; D9)</f>
        <v>8</v>
      </c>
      <c r="F8" s="36">
        <f t="shared" si="2"/>
        <v>12.218181818181815</v>
      </c>
      <c r="G8" s="37">
        <f>COUNTIF(Vertices[In-Degree], "&gt;= " &amp; F8) - COUNTIF(Vertices[In-Degree], "&gt;=" &amp; F9)</f>
        <v>12</v>
      </c>
      <c r="H8" s="36">
        <f t="shared" si="3"/>
        <v>7.5272727272727282</v>
      </c>
      <c r="I8" s="37">
        <f>COUNTIF(Vertices[Out-Degree], "&gt;= " &amp; H8) - COUNTIF(Vertices[Out-Degree], "&gt;=" &amp; H9)</f>
        <v>8</v>
      </c>
      <c r="J8" s="36">
        <f t="shared" si="4"/>
        <v>1037.0824883999999</v>
      </c>
      <c r="K8" s="37">
        <f>COUNTIF(Vertices[Betweenness Centrality], "&gt;= " &amp; J8) - COUNTIF(Vertices[Betweenness Centrality], "&gt;=" &amp; J9)</f>
        <v>0</v>
      </c>
      <c r="L8" s="36">
        <f t="shared" si="5"/>
        <v>1.5400909090909091E-3</v>
      </c>
      <c r="M8" s="37">
        <f>COUNTIF(Vertices[Closeness Centrality], "&gt;= " &amp; L8) - COUNTIF(Vertices[Closeness Centrality], "&gt;=" &amp; L9)</f>
        <v>0</v>
      </c>
      <c r="N8" s="36">
        <f t="shared" si="6"/>
        <v>2.8339272727272722E-3</v>
      </c>
      <c r="O8" s="37">
        <f>COUNTIF(Vertices[Eigenvector Centrality], "&gt;= " &amp; N8) - COUNTIF(Vertices[Eigenvector Centrality], "&gt;=" &amp; N9)</f>
        <v>6</v>
      </c>
      <c r="P8" s="36">
        <f t="shared" si="7"/>
        <v>0</v>
      </c>
      <c r="Q8" s="37">
        <f>COUNTIF(Vertices[PageRank], "&gt;= " &amp; P8) - COUNTIF(Vertices[PageRank], "&gt;=" &amp; P9)</f>
        <v>0</v>
      </c>
      <c r="R8" s="36">
        <f t="shared" si="8"/>
        <v>0.1090909090909091</v>
      </c>
      <c r="S8" s="42">
        <f>COUNTIF(Vertices[Clustering Coefficient], "&gt;= " &amp; R8) - COUNTIF(Vertices[Clustering Coefficient], "&gt;=" &amp; R9)</f>
        <v>1</v>
      </c>
      <c r="T8" s="36" t="e">
        <f t="shared" ca="1" si="9"/>
        <v>#REF!</v>
      </c>
      <c r="U8" s="37" t="e">
        <f t="shared" ca="1" si="0"/>
        <v>#REF!</v>
      </c>
    </row>
    <row r="9" spans="1:24" x14ac:dyDescent="0.25">
      <c r="A9" s="98"/>
      <c r="B9" s="98"/>
      <c r="D9" s="31">
        <f t="shared" si="1"/>
        <v>15.272727272727272</v>
      </c>
      <c r="E9" s="3">
        <f>COUNTIF(Vertices[Degree], "&gt;= " &amp; D9) - COUNTIF(Vertices[Degree], "&gt;=" &amp; D10)</f>
        <v>9</v>
      </c>
      <c r="F9" s="38">
        <f t="shared" si="2"/>
        <v>14.25454545454545</v>
      </c>
      <c r="G9" s="39">
        <f>COUNTIF(Vertices[In-Degree], "&gt;= " &amp; F9) - COUNTIF(Vertices[In-Degree], "&gt;=" &amp; F10)</f>
        <v>6</v>
      </c>
      <c r="H9" s="38">
        <f t="shared" si="3"/>
        <v>8.7818181818181831</v>
      </c>
      <c r="I9" s="39">
        <f>COUNTIF(Vertices[Out-Degree], "&gt;= " &amp; H9) - COUNTIF(Vertices[Out-Degree], "&gt;=" &amp; H10)</f>
        <v>11</v>
      </c>
      <c r="J9" s="38">
        <f t="shared" si="4"/>
        <v>1209.9295697999999</v>
      </c>
      <c r="K9" s="39">
        <f>COUNTIF(Vertices[Betweenness Centrality], "&gt;= " &amp; J9) - COUNTIF(Vertices[Betweenness Centrality], "&gt;=" &amp; J10)</f>
        <v>5</v>
      </c>
      <c r="L9" s="38">
        <f t="shared" si="5"/>
        <v>1.5742727272727273E-3</v>
      </c>
      <c r="M9" s="39">
        <f>COUNTIF(Vertices[Closeness Centrality], "&gt;= " &amp; L9) - COUNTIF(Vertices[Closeness Centrality], "&gt;=" &amp; L10)</f>
        <v>5</v>
      </c>
      <c r="N9" s="38">
        <f t="shared" si="6"/>
        <v>3.2975818181818174E-3</v>
      </c>
      <c r="O9" s="39">
        <f>COUNTIF(Vertices[Eigenvector Centrality], "&gt;= " &amp; N9) - COUNTIF(Vertices[Eigenvector Centrality], "&gt;=" &amp; N10)</f>
        <v>4</v>
      </c>
      <c r="P9" s="38">
        <f t="shared" si="7"/>
        <v>0</v>
      </c>
      <c r="Q9" s="39">
        <f>COUNTIF(Vertices[PageRank], "&gt;= " &amp; P9) - COUNTIF(Vertices[PageRank], "&gt;=" &amp; P10)</f>
        <v>0</v>
      </c>
      <c r="R9" s="38">
        <f t="shared" si="8"/>
        <v>0.12727272727272729</v>
      </c>
      <c r="S9" s="43">
        <f>COUNTIF(Vertices[Clustering Coefficient], "&gt;= " &amp; R9) - COUNTIF(Vertices[Clustering Coefficient], "&gt;=" &amp; R10)</f>
        <v>3</v>
      </c>
      <c r="T9" s="38" t="e">
        <f t="shared" ca="1" si="9"/>
        <v>#REF!</v>
      </c>
      <c r="U9" s="39" t="e">
        <f t="shared" ca="1" si="0"/>
        <v>#REF!</v>
      </c>
    </row>
    <row r="10" spans="1:24" x14ac:dyDescent="0.25">
      <c r="A10" s="33" t="s">
        <v>143</v>
      </c>
      <c r="B10" s="33">
        <v>0</v>
      </c>
      <c r="D10" s="31">
        <f t="shared" si="1"/>
        <v>17.454545454545453</v>
      </c>
      <c r="E10" s="3">
        <f>COUNTIF(Vertices[Degree], "&gt;= " &amp; D10) - COUNTIF(Vertices[Degree], "&gt;=" &amp; D11)</f>
        <v>13</v>
      </c>
      <c r="F10" s="36">
        <f t="shared" si="2"/>
        <v>16.290909090909086</v>
      </c>
      <c r="G10" s="37">
        <f>COUNTIF(Vertices[In-Degree], "&gt;= " &amp; F10) - COUNTIF(Vertices[In-Degree], "&gt;=" &amp; F11)</f>
        <v>5</v>
      </c>
      <c r="H10" s="36">
        <f t="shared" si="3"/>
        <v>10.036363636363637</v>
      </c>
      <c r="I10" s="37">
        <f>COUNTIF(Vertices[Out-Degree], "&gt;= " &amp; H10) - COUNTIF(Vertices[Out-Degree], "&gt;=" &amp; H11)</f>
        <v>6</v>
      </c>
      <c r="J10" s="36">
        <f t="shared" si="4"/>
        <v>1382.7766511999998</v>
      </c>
      <c r="K10" s="37">
        <f>COUNTIF(Vertices[Betweenness Centrality], "&gt;= " &amp; J10) - COUNTIF(Vertices[Betweenness Centrality], "&gt;=" &amp; J11)</f>
        <v>1</v>
      </c>
      <c r="L10" s="36">
        <f t="shared" si="5"/>
        <v>1.6084545454545455E-3</v>
      </c>
      <c r="M10" s="37">
        <f>COUNTIF(Vertices[Closeness Centrality], "&gt;= " &amp; L10) - COUNTIF(Vertices[Closeness Centrality], "&gt;=" &amp; L11)</f>
        <v>3</v>
      </c>
      <c r="N10" s="36">
        <f t="shared" si="6"/>
        <v>3.7612363636363626E-3</v>
      </c>
      <c r="O10" s="37">
        <f>COUNTIF(Vertices[Eigenvector Centrality], "&gt;= " &amp; N10) - COUNTIF(Vertices[Eigenvector Centrality], "&gt;=" &amp; N11)</f>
        <v>10</v>
      </c>
      <c r="P10" s="36">
        <f t="shared" si="7"/>
        <v>0</v>
      </c>
      <c r="Q10" s="37">
        <f>COUNTIF(Vertices[PageRank], "&gt;= " &amp; P10) - COUNTIF(Vertices[PageRank], "&gt;=" &amp; P11)</f>
        <v>0</v>
      </c>
      <c r="R10" s="36">
        <f t="shared" si="8"/>
        <v>0.14545454545454548</v>
      </c>
      <c r="S10" s="42">
        <f>COUNTIF(Vertices[Clustering Coefficient], "&gt;= " &amp; R10) - COUNTIF(Vertices[Clustering Coefficient], "&gt;=" &amp; R11)</f>
        <v>8</v>
      </c>
      <c r="T10" s="36" t="e">
        <f t="shared" ca="1" si="9"/>
        <v>#REF!</v>
      </c>
      <c r="U10" s="37" t="e">
        <f t="shared" ca="1" si="0"/>
        <v>#REF!</v>
      </c>
    </row>
    <row r="11" spans="1:24" x14ac:dyDescent="0.25">
      <c r="A11" s="98"/>
      <c r="B11" s="98"/>
      <c r="D11" s="31">
        <f t="shared" si="1"/>
        <v>19.636363636363633</v>
      </c>
      <c r="E11" s="3">
        <f>COUNTIF(Vertices[Degree], "&gt;= " &amp; D11) - COUNTIF(Vertices[Degree], "&gt;=" &amp; D12)</f>
        <v>7</v>
      </c>
      <c r="F11" s="38">
        <f t="shared" si="2"/>
        <v>18.327272727272721</v>
      </c>
      <c r="G11" s="39">
        <f>COUNTIF(Vertices[In-Degree], "&gt;= " &amp; F11) - COUNTIF(Vertices[In-Degree], "&gt;=" &amp; F12)</f>
        <v>8</v>
      </c>
      <c r="H11" s="38">
        <f t="shared" si="3"/>
        <v>11.290909090909091</v>
      </c>
      <c r="I11" s="39">
        <f>COUNTIF(Vertices[Out-Degree], "&gt;= " &amp; H11) - COUNTIF(Vertices[Out-Degree], "&gt;=" &amp; H12)</f>
        <v>9</v>
      </c>
      <c r="J11" s="38">
        <f t="shared" si="4"/>
        <v>1555.6237325999998</v>
      </c>
      <c r="K11" s="39">
        <f>COUNTIF(Vertices[Betweenness Centrality], "&gt;= " &amp; J11) - COUNTIF(Vertices[Betweenness Centrality], "&gt;=" &amp; J12)</f>
        <v>0</v>
      </c>
      <c r="L11" s="38">
        <f t="shared" si="5"/>
        <v>1.6426363636363637E-3</v>
      </c>
      <c r="M11" s="39">
        <f>COUNTIF(Vertices[Closeness Centrality], "&gt;= " &amp; L11) - COUNTIF(Vertices[Closeness Centrality], "&gt;=" &amp; L12)</f>
        <v>3</v>
      </c>
      <c r="N11" s="38">
        <f t="shared" si="6"/>
        <v>4.2248909090909078E-3</v>
      </c>
      <c r="O11" s="39">
        <f>COUNTIF(Vertices[Eigenvector Centrality], "&gt;= " &amp; N11) - COUNTIF(Vertices[Eigenvector Centrality], "&gt;=" &amp; N12)</f>
        <v>8</v>
      </c>
      <c r="P11" s="38">
        <f t="shared" si="7"/>
        <v>0</v>
      </c>
      <c r="Q11" s="39">
        <f>COUNTIF(Vertices[PageRank], "&gt;= " &amp; P11) - COUNTIF(Vertices[PageRank], "&gt;=" &amp; P12)</f>
        <v>0</v>
      </c>
      <c r="R11" s="38">
        <f t="shared" si="8"/>
        <v>0.16363636363636366</v>
      </c>
      <c r="S11" s="43">
        <f>COUNTIF(Vertices[Clustering Coefficient], "&gt;= " &amp; R11) - COUNTIF(Vertices[Clustering Coefficient], "&gt;=" &amp; R12)</f>
        <v>12</v>
      </c>
      <c r="T11" s="38" t="e">
        <f t="shared" ca="1" si="9"/>
        <v>#REF!</v>
      </c>
      <c r="U11" s="39" t="e">
        <f t="shared" ca="1" si="0"/>
        <v>#REF!</v>
      </c>
    </row>
    <row r="12" spans="1:24" x14ac:dyDescent="0.25">
      <c r="A12" s="33" t="s">
        <v>159</v>
      </c>
      <c r="B12" s="33">
        <v>0.33720930232558138</v>
      </c>
      <c r="D12" s="31">
        <f t="shared" si="1"/>
        <v>21.818181818181813</v>
      </c>
      <c r="E12" s="3">
        <f>COUNTIF(Vertices[Degree], "&gt;= " &amp; D12) - COUNTIF(Vertices[Degree], "&gt;=" &amp; D13)</f>
        <v>9</v>
      </c>
      <c r="F12" s="36">
        <f t="shared" si="2"/>
        <v>20.363636363636356</v>
      </c>
      <c r="G12" s="37">
        <f>COUNTIF(Vertices[In-Degree], "&gt;= " &amp; F12) - COUNTIF(Vertices[In-Degree], "&gt;=" &amp; F13)</f>
        <v>6</v>
      </c>
      <c r="H12" s="36">
        <f t="shared" si="3"/>
        <v>12.545454545454545</v>
      </c>
      <c r="I12" s="37">
        <f>COUNTIF(Vertices[Out-Degree], "&gt;= " &amp; H12) - COUNTIF(Vertices[Out-Degree], "&gt;=" &amp; H13)</f>
        <v>5</v>
      </c>
      <c r="J12" s="36">
        <f t="shared" si="4"/>
        <v>1728.4708139999998</v>
      </c>
      <c r="K12" s="37">
        <f>COUNTIF(Vertices[Betweenness Centrality], "&gt;= " &amp; J12) - COUNTIF(Vertices[Betweenness Centrality], "&gt;=" &amp; J13)</f>
        <v>0</v>
      </c>
      <c r="L12" s="36">
        <f t="shared" si="5"/>
        <v>1.6768181818181819E-3</v>
      </c>
      <c r="M12" s="37">
        <f>COUNTIF(Vertices[Closeness Centrality], "&gt;= " &amp; L12) - COUNTIF(Vertices[Closeness Centrality], "&gt;=" &amp; L13)</f>
        <v>10</v>
      </c>
      <c r="N12" s="36">
        <f t="shared" si="6"/>
        <v>4.6885454545454531E-3</v>
      </c>
      <c r="O12" s="37">
        <f>COUNTIF(Vertices[Eigenvector Centrality], "&gt;= " &amp; N12) - COUNTIF(Vertices[Eigenvector Centrality], "&gt;=" &amp; N13)</f>
        <v>8</v>
      </c>
      <c r="P12" s="36">
        <f t="shared" si="7"/>
        <v>0</v>
      </c>
      <c r="Q12" s="37">
        <f>COUNTIF(Vertices[PageRank], "&gt;= " &amp; P12) - COUNTIF(Vertices[PageRank], "&gt;=" &amp; P13)</f>
        <v>0</v>
      </c>
      <c r="R12" s="36">
        <f t="shared" si="8"/>
        <v>0.18181818181818185</v>
      </c>
      <c r="S12" s="42">
        <f>COUNTIF(Vertices[Clustering Coefficient], "&gt;= " &amp; R12) - COUNTIF(Vertices[Clustering Coefficient], "&gt;=" &amp; R13)</f>
        <v>5</v>
      </c>
      <c r="T12" s="36" t="e">
        <f t="shared" ca="1" si="9"/>
        <v>#REF!</v>
      </c>
      <c r="U12" s="37" t="e">
        <f t="shared" ca="1" si="0"/>
        <v>#REF!</v>
      </c>
    </row>
    <row r="13" spans="1:24" x14ac:dyDescent="0.25">
      <c r="A13" s="33" t="s">
        <v>160</v>
      </c>
      <c r="B13" s="33">
        <v>0.5043478260869565</v>
      </c>
      <c r="D13" s="31">
        <f t="shared" si="1"/>
        <v>23.999999999999993</v>
      </c>
      <c r="E13" s="3">
        <f>COUNTIF(Vertices[Degree], "&gt;= " &amp; D13) - COUNTIF(Vertices[Degree], "&gt;=" &amp; D14)</f>
        <v>8</v>
      </c>
      <c r="F13" s="38">
        <f t="shared" si="2"/>
        <v>22.399999999999991</v>
      </c>
      <c r="G13" s="39">
        <f>COUNTIF(Vertices[In-Degree], "&gt;= " &amp; F13) - COUNTIF(Vertices[In-Degree], "&gt;=" &amp; F14)</f>
        <v>2</v>
      </c>
      <c r="H13" s="38">
        <f t="shared" si="3"/>
        <v>13.799999999999999</v>
      </c>
      <c r="I13" s="39">
        <f>COUNTIF(Vertices[Out-Degree], "&gt;= " &amp; H13) - COUNTIF(Vertices[Out-Degree], "&gt;=" &amp; H14)</f>
        <v>7</v>
      </c>
      <c r="J13" s="38">
        <f t="shared" si="4"/>
        <v>1901.3178953999998</v>
      </c>
      <c r="K13" s="39">
        <f>COUNTIF(Vertices[Betweenness Centrality], "&gt;= " &amp; J13) - COUNTIF(Vertices[Betweenness Centrality], "&gt;=" &amp; J14)</f>
        <v>0</v>
      </c>
      <c r="L13" s="38">
        <f t="shared" si="5"/>
        <v>1.7110000000000001E-3</v>
      </c>
      <c r="M13" s="39">
        <f>COUNTIF(Vertices[Closeness Centrality], "&gt;= " &amp; L13) - COUNTIF(Vertices[Closeness Centrality], "&gt;=" &amp; L14)</f>
        <v>5</v>
      </c>
      <c r="N13" s="38">
        <f t="shared" si="6"/>
        <v>5.1521999999999983E-3</v>
      </c>
      <c r="O13" s="39">
        <f>COUNTIF(Vertices[Eigenvector Centrality], "&gt;= " &amp; N13) - COUNTIF(Vertices[Eigenvector Centrality], "&gt;=" &amp; N14)</f>
        <v>6</v>
      </c>
      <c r="P13" s="38">
        <f t="shared" si="7"/>
        <v>0</v>
      </c>
      <c r="Q13" s="39">
        <f>COUNTIF(Vertices[PageRank], "&gt;= " &amp; P13) - COUNTIF(Vertices[PageRank], "&gt;=" &amp; P14)</f>
        <v>0</v>
      </c>
      <c r="R13" s="38">
        <f t="shared" si="8"/>
        <v>0.20000000000000004</v>
      </c>
      <c r="S13" s="43">
        <f>COUNTIF(Vertices[Clustering Coefficient], "&gt;= " &amp; R13) - COUNTIF(Vertices[Clustering Coefficient], "&gt;=" &amp; R14)</f>
        <v>9</v>
      </c>
      <c r="T13" s="38" t="e">
        <f t="shared" ca="1" si="9"/>
        <v>#REF!</v>
      </c>
      <c r="U13" s="39" t="e">
        <f t="shared" ca="1" si="0"/>
        <v>#REF!</v>
      </c>
    </row>
    <row r="14" spans="1:24" x14ac:dyDescent="0.25">
      <c r="A14" s="98"/>
      <c r="B14" s="98"/>
      <c r="D14" s="31">
        <f t="shared" si="1"/>
        <v>26.181818181818173</v>
      </c>
      <c r="E14" s="3">
        <f>COUNTIF(Vertices[Degree], "&gt;= " &amp; D14) - COUNTIF(Vertices[Degree], "&gt;=" &amp; D15)</f>
        <v>6</v>
      </c>
      <c r="F14" s="36">
        <f t="shared" si="2"/>
        <v>24.436363636363627</v>
      </c>
      <c r="G14" s="37">
        <f>COUNTIF(Vertices[In-Degree], "&gt;= " &amp; F14) - COUNTIF(Vertices[In-Degree], "&gt;=" &amp; F15)</f>
        <v>5</v>
      </c>
      <c r="H14" s="36">
        <f t="shared" si="3"/>
        <v>15.054545454545453</v>
      </c>
      <c r="I14" s="37">
        <f>COUNTIF(Vertices[Out-Degree], "&gt;= " &amp; H14) - COUNTIF(Vertices[Out-Degree], "&gt;=" &amp; H15)</f>
        <v>9</v>
      </c>
      <c r="J14" s="36">
        <f t="shared" si="4"/>
        <v>2074.1649767999997</v>
      </c>
      <c r="K14" s="37">
        <f>COUNTIF(Vertices[Betweenness Centrality], "&gt;= " &amp; J14) - COUNTIF(Vertices[Betweenness Centrality], "&gt;=" &amp; J15)</f>
        <v>0</v>
      </c>
      <c r="L14" s="36">
        <f t="shared" si="5"/>
        <v>1.7451818181818182E-3</v>
      </c>
      <c r="M14" s="37">
        <f>COUNTIF(Vertices[Closeness Centrality], "&gt;= " &amp; L14) - COUNTIF(Vertices[Closeness Centrality], "&gt;=" &amp; L15)</f>
        <v>4</v>
      </c>
      <c r="N14" s="36">
        <f t="shared" si="6"/>
        <v>5.6158545454545435E-3</v>
      </c>
      <c r="O14" s="37">
        <f>COUNTIF(Vertices[Eigenvector Centrality], "&gt;= " &amp; N14) - COUNTIF(Vertices[Eigenvector Centrality], "&gt;=" &amp; N15)</f>
        <v>4</v>
      </c>
      <c r="P14" s="36">
        <f t="shared" si="7"/>
        <v>0</v>
      </c>
      <c r="Q14" s="37">
        <f>COUNTIF(Vertices[PageRank], "&gt;= " &amp; P14) - COUNTIF(Vertices[PageRank], "&gt;=" &amp; P15)</f>
        <v>0</v>
      </c>
      <c r="R14" s="36">
        <f t="shared" si="8"/>
        <v>0.21818181818181823</v>
      </c>
      <c r="S14" s="42">
        <f>COUNTIF(Vertices[Clustering Coefficient], "&gt;= " &amp; R14) - COUNTIF(Vertices[Clustering Coefficient], "&gt;=" &amp; R15)</f>
        <v>10</v>
      </c>
      <c r="T14" s="36" t="e">
        <f t="shared" ca="1" si="9"/>
        <v>#REF!</v>
      </c>
      <c r="U14" s="37" t="e">
        <f t="shared" ca="1" si="0"/>
        <v>#REF!</v>
      </c>
    </row>
    <row r="15" spans="1:24" x14ac:dyDescent="0.25">
      <c r="A15" s="33" t="s">
        <v>144</v>
      </c>
      <c r="B15" s="33">
        <v>1</v>
      </c>
      <c r="D15" s="31">
        <f t="shared" si="1"/>
        <v>28.363636363636353</v>
      </c>
      <c r="E15" s="3">
        <f>COUNTIF(Vertices[Degree], "&gt;= " &amp; D15) - COUNTIF(Vertices[Degree], "&gt;=" &amp; D16)</f>
        <v>6</v>
      </c>
      <c r="F15" s="38">
        <f t="shared" si="2"/>
        <v>26.472727272727262</v>
      </c>
      <c r="G15" s="39">
        <f>COUNTIF(Vertices[In-Degree], "&gt;= " &amp; F15) - COUNTIF(Vertices[In-Degree], "&gt;=" &amp; F16)</f>
        <v>4</v>
      </c>
      <c r="H15" s="38">
        <f t="shared" si="3"/>
        <v>16.309090909090909</v>
      </c>
      <c r="I15" s="39">
        <f>COUNTIF(Vertices[Out-Degree], "&gt;= " &amp; H15) - COUNTIF(Vertices[Out-Degree], "&gt;=" &amp; H16)</f>
        <v>4</v>
      </c>
      <c r="J15" s="38">
        <f t="shared" si="4"/>
        <v>2247.0120582</v>
      </c>
      <c r="K15" s="39">
        <f>COUNTIF(Vertices[Betweenness Centrality], "&gt;= " &amp; J15) - COUNTIF(Vertices[Betweenness Centrality], "&gt;=" &amp; J16)</f>
        <v>2</v>
      </c>
      <c r="L15" s="38">
        <f t="shared" si="5"/>
        <v>1.7793636363636364E-3</v>
      </c>
      <c r="M15" s="39">
        <f>COUNTIF(Vertices[Closeness Centrality], "&gt;= " &amp; L15) - COUNTIF(Vertices[Closeness Centrality], "&gt;=" &amp; L16)</f>
        <v>5</v>
      </c>
      <c r="N15" s="38">
        <f t="shared" si="6"/>
        <v>6.0795090909090887E-3</v>
      </c>
      <c r="O15" s="39">
        <f>COUNTIF(Vertices[Eigenvector Centrality], "&gt;= " &amp; N15) - COUNTIF(Vertices[Eigenvector Centrality], "&gt;=" &amp; N16)</f>
        <v>7</v>
      </c>
      <c r="P15" s="38">
        <f t="shared" si="7"/>
        <v>0</v>
      </c>
      <c r="Q15" s="39">
        <f>COUNTIF(Vertices[PageRank], "&gt;= " &amp; P15) - COUNTIF(Vertices[PageRank], "&gt;=" &amp; P16)</f>
        <v>0</v>
      </c>
      <c r="R15" s="38">
        <f t="shared" si="8"/>
        <v>0.23636363636363641</v>
      </c>
      <c r="S15" s="43">
        <f>COUNTIF(Vertices[Clustering Coefficient], "&gt;= " &amp; R15) - COUNTIF(Vertices[Clustering Coefficient], "&gt;=" &amp; R16)</f>
        <v>10</v>
      </c>
      <c r="T15" s="38" t="e">
        <f t="shared" ca="1" si="9"/>
        <v>#REF!</v>
      </c>
      <c r="U15" s="39" t="e">
        <f t="shared" ca="1" si="0"/>
        <v>#REF!</v>
      </c>
    </row>
    <row r="16" spans="1:24" x14ac:dyDescent="0.25">
      <c r="A16" s="33" t="s">
        <v>145</v>
      </c>
      <c r="B16" s="33">
        <v>0</v>
      </c>
      <c r="D16" s="31">
        <f t="shared" si="1"/>
        <v>30.545454545454533</v>
      </c>
      <c r="E16" s="3">
        <f>COUNTIF(Vertices[Degree], "&gt;= " &amp; D16) - COUNTIF(Vertices[Degree], "&gt;=" &amp; D17)</f>
        <v>3</v>
      </c>
      <c r="F16" s="36">
        <f t="shared" si="2"/>
        <v>28.509090909090897</v>
      </c>
      <c r="G16" s="37">
        <f>COUNTIF(Vertices[In-Degree], "&gt;= " &amp; F16) - COUNTIF(Vertices[In-Degree], "&gt;=" &amp; F17)</f>
        <v>1</v>
      </c>
      <c r="H16" s="36">
        <f t="shared" si="3"/>
        <v>17.563636363636363</v>
      </c>
      <c r="I16" s="37">
        <f>COUNTIF(Vertices[Out-Degree], "&gt;= " &amp; H16) - COUNTIF(Vertices[Out-Degree], "&gt;=" &amp; H17)</f>
        <v>4</v>
      </c>
      <c r="J16" s="36">
        <f t="shared" si="4"/>
        <v>2419.8591396000002</v>
      </c>
      <c r="K16" s="37">
        <f>COUNTIF(Vertices[Betweenness Centrality], "&gt;= " &amp; J16) - COUNTIF(Vertices[Betweenness Centrality], "&gt;=" &amp; J17)</f>
        <v>0</v>
      </c>
      <c r="L16" s="36">
        <f t="shared" si="5"/>
        <v>1.8135454545454546E-3</v>
      </c>
      <c r="M16" s="37">
        <f>COUNTIF(Vertices[Closeness Centrality], "&gt;= " &amp; L16) - COUNTIF(Vertices[Closeness Centrality], "&gt;=" &amp; L17)</f>
        <v>7</v>
      </c>
      <c r="N16" s="36">
        <f t="shared" si="6"/>
        <v>6.5431636363636339E-3</v>
      </c>
      <c r="O16" s="37">
        <f>COUNTIF(Vertices[Eigenvector Centrality], "&gt;= " &amp; N16) - COUNTIF(Vertices[Eigenvector Centrality], "&gt;=" &amp; N17)</f>
        <v>3</v>
      </c>
      <c r="P16" s="36">
        <f t="shared" si="7"/>
        <v>0</v>
      </c>
      <c r="Q16" s="37">
        <f>COUNTIF(Vertices[PageRank], "&gt;= " &amp; P16) - COUNTIF(Vertices[PageRank], "&gt;=" &amp; P17)</f>
        <v>0</v>
      </c>
      <c r="R16" s="36">
        <f t="shared" si="8"/>
        <v>0.25454545454545457</v>
      </c>
      <c r="S16" s="42">
        <f>COUNTIF(Vertices[Clustering Coefficient], "&gt;= " &amp; R16) - COUNTIF(Vertices[Clustering Coefficient], "&gt;=" &amp; R17)</f>
        <v>15</v>
      </c>
      <c r="T16" s="36" t="e">
        <f t="shared" ca="1" si="9"/>
        <v>#REF!</v>
      </c>
      <c r="U16" s="37" t="e">
        <f t="shared" ca="1" si="0"/>
        <v>#REF!</v>
      </c>
    </row>
    <row r="17" spans="1:21" x14ac:dyDescent="0.25">
      <c r="A17" s="33" t="s">
        <v>146</v>
      </c>
      <c r="B17" s="33">
        <v>211</v>
      </c>
      <c r="D17" s="31">
        <f t="shared" si="1"/>
        <v>32.727272727272712</v>
      </c>
      <c r="E17" s="3">
        <f>COUNTIF(Vertices[Degree], "&gt;= " &amp; D17) - COUNTIF(Vertices[Degree], "&gt;=" &amp; D18)</f>
        <v>4</v>
      </c>
      <c r="F17" s="38">
        <f t="shared" si="2"/>
        <v>30.545454545454533</v>
      </c>
      <c r="G17" s="39">
        <f>COUNTIF(Vertices[In-Degree], "&gt;= " &amp; F17) - COUNTIF(Vertices[In-Degree], "&gt;=" &amp; F18)</f>
        <v>1</v>
      </c>
      <c r="H17" s="38">
        <f t="shared" si="3"/>
        <v>18.818181818181817</v>
      </c>
      <c r="I17" s="39">
        <f>COUNTIF(Vertices[Out-Degree], "&gt;= " &amp; H17) - COUNTIF(Vertices[Out-Degree], "&gt;=" &amp; H18)</f>
        <v>4</v>
      </c>
      <c r="J17" s="38">
        <f t="shared" si="4"/>
        <v>2592.7062210000004</v>
      </c>
      <c r="K17" s="39">
        <f>COUNTIF(Vertices[Betweenness Centrality], "&gt;= " &amp; J17) - COUNTIF(Vertices[Betweenness Centrality], "&gt;=" &amp; J18)</f>
        <v>1</v>
      </c>
      <c r="L17" s="38">
        <f t="shared" si="5"/>
        <v>1.8477272727272728E-3</v>
      </c>
      <c r="M17" s="39">
        <f>COUNTIF(Vertices[Closeness Centrality], "&gt;= " &amp; L17) - COUNTIF(Vertices[Closeness Centrality], "&gt;=" &amp; L18)</f>
        <v>6</v>
      </c>
      <c r="N17" s="38">
        <f t="shared" si="6"/>
        <v>7.0068181818181792E-3</v>
      </c>
      <c r="O17" s="39">
        <f>COUNTIF(Vertices[Eigenvector Centrality], "&gt;= " &amp; N17) - COUNTIF(Vertices[Eigenvector Centrality], "&gt;=" &amp; N18)</f>
        <v>4</v>
      </c>
      <c r="P17" s="38">
        <f t="shared" si="7"/>
        <v>0</v>
      </c>
      <c r="Q17" s="39">
        <f>COUNTIF(Vertices[PageRank], "&gt;= " &amp; P17) - COUNTIF(Vertices[PageRank], "&gt;=" &amp; P18)</f>
        <v>0</v>
      </c>
      <c r="R17" s="38">
        <f t="shared" si="8"/>
        <v>0.27272727272727276</v>
      </c>
      <c r="S17" s="43">
        <f>COUNTIF(Vertices[Clustering Coefficient], "&gt;= " &amp; R17) - COUNTIF(Vertices[Clustering Coefficient], "&gt;=" &amp; R18)</f>
        <v>11</v>
      </c>
      <c r="T17" s="38" t="e">
        <f t="shared" ca="1" si="9"/>
        <v>#REF!</v>
      </c>
      <c r="U17" s="39" t="e">
        <f t="shared" ca="1" si="0"/>
        <v>#REF!</v>
      </c>
    </row>
    <row r="18" spans="1:21" x14ac:dyDescent="0.25">
      <c r="A18" s="33" t="s">
        <v>147</v>
      </c>
      <c r="B18" s="33">
        <v>12756</v>
      </c>
      <c r="D18" s="31">
        <f t="shared" si="1"/>
        <v>34.909090909090892</v>
      </c>
      <c r="E18" s="3">
        <f>COUNTIF(Vertices[Degree], "&gt;= " &amp; D18) - COUNTIF(Vertices[Degree], "&gt;=" &amp; D19)</f>
        <v>3</v>
      </c>
      <c r="F18" s="36">
        <f t="shared" si="2"/>
        <v>32.581818181818171</v>
      </c>
      <c r="G18" s="37">
        <f>COUNTIF(Vertices[In-Degree], "&gt;= " &amp; F18) - COUNTIF(Vertices[In-Degree], "&gt;=" &amp; F19)</f>
        <v>1</v>
      </c>
      <c r="H18" s="36">
        <f t="shared" si="3"/>
        <v>20.072727272727271</v>
      </c>
      <c r="I18" s="37">
        <f>COUNTIF(Vertices[Out-Degree], "&gt;= " &amp; H18) - COUNTIF(Vertices[Out-Degree], "&gt;=" &amp; H19)</f>
        <v>3</v>
      </c>
      <c r="J18" s="36">
        <f t="shared" si="4"/>
        <v>2765.5533024000006</v>
      </c>
      <c r="K18" s="37">
        <f>COUNTIF(Vertices[Betweenness Centrality], "&gt;= " &amp; J18) - COUNTIF(Vertices[Betweenness Centrality], "&gt;=" &amp; J19)</f>
        <v>0</v>
      </c>
      <c r="L18" s="36">
        <f t="shared" si="5"/>
        <v>1.881909090909091E-3</v>
      </c>
      <c r="M18" s="37">
        <f>COUNTIF(Vertices[Closeness Centrality], "&gt;= " &amp; L18) - COUNTIF(Vertices[Closeness Centrality], "&gt;=" &amp; L19)</f>
        <v>6</v>
      </c>
      <c r="N18" s="36">
        <f t="shared" si="6"/>
        <v>7.4704727272727244E-3</v>
      </c>
      <c r="O18" s="37">
        <f>COUNTIF(Vertices[Eigenvector Centrality], "&gt;= " &amp; N18) - COUNTIF(Vertices[Eigenvector Centrality], "&gt;=" &amp; N19)</f>
        <v>5</v>
      </c>
      <c r="P18" s="36">
        <f t="shared" si="7"/>
        <v>0</v>
      </c>
      <c r="Q18" s="37">
        <f>COUNTIF(Vertices[PageRank], "&gt;= " &amp; P18) - COUNTIF(Vertices[PageRank], "&gt;=" &amp; P19)</f>
        <v>0</v>
      </c>
      <c r="R18" s="36">
        <f t="shared" si="8"/>
        <v>0.29090909090909095</v>
      </c>
      <c r="S18" s="42">
        <f>COUNTIF(Vertices[Clustering Coefficient], "&gt;= " &amp; R18) - COUNTIF(Vertices[Clustering Coefficient], "&gt;=" &amp; R19)</f>
        <v>11</v>
      </c>
      <c r="T18" s="36" t="e">
        <f t="shared" ca="1" si="9"/>
        <v>#REF!</v>
      </c>
      <c r="U18" s="37" t="e">
        <f t="shared" ca="1" si="0"/>
        <v>#REF!</v>
      </c>
    </row>
    <row r="19" spans="1:21" x14ac:dyDescent="0.25">
      <c r="A19" s="98"/>
      <c r="B19" s="98"/>
      <c r="D19" s="31">
        <f t="shared" si="1"/>
        <v>37.090909090909072</v>
      </c>
      <c r="E19" s="3">
        <f>COUNTIF(Vertices[Degree], "&gt;= " &amp; D19) - COUNTIF(Vertices[Degree], "&gt;=" &amp; D20)</f>
        <v>3</v>
      </c>
      <c r="F19" s="38">
        <f t="shared" si="2"/>
        <v>34.61818181818181</v>
      </c>
      <c r="G19" s="39">
        <f>COUNTIF(Vertices[In-Degree], "&gt;= " &amp; F19) - COUNTIF(Vertices[In-Degree], "&gt;=" &amp; F20)</f>
        <v>4</v>
      </c>
      <c r="H19" s="38">
        <f t="shared" si="3"/>
        <v>21.327272727272724</v>
      </c>
      <c r="I19" s="39">
        <f>COUNTIF(Vertices[Out-Degree], "&gt;= " &amp; H19) - COUNTIF(Vertices[Out-Degree], "&gt;=" &amp; H20)</f>
        <v>3</v>
      </c>
      <c r="J19" s="38">
        <f t="shared" si="4"/>
        <v>2938.4003838000008</v>
      </c>
      <c r="K19" s="39">
        <f>COUNTIF(Vertices[Betweenness Centrality], "&gt;= " &amp; J19) - COUNTIF(Vertices[Betweenness Centrality], "&gt;=" &amp; J20)</f>
        <v>0</v>
      </c>
      <c r="L19" s="38">
        <f t="shared" si="5"/>
        <v>1.9160909090909092E-3</v>
      </c>
      <c r="M19" s="39">
        <f>COUNTIF(Vertices[Closeness Centrality], "&gt;= " &amp; L19) - COUNTIF(Vertices[Closeness Centrality], "&gt;=" &amp; L20)</f>
        <v>4</v>
      </c>
      <c r="N19" s="38">
        <f t="shared" si="6"/>
        <v>7.9341272727272705E-3</v>
      </c>
      <c r="O19" s="39">
        <f>COUNTIF(Vertices[Eigenvector Centrality], "&gt;= " &amp; N19) - COUNTIF(Vertices[Eigenvector Centrality], "&gt;=" &amp; N20)</f>
        <v>6</v>
      </c>
      <c r="P19" s="38">
        <f t="shared" si="7"/>
        <v>0</v>
      </c>
      <c r="Q19" s="39">
        <f>COUNTIF(Vertices[PageRank], "&gt;= " &amp; P19) - COUNTIF(Vertices[PageRank], "&gt;=" &amp; P20)</f>
        <v>0</v>
      </c>
      <c r="R19" s="38">
        <f t="shared" si="8"/>
        <v>0.30909090909090914</v>
      </c>
      <c r="S19" s="43">
        <f>COUNTIF(Vertices[Clustering Coefficient], "&gt;= " &amp; R19) - COUNTIF(Vertices[Clustering Coefficient], "&gt;=" &amp; R20)</f>
        <v>4</v>
      </c>
      <c r="T19" s="38" t="e">
        <f t="shared" ca="1" si="9"/>
        <v>#REF!</v>
      </c>
      <c r="U19" s="39" t="e">
        <f t="shared" ca="1" si="0"/>
        <v>#REF!</v>
      </c>
    </row>
    <row r="20" spans="1:21" x14ac:dyDescent="0.25">
      <c r="A20" s="33" t="s">
        <v>148</v>
      </c>
      <c r="B20" s="33">
        <v>5</v>
      </c>
      <c r="D20" s="31">
        <f t="shared" si="1"/>
        <v>39.272727272727252</v>
      </c>
      <c r="E20" s="3">
        <f>COUNTIF(Vertices[Degree], "&gt;= " &amp; D20) - COUNTIF(Vertices[Degree], "&gt;=" &amp; D21)</f>
        <v>5</v>
      </c>
      <c r="F20" s="36">
        <f t="shared" si="2"/>
        <v>36.654545454545449</v>
      </c>
      <c r="G20" s="37">
        <f>COUNTIF(Vertices[In-Degree], "&gt;= " &amp; F20) - COUNTIF(Vertices[In-Degree], "&gt;=" &amp; F21)</f>
        <v>2</v>
      </c>
      <c r="H20" s="36">
        <f t="shared" si="3"/>
        <v>22.581818181818178</v>
      </c>
      <c r="I20" s="37">
        <f>COUNTIF(Vertices[Out-Degree], "&gt;= " &amp; H20) - COUNTIF(Vertices[Out-Degree], "&gt;=" &amp; H21)</f>
        <v>7</v>
      </c>
      <c r="J20" s="36">
        <f t="shared" si="4"/>
        <v>3111.247465200001</v>
      </c>
      <c r="K20" s="37">
        <f>COUNTIF(Vertices[Betweenness Centrality], "&gt;= " &amp; J20) - COUNTIF(Vertices[Betweenness Centrality], "&gt;=" &amp; J21)</f>
        <v>0</v>
      </c>
      <c r="L20" s="36">
        <f t="shared" si="5"/>
        <v>1.9502727272727274E-3</v>
      </c>
      <c r="M20" s="37">
        <f>COUNTIF(Vertices[Closeness Centrality], "&gt;= " &amp; L20) - COUNTIF(Vertices[Closeness Centrality], "&gt;=" &amp; L21)</f>
        <v>6</v>
      </c>
      <c r="N20" s="36">
        <f t="shared" si="6"/>
        <v>8.3977818181818157E-3</v>
      </c>
      <c r="O20" s="37">
        <f>COUNTIF(Vertices[Eigenvector Centrality], "&gt;= " &amp; N20) - COUNTIF(Vertices[Eigenvector Centrality], "&gt;=" &amp; N21)</f>
        <v>2</v>
      </c>
      <c r="P20" s="36">
        <f t="shared" si="7"/>
        <v>0</v>
      </c>
      <c r="Q20" s="37">
        <f>COUNTIF(Vertices[PageRank], "&gt;= " &amp; P20) - COUNTIF(Vertices[PageRank], "&gt;=" &amp; P21)</f>
        <v>0</v>
      </c>
      <c r="R20" s="36">
        <f t="shared" si="8"/>
        <v>0.32727272727272733</v>
      </c>
      <c r="S20" s="42">
        <f>COUNTIF(Vertices[Clustering Coefficient], "&gt;= " &amp; R20) - COUNTIF(Vertices[Clustering Coefficient], "&gt;=" &amp; R21)</f>
        <v>15</v>
      </c>
      <c r="T20" s="36" t="e">
        <f t="shared" ca="1" si="9"/>
        <v>#REF!</v>
      </c>
      <c r="U20" s="37" t="e">
        <f t="shared" ca="1" si="0"/>
        <v>#REF!</v>
      </c>
    </row>
    <row r="21" spans="1:21" x14ac:dyDescent="0.25">
      <c r="A21" s="33" t="s">
        <v>149</v>
      </c>
      <c r="B21" s="33">
        <v>2.356147</v>
      </c>
      <c r="D21" s="31">
        <f t="shared" si="1"/>
        <v>41.454545454545432</v>
      </c>
      <c r="E21" s="3">
        <f>COUNTIF(Vertices[Degree], "&gt;= " &amp; D21) - COUNTIF(Vertices[Degree], "&gt;=" &amp; D22)</f>
        <v>3</v>
      </c>
      <c r="F21" s="38">
        <f t="shared" si="2"/>
        <v>38.690909090909088</v>
      </c>
      <c r="G21" s="39">
        <f>COUNTIF(Vertices[In-Degree], "&gt;= " &amp; F21) - COUNTIF(Vertices[In-Degree], "&gt;=" &amp; F22)</f>
        <v>2</v>
      </c>
      <c r="H21" s="38">
        <f t="shared" si="3"/>
        <v>23.836363636363632</v>
      </c>
      <c r="I21" s="39">
        <f>COUNTIF(Vertices[Out-Degree], "&gt;= " &amp; H21) - COUNTIF(Vertices[Out-Degree], "&gt;=" &amp; H22)</f>
        <v>4</v>
      </c>
      <c r="J21" s="38">
        <f t="shared" si="4"/>
        <v>3284.0945466000012</v>
      </c>
      <c r="K21" s="39">
        <f>COUNTIF(Vertices[Betweenness Centrality], "&gt;= " &amp; J21) - COUNTIF(Vertices[Betweenness Centrality], "&gt;=" &amp; J22)</f>
        <v>0</v>
      </c>
      <c r="L21" s="38">
        <f t="shared" si="5"/>
        <v>1.9844545454545453E-3</v>
      </c>
      <c r="M21" s="39">
        <f>COUNTIF(Vertices[Closeness Centrality], "&gt;= " &amp; L21) - COUNTIF(Vertices[Closeness Centrality], "&gt;=" &amp; L22)</f>
        <v>7</v>
      </c>
      <c r="N21" s="38">
        <f t="shared" si="6"/>
        <v>8.8614363636363609E-3</v>
      </c>
      <c r="O21" s="39">
        <f>COUNTIF(Vertices[Eigenvector Centrality], "&gt;= " &amp; N21) - COUNTIF(Vertices[Eigenvector Centrality], "&gt;=" &amp; N22)</f>
        <v>2</v>
      </c>
      <c r="P21" s="38">
        <f t="shared" si="7"/>
        <v>0</v>
      </c>
      <c r="Q21" s="39">
        <f>COUNTIF(Vertices[PageRank], "&gt;= " &amp; P21) - COUNTIF(Vertices[PageRank], "&gt;=" &amp; P22)</f>
        <v>0</v>
      </c>
      <c r="R21" s="38">
        <f t="shared" si="8"/>
        <v>0.34545454545454551</v>
      </c>
      <c r="S21" s="43">
        <f>COUNTIF(Vertices[Clustering Coefficient], "&gt;= " &amp; R21) - COUNTIF(Vertices[Clustering Coefficient], "&gt;=" &amp; R22)</f>
        <v>13</v>
      </c>
      <c r="T21" s="38" t="e">
        <f t="shared" ca="1" si="9"/>
        <v>#REF!</v>
      </c>
      <c r="U21" s="39" t="e">
        <f t="shared" ca="1" si="0"/>
        <v>#REF!</v>
      </c>
    </row>
    <row r="22" spans="1:21" x14ac:dyDescent="0.25">
      <c r="A22" s="98"/>
      <c r="B22" s="98"/>
      <c r="D22" s="31">
        <f t="shared" si="1"/>
        <v>43.636363636363612</v>
      </c>
      <c r="E22" s="3">
        <f>COUNTIF(Vertices[Degree], "&gt;= " &amp; D22) - COUNTIF(Vertices[Degree], "&gt;=" &amp; D23)</f>
        <v>3</v>
      </c>
      <c r="F22" s="36">
        <f t="shared" si="2"/>
        <v>40.727272727272727</v>
      </c>
      <c r="G22" s="37">
        <f>COUNTIF(Vertices[In-Degree], "&gt;= " &amp; F22) - COUNTIF(Vertices[In-Degree], "&gt;=" &amp; F23)</f>
        <v>0</v>
      </c>
      <c r="H22" s="36">
        <f t="shared" si="3"/>
        <v>25.090909090909086</v>
      </c>
      <c r="I22" s="37">
        <f>COUNTIF(Vertices[Out-Degree], "&gt;= " &amp; H22) - COUNTIF(Vertices[Out-Degree], "&gt;=" &amp; H23)</f>
        <v>2</v>
      </c>
      <c r="J22" s="36">
        <f t="shared" si="4"/>
        <v>3456.9416280000014</v>
      </c>
      <c r="K22" s="37">
        <f>COUNTIF(Vertices[Betweenness Centrality], "&gt;= " &amp; J22) - COUNTIF(Vertices[Betweenness Centrality], "&gt;=" &amp; J23)</f>
        <v>0</v>
      </c>
      <c r="L22" s="36">
        <f t="shared" si="5"/>
        <v>2.0186363636363635E-3</v>
      </c>
      <c r="M22" s="37">
        <f>COUNTIF(Vertices[Closeness Centrality], "&gt;= " &amp; L22) - COUNTIF(Vertices[Closeness Centrality], "&gt;=" &amp; L23)</f>
        <v>9</v>
      </c>
      <c r="N22" s="36">
        <f t="shared" si="6"/>
        <v>9.3250909090909061E-3</v>
      </c>
      <c r="O22" s="37">
        <f>COUNTIF(Vertices[Eigenvector Centrality], "&gt;= " &amp; N22) - COUNTIF(Vertices[Eigenvector Centrality], "&gt;=" &amp; N23)</f>
        <v>3</v>
      </c>
      <c r="P22" s="36">
        <f t="shared" si="7"/>
        <v>0</v>
      </c>
      <c r="Q22" s="37">
        <f>COUNTIF(Vertices[PageRank], "&gt;= " &amp; P22) - COUNTIF(Vertices[PageRank], "&gt;=" &amp; P23)</f>
        <v>0</v>
      </c>
      <c r="R22" s="36">
        <f t="shared" si="8"/>
        <v>0.3636363636363637</v>
      </c>
      <c r="S22" s="42">
        <f>COUNTIF(Vertices[Clustering Coefficient], "&gt;= " &amp; R22) - COUNTIF(Vertices[Clustering Coefficient], "&gt;=" &amp; R23)</f>
        <v>5</v>
      </c>
      <c r="T22" s="36" t="e">
        <f t="shared" ca="1" si="9"/>
        <v>#REF!</v>
      </c>
      <c r="U22" s="37" t="e">
        <f t="shared" ca="1" si="0"/>
        <v>#REF!</v>
      </c>
    </row>
    <row r="23" spans="1:21" x14ac:dyDescent="0.25">
      <c r="A23" s="33" t="s">
        <v>150</v>
      </c>
      <c r="B23" s="33">
        <v>5.1907018731663285E-2</v>
      </c>
      <c r="D23" s="31">
        <f t="shared" si="1"/>
        <v>45.818181818181792</v>
      </c>
      <c r="E23" s="3">
        <f>COUNTIF(Vertices[Degree], "&gt;= " &amp; D23) - COUNTIF(Vertices[Degree], "&gt;=" &amp; D24)</f>
        <v>3</v>
      </c>
      <c r="F23" s="38">
        <f t="shared" si="2"/>
        <v>42.763636363636365</v>
      </c>
      <c r="G23" s="39">
        <f>COUNTIF(Vertices[In-Degree], "&gt;= " &amp; F23) - COUNTIF(Vertices[In-Degree], "&gt;=" &amp; F24)</f>
        <v>0</v>
      </c>
      <c r="H23" s="38">
        <f t="shared" si="3"/>
        <v>26.34545454545454</v>
      </c>
      <c r="I23" s="39">
        <f>COUNTIF(Vertices[Out-Degree], "&gt;= " &amp; H23) - COUNTIF(Vertices[Out-Degree], "&gt;=" &amp; H24)</f>
        <v>1</v>
      </c>
      <c r="J23" s="38">
        <f t="shared" si="4"/>
        <v>3629.7887094000016</v>
      </c>
      <c r="K23" s="39">
        <f>COUNTIF(Vertices[Betweenness Centrality], "&gt;= " &amp; J23) - COUNTIF(Vertices[Betweenness Centrality], "&gt;=" &amp; J24)</f>
        <v>0</v>
      </c>
      <c r="L23" s="38">
        <f t="shared" si="5"/>
        <v>2.0528181818181817E-3</v>
      </c>
      <c r="M23" s="39">
        <f>COUNTIF(Vertices[Closeness Centrality], "&gt;= " &amp; L23) - COUNTIF(Vertices[Closeness Centrality], "&gt;=" &amp; L24)</f>
        <v>11</v>
      </c>
      <c r="N23" s="38">
        <f t="shared" si="6"/>
        <v>9.7887454545454514E-3</v>
      </c>
      <c r="O23" s="39">
        <f>COUNTIF(Vertices[Eigenvector Centrality], "&gt;= " &amp; N23) - COUNTIF(Vertices[Eigenvector Centrality], "&gt;=" &amp; N24)</f>
        <v>5</v>
      </c>
      <c r="P23" s="38">
        <f t="shared" si="7"/>
        <v>0</v>
      </c>
      <c r="Q23" s="39">
        <f>COUNTIF(Vertices[PageRank], "&gt;= " &amp; P23) - COUNTIF(Vertices[PageRank], "&gt;=" &amp; P24)</f>
        <v>0</v>
      </c>
      <c r="R23" s="38">
        <f t="shared" si="8"/>
        <v>0.38181818181818189</v>
      </c>
      <c r="S23" s="43">
        <f>COUNTIF(Vertices[Clustering Coefficient], "&gt;= " &amp; R23) - COUNTIF(Vertices[Clustering Coefficient], "&gt;=" &amp; R24)</f>
        <v>6</v>
      </c>
      <c r="T23" s="38" t="e">
        <f t="shared" ca="1" si="9"/>
        <v>#REF!</v>
      </c>
      <c r="U23" s="39" t="e">
        <f t="shared" ca="1" si="0"/>
        <v>#REF!</v>
      </c>
    </row>
    <row r="24" spans="1:21" x14ac:dyDescent="0.25">
      <c r="A24" s="33" t="s">
        <v>175</v>
      </c>
      <c r="B24" s="33">
        <v>6.1782999999999998E-2</v>
      </c>
      <c r="D24" s="31">
        <f t="shared" si="1"/>
        <v>47.999999999999972</v>
      </c>
      <c r="E24" s="3">
        <f>COUNTIF(Vertices[Degree], "&gt;= " &amp; D24) - COUNTIF(Vertices[Degree], "&gt;=" &amp; D25)</f>
        <v>2</v>
      </c>
      <c r="F24" s="36">
        <f t="shared" si="2"/>
        <v>44.800000000000004</v>
      </c>
      <c r="G24" s="37">
        <f>COUNTIF(Vertices[In-Degree], "&gt;= " &amp; F24) - COUNTIF(Vertices[In-Degree], "&gt;=" &amp; F25)</f>
        <v>1</v>
      </c>
      <c r="H24" s="36">
        <f t="shared" si="3"/>
        <v>27.599999999999994</v>
      </c>
      <c r="I24" s="37">
        <f>COUNTIF(Vertices[Out-Degree], "&gt;= " &amp; H24) - COUNTIF(Vertices[Out-Degree], "&gt;=" &amp; H25)</f>
        <v>2</v>
      </c>
      <c r="J24" s="36">
        <f t="shared" si="4"/>
        <v>3802.6357908000018</v>
      </c>
      <c r="K24" s="37">
        <f>COUNTIF(Vertices[Betweenness Centrality], "&gt;= " &amp; J24) - COUNTIF(Vertices[Betweenness Centrality], "&gt;=" &amp; J25)</f>
        <v>1</v>
      </c>
      <c r="L24" s="36">
        <f t="shared" si="5"/>
        <v>2.0869999999999999E-3</v>
      </c>
      <c r="M24" s="37">
        <f>COUNTIF(Vertices[Closeness Centrality], "&gt;= " &amp; L24) - COUNTIF(Vertices[Closeness Centrality], "&gt;=" &amp; L25)</f>
        <v>16</v>
      </c>
      <c r="N24" s="36">
        <f t="shared" si="6"/>
        <v>1.0252399999999997E-2</v>
      </c>
      <c r="O24" s="37">
        <f>COUNTIF(Vertices[Eigenvector Centrality], "&gt;= " &amp; N24) - COUNTIF(Vertices[Eigenvector Centrality], "&gt;=" &amp; N25)</f>
        <v>1</v>
      </c>
      <c r="P24" s="36">
        <f t="shared" si="7"/>
        <v>0</v>
      </c>
      <c r="Q24" s="37">
        <f>COUNTIF(Vertices[PageRank], "&gt;= " &amp; P24) - COUNTIF(Vertices[PageRank], "&gt;=" &amp; P25)</f>
        <v>0</v>
      </c>
      <c r="R24" s="36">
        <f t="shared" si="8"/>
        <v>0.40000000000000008</v>
      </c>
      <c r="S24" s="42">
        <f>COUNTIF(Vertices[Clustering Coefficient], "&gt;= " &amp; R24) - COUNTIF(Vertices[Clustering Coefficient], "&gt;=" &amp; R25)</f>
        <v>8</v>
      </c>
      <c r="T24" s="36" t="e">
        <f t="shared" ca="1" si="9"/>
        <v>#REF!</v>
      </c>
      <c r="U24" s="37" t="e">
        <f t="shared" ca="1" si="0"/>
        <v>#REF!</v>
      </c>
    </row>
    <row r="25" spans="1:21" x14ac:dyDescent="0.25">
      <c r="A25" s="98"/>
      <c r="B25" s="98"/>
      <c r="D25" s="31">
        <f t="shared" si="1"/>
        <v>50.181818181818151</v>
      </c>
      <c r="E25" s="3">
        <f>COUNTIF(Vertices[Degree], "&gt;= " &amp; D25) - COUNTIF(Vertices[Degree], "&gt;=" &amp; D26)</f>
        <v>0</v>
      </c>
      <c r="F25" s="38">
        <f t="shared" si="2"/>
        <v>46.836363636363643</v>
      </c>
      <c r="G25" s="39">
        <f>COUNTIF(Vertices[In-Degree], "&gt;= " &amp; F25) - COUNTIF(Vertices[In-Degree], "&gt;=" &amp; F26)</f>
        <v>0</v>
      </c>
      <c r="H25" s="38">
        <f t="shared" si="3"/>
        <v>28.854545454545448</v>
      </c>
      <c r="I25" s="39">
        <f>COUNTIF(Vertices[Out-Degree], "&gt;= " &amp; H25) - COUNTIF(Vertices[Out-Degree], "&gt;=" &amp; H26)</f>
        <v>2</v>
      </c>
      <c r="J25" s="38">
        <f t="shared" si="4"/>
        <v>3975.482872200002</v>
      </c>
      <c r="K25" s="39">
        <f>COUNTIF(Vertices[Betweenness Centrality], "&gt;= " &amp; J25) - COUNTIF(Vertices[Betweenness Centrality], "&gt;=" &amp; J26)</f>
        <v>0</v>
      </c>
      <c r="L25" s="38">
        <f t="shared" si="5"/>
        <v>2.1211818181818181E-3</v>
      </c>
      <c r="M25" s="39">
        <f>COUNTIF(Vertices[Closeness Centrality], "&gt;= " &amp; L25) - COUNTIF(Vertices[Closeness Centrality], "&gt;=" &amp; L26)</f>
        <v>9</v>
      </c>
      <c r="N25" s="38">
        <f t="shared" si="6"/>
        <v>1.0716054545454542E-2</v>
      </c>
      <c r="O25" s="39">
        <f>COUNTIF(Vertices[Eigenvector Centrality], "&gt;= " &amp; N25) - COUNTIF(Vertices[Eigenvector Centrality], "&gt;=" &amp; N26)</f>
        <v>1</v>
      </c>
      <c r="P25" s="38">
        <f t="shared" si="7"/>
        <v>0</v>
      </c>
      <c r="Q25" s="39">
        <f>COUNTIF(Vertices[PageRank], "&gt;= " &amp; P25) - COUNTIF(Vertices[PageRank], "&gt;=" &amp; P26)</f>
        <v>0</v>
      </c>
      <c r="R25" s="38">
        <f t="shared" si="8"/>
        <v>0.41818181818181827</v>
      </c>
      <c r="S25" s="43">
        <f>COUNTIF(Vertices[Clustering Coefficient], "&gt;= " &amp; R25) - COUNTIF(Vertices[Clustering Coefficient], "&gt;=" &amp; R26)</f>
        <v>3</v>
      </c>
      <c r="T25" s="38" t="e">
        <f t="shared" ca="1" si="9"/>
        <v>#REF!</v>
      </c>
      <c r="U25" s="39" t="e">
        <f t="shared" ca="1" si="0"/>
        <v>#REF!</v>
      </c>
    </row>
    <row r="26" spans="1:21" x14ac:dyDescent="0.25">
      <c r="A26" s="33" t="s">
        <v>176</v>
      </c>
      <c r="B26" s="33" t="s">
        <v>178</v>
      </c>
      <c r="D26" s="31">
        <f t="shared" si="1"/>
        <v>52.363636363636331</v>
      </c>
      <c r="E26" s="3">
        <f>COUNTIF(Vertices[Degree], "&gt;= " &amp; D26) - COUNTIF(Vertices[Degree], "&gt;=" &amp; D28)</f>
        <v>2</v>
      </c>
      <c r="F26" s="36">
        <f t="shared" si="2"/>
        <v>48.872727272727282</v>
      </c>
      <c r="G26" s="37">
        <f>COUNTIF(Vertices[In-Degree], "&gt;= " &amp; F26) - COUNTIF(Vertices[In-Degree], "&gt;=" &amp; F28)</f>
        <v>0</v>
      </c>
      <c r="H26" s="36">
        <f t="shared" si="3"/>
        <v>30.109090909090902</v>
      </c>
      <c r="I26" s="37">
        <f>COUNTIF(Vertices[Out-Degree], "&gt;= " &amp; H26) - COUNTIF(Vertices[Out-Degree], "&gt;=" &amp; H28)</f>
        <v>0</v>
      </c>
      <c r="J26" s="36">
        <f t="shared" si="4"/>
        <v>4148.3299536000022</v>
      </c>
      <c r="K26" s="37">
        <f>COUNTIF(Vertices[Betweenness Centrality], "&gt;= " &amp; J26) - COUNTIF(Vertices[Betweenness Centrality], "&gt;=" &amp; J28)</f>
        <v>0</v>
      </c>
      <c r="L26" s="36">
        <f t="shared" si="5"/>
        <v>2.1553636363636362E-3</v>
      </c>
      <c r="M26" s="37">
        <f>COUNTIF(Vertices[Closeness Centrality], "&gt;= " &amp; L26) - COUNTIF(Vertices[Closeness Centrality], "&gt;=" &amp; L28)</f>
        <v>9</v>
      </c>
      <c r="N26" s="36">
        <f t="shared" si="6"/>
        <v>1.1179709090909087E-2</v>
      </c>
      <c r="O26" s="37">
        <f>COUNTIF(Vertices[Eigenvector Centrality], "&gt;= " &amp; N26) - COUNTIF(Vertices[Eigenvector Centrality], "&gt;=" &amp; N28)</f>
        <v>2</v>
      </c>
      <c r="P26" s="36">
        <f t="shared" si="7"/>
        <v>0</v>
      </c>
      <c r="Q26" s="37">
        <f>COUNTIF(Vertices[PageRank], "&gt;= " &amp; P26) - COUNTIF(Vertices[PageRank], "&gt;=" &amp; P28)</f>
        <v>0</v>
      </c>
      <c r="R26" s="36">
        <f t="shared" si="8"/>
        <v>0.43636363636363645</v>
      </c>
      <c r="S26" s="42">
        <f>COUNTIF(Vertices[Clustering Coefficient], "&gt;= " &amp; R26) - COUNTIF(Vertices[Clustering Coefficient], "&gt;=" &amp; R28)</f>
        <v>6</v>
      </c>
      <c r="T26" s="36" t="e">
        <f t="shared" ca="1" si="9"/>
        <v>#REF!</v>
      </c>
      <c r="U26" s="37" t="e">
        <f ca="1">COUNTIF(INDIRECT(DynamicFilterSourceColumnRange), "&gt;= " &amp; T26) - COUNTIF(INDIRECT(DynamicFilterSourceColumnRange), "&gt;=" &amp; T28)</f>
        <v>#REF!</v>
      </c>
    </row>
    <row r="27" spans="1:21" x14ac:dyDescent="0.25">
      <c r="D27" s="31"/>
      <c r="E27" s="3">
        <f>COUNTIF(Vertices[Degree], "&gt;= " &amp; D27) - COUNTIF(Vertices[Degree], "&gt;=" &amp; D28)</f>
        <v>-18</v>
      </c>
      <c r="F27" s="62"/>
      <c r="G27" s="63">
        <f>COUNTIF(Vertices[In-Degree], "&gt;= " &amp; F27) - COUNTIF(Vertices[In-Degree], "&gt;=" &amp; F28)</f>
        <v>-3</v>
      </c>
      <c r="H27" s="62"/>
      <c r="I27" s="63">
        <f>COUNTIF(Vertices[Out-Degree], "&gt;= " &amp; H27) - COUNTIF(Vertices[Out-Degree], "&gt;=" &amp; H28)</f>
        <v>-13</v>
      </c>
      <c r="J27" s="62"/>
      <c r="K27" s="63">
        <f>COUNTIF(Vertices[Betweenness Centrality], "&gt;= " &amp; J27) - COUNTIF(Vertices[Betweenness Centrality], "&gt;=" &amp; J28)</f>
        <v>-1</v>
      </c>
      <c r="L27" s="62"/>
      <c r="M27" s="63">
        <f>COUNTIF(Vertices[Closeness Centrality], "&gt;= " &amp; L27) - COUNTIF(Vertices[Closeness Centrality], "&gt;=" &amp; L28)</f>
        <v>-73</v>
      </c>
      <c r="N27" s="62"/>
      <c r="O27" s="63">
        <f>COUNTIF(Vertices[Eigenvector Centrality], "&gt;= " &amp; N27) - COUNTIF(Vertices[Eigenvector Centrality], "&gt;=" &amp; N28)</f>
        <v>-22</v>
      </c>
      <c r="P27" s="62"/>
      <c r="Q27" s="63">
        <f>COUNTIF(Vertices[Eigenvector Centrality], "&gt;= " &amp; P27) - COUNTIF(Vertices[Eigenvector Centrality], "&gt;=" &amp; P28)</f>
        <v>-211</v>
      </c>
      <c r="R27" s="62"/>
      <c r="S27" s="64">
        <f>COUNTIF(Vertices[Clustering Coefficient], "&gt;= " &amp; R27) - COUNTIF(Vertices[Clustering Coefficient], "&gt;=" &amp; R28)</f>
        <v>-36</v>
      </c>
      <c r="T27" s="62"/>
      <c r="U27" s="63">
        <f ca="1">COUNTIF(Vertices[Clustering Coefficient], "&gt;= " &amp; T27) - COUNTIF(Vertices[Clustering Coefficient], "&gt;=" &amp; T28)</f>
        <v>0</v>
      </c>
    </row>
    <row r="28" spans="1:21" x14ac:dyDescent="0.25">
      <c r="D28" s="31">
        <f>D26+($D$57-$D$2)/BinDivisor</f>
        <v>54.545454545454511</v>
      </c>
      <c r="E28" s="3">
        <f>COUNTIF(Vertices[Degree], "&gt;= " &amp; D28) - COUNTIF(Vertices[Degree], "&gt;=" &amp; D40)</f>
        <v>4</v>
      </c>
      <c r="F28" s="38">
        <f>F26+($F$57-$F$2)/BinDivisor</f>
        <v>50.909090909090921</v>
      </c>
      <c r="G28" s="39">
        <f>COUNTIF(Vertices[In-Degree], "&gt;= " &amp; F28) - COUNTIF(Vertices[In-Degree], "&gt;=" &amp; F40)</f>
        <v>0</v>
      </c>
      <c r="H28" s="38">
        <f>H26+($H$57-$H$2)/BinDivisor</f>
        <v>31.363636363636356</v>
      </c>
      <c r="I28" s="39">
        <f>COUNTIF(Vertices[Out-Degree], "&gt;= " &amp; H28) - COUNTIF(Vertices[Out-Degree], "&gt;=" &amp; H40)</f>
        <v>1</v>
      </c>
      <c r="J28" s="38">
        <f>J26+($J$57-$J$2)/BinDivisor</f>
        <v>4321.1770350000024</v>
      </c>
      <c r="K28" s="39">
        <f>COUNTIF(Vertices[Betweenness Centrality], "&gt;= " &amp; J28) - COUNTIF(Vertices[Betweenness Centrality], "&gt;=" &amp; J40)</f>
        <v>0</v>
      </c>
      <c r="L28" s="38">
        <f>L26+($L$57-$L$2)/BinDivisor</f>
        <v>2.1895454545454544E-3</v>
      </c>
      <c r="M28" s="39">
        <f>COUNTIF(Vertices[Closeness Centrality], "&gt;= " &amp; L28) - COUNTIF(Vertices[Closeness Centrality], "&gt;=" &amp; L40)</f>
        <v>10</v>
      </c>
      <c r="N28" s="38">
        <f>N26+($N$57-$N$2)/BinDivisor</f>
        <v>1.1643363636363632E-2</v>
      </c>
      <c r="O28" s="39">
        <f>COUNTIF(Vertices[Eigenvector Centrality], "&gt;= " &amp; N28) - COUNTIF(Vertices[Eigenvector Centrality], "&gt;=" &amp; N40)</f>
        <v>4</v>
      </c>
      <c r="P28" s="38">
        <f>P26+($P$57-$P$2)/BinDivisor</f>
        <v>0</v>
      </c>
      <c r="Q28" s="39">
        <f>COUNTIF(Vertices[PageRank], "&gt;= " &amp; P28) - COUNTIF(Vertices[PageRank], "&gt;=" &amp; P40)</f>
        <v>0</v>
      </c>
      <c r="R28" s="38">
        <f>R26+($R$57-$R$2)/BinDivisor</f>
        <v>0.45454545454545464</v>
      </c>
      <c r="S28" s="43">
        <f>COUNTIF(Vertices[Clustering Coefficient], "&gt;= " &amp; R28) - COUNTIF(Vertices[Clustering Coefficient], "&gt;=" &amp; R40)</f>
        <v>5</v>
      </c>
      <c r="T28" s="38" t="e">
        <f ca="1">T26+($T$57-$T$2)/BinDivisor</f>
        <v>#REF!</v>
      </c>
      <c r="U28" s="39" t="e">
        <f ca="1">COUNTIF(INDIRECT(DynamicFilterSourceColumnRange), "&gt;= " &amp; T28) - COUNTIF(INDIRECT(DynamicFilterSourceColumnRange), "&gt;=" &amp; T40)</f>
        <v>#REF!</v>
      </c>
    </row>
    <row r="29" spans="1:21" x14ac:dyDescent="0.25">
      <c r="D29" s="31"/>
      <c r="E29" s="3">
        <f>COUNTIF(Vertices[Degree], "&gt;= " &amp; D29) - COUNTIF(Vertices[Degree], "&gt;=" &amp; D30)</f>
        <v>0</v>
      </c>
      <c r="F29" s="62"/>
      <c r="G29" s="63">
        <f>COUNTIF(Vertices[In-Degree], "&gt;= " &amp; F29) - COUNTIF(Vertices[In-Degree], "&gt;=" &amp; F30)</f>
        <v>0</v>
      </c>
      <c r="H29" s="62"/>
      <c r="I29" s="63">
        <f>COUNTIF(Vertices[Out-Degree], "&gt;= " &amp; H29) - COUNTIF(Vertices[Out-Degree], "&gt;=" &amp; H30)</f>
        <v>0</v>
      </c>
      <c r="J29" s="62"/>
      <c r="K29" s="63">
        <f>COUNTIF(Vertices[Betweenness Centrality], "&gt;= " &amp; J29) - COUNTIF(Vertices[Betweenness Centrality], "&gt;=" &amp; J30)</f>
        <v>0</v>
      </c>
      <c r="L29" s="62"/>
      <c r="M29" s="63">
        <f>COUNTIF(Vertices[Closeness Centrality], "&gt;= " &amp; L29) - COUNTIF(Vertices[Closeness Centrality], "&gt;=" &amp; L30)</f>
        <v>0</v>
      </c>
      <c r="N29" s="62"/>
      <c r="O29" s="63">
        <f>COUNTIF(Vertices[Eigenvector Centrality], "&gt;= " &amp; N29) - COUNTIF(Vertices[Eigenvector Centrality], "&gt;=" &amp; N30)</f>
        <v>0</v>
      </c>
      <c r="P29" s="62"/>
      <c r="Q29" s="63">
        <f>COUNTIF(Vertices[Eigenvector Centrality], "&gt;= " &amp; P29) - COUNTIF(Vertices[Eigenvector Centrality], "&gt;=" &amp; P30)</f>
        <v>0</v>
      </c>
      <c r="R29" s="62"/>
      <c r="S29" s="64">
        <f>COUNTIF(Vertices[Clustering Coefficient], "&gt;= " &amp; R29) - COUNTIF(Vertices[Clustering Coefficient], "&gt;=" &amp; R30)</f>
        <v>0</v>
      </c>
      <c r="T29" s="62"/>
      <c r="U29" s="63">
        <f>COUNTIF(Vertices[Clustering Coefficient], "&gt;= " &amp; T29) - COUNTIF(Vertices[Clustering Coefficient], "&gt;=" &amp; T30)</f>
        <v>0</v>
      </c>
    </row>
    <row r="30" spans="1:21" x14ac:dyDescent="0.25">
      <c r="D30" s="31"/>
      <c r="E30" s="3">
        <f>COUNTIF(Vertices[Degree], "&gt;= " &amp; D30) - COUNTIF(Vertices[Degree], "&gt;=" &amp; D31)</f>
        <v>0</v>
      </c>
      <c r="F30" s="62"/>
      <c r="G30" s="63">
        <f>COUNTIF(Vertices[In-Degree], "&gt;= " &amp; F30) - COUNTIF(Vertices[In-Degree], "&gt;=" &amp; F31)</f>
        <v>0</v>
      </c>
      <c r="H30" s="62"/>
      <c r="I30" s="63">
        <f>COUNTIF(Vertices[Out-Degree], "&gt;= " &amp; H30) - COUNTIF(Vertices[Out-Degree], "&gt;=" &amp; H31)</f>
        <v>0</v>
      </c>
      <c r="J30" s="62"/>
      <c r="K30" s="63">
        <f>COUNTIF(Vertices[Betweenness Centrality], "&gt;= " &amp; J30) - COUNTIF(Vertices[Betweenness Centrality], "&gt;=" &amp; J31)</f>
        <v>0</v>
      </c>
      <c r="L30" s="62"/>
      <c r="M30" s="63">
        <f>COUNTIF(Vertices[Closeness Centrality], "&gt;= " &amp; L30) - COUNTIF(Vertices[Closeness Centrality], "&gt;=" &amp; L31)</f>
        <v>0</v>
      </c>
      <c r="N30" s="62"/>
      <c r="O30" s="63">
        <f>COUNTIF(Vertices[Eigenvector Centrality], "&gt;= " &amp; N30) - COUNTIF(Vertices[Eigenvector Centrality], "&gt;=" &amp; N31)</f>
        <v>0</v>
      </c>
      <c r="P30" s="62"/>
      <c r="Q30" s="63">
        <f>COUNTIF(Vertices[Eigenvector Centrality], "&gt;= " &amp; P30) - COUNTIF(Vertices[Eigenvector Centrality], "&gt;=" &amp; P31)</f>
        <v>0</v>
      </c>
      <c r="R30" s="62"/>
      <c r="S30" s="64">
        <f>COUNTIF(Vertices[Clustering Coefficient], "&gt;= " &amp; R30) - COUNTIF(Vertices[Clustering Coefficient], "&gt;=" &amp; R31)</f>
        <v>0</v>
      </c>
      <c r="T30" s="62"/>
      <c r="U30" s="63">
        <f>COUNTIF(Vertices[Clustering Coefficient], "&gt;= " &amp; T30) - COUNTIF(Vertices[Clustering Coefficient], "&gt;=" &amp; T31)</f>
        <v>0</v>
      </c>
    </row>
    <row r="31" spans="1:21" x14ac:dyDescent="0.25">
      <c r="D31" s="31"/>
      <c r="E31" s="3">
        <f>COUNTIF(Vertices[Degree], "&gt;= " &amp; D31) - COUNTIF(Vertices[Degree], "&gt;=" &amp; D32)</f>
        <v>0</v>
      </c>
      <c r="F31" s="62"/>
      <c r="G31" s="63">
        <f>COUNTIF(Vertices[In-Degree], "&gt;= " &amp; F31) - COUNTIF(Vertices[In-Degree], "&gt;=" &amp; F32)</f>
        <v>0</v>
      </c>
      <c r="H31" s="62"/>
      <c r="I31" s="63">
        <f>COUNTIF(Vertices[Out-Degree], "&gt;= " &amp; H31) - COUNTIF(Vertices[Out-Degree], "&gt;=" &amp; H32)</f>
        <v>0</v>
      </c>
      <c r="J31" s="62"/>
      <c r="K31" s="63">
        <f>COUNTIF(Vertices[Betweenness Centrality], "&gt;= " &amp; J31) - COUNTIF(Vertices[Betweenness Centrality], "&gt;=" &amp; J32)</f>
        <v>0</v>
      </c>
      <c r="L31" s="62"/>
      <c r="M31" s="63">
        <f>COUNTIF(Vertices[Closeness Centrality], "&gt;= " &amp; L31) - COUNTIF(Vertices[Closeness Centrality], "&gt;=" &amp; L32)</f>
        <v>0</v>
      </c>
      <c r="N31" s="62"/>
      <c r="O31" s="63">
        <f>COUNTIF(Vertices[Eigenvector Centrality], "&gt;= " &amp; N31) - COUNTIF(Vertices[Eigenvector Centrality], "&gt;=" &amp; N32)</f>
        <v>0</v>
      </c>
      <c r="P31" s="62"/>
      <c r="Q31" s="63">
        <f>COUNTIF(Vertices[Eigenvector Centrality], "&gt;= " &amp; P31) - COUNTIF(Vertices[Eigenvector Centrality], "&gt;=" &amp; P32)</f>
        <v>0</v>
      </c>
      <c r="R31" s="62"/>
      <c r="S31" s="64">
        <f>COUNTIF(Vertices[Clustering Coefficient], "&gt;= " &amp; R31) - COUNTIF(Vertices[Clustering Coefficient], "&gt;=" &amp; R32)</f>
        <v>0</v>
      </c>
      <c r="T31" s="62"/>
      <c r="U31" s="63">
        <f>COUNTIF(Vertices[Clustering Coefficient], "&gt;= " &amp; T31) - COUNTIF(Vertices[Clustering Coefficient], "&gt;=" &amp; T32)</f>
        <v>0</v>
      </c>
    </row>
    <row r="32" spans="1:21" x14ac:dyDescent="0.25">
      <c r="D32" s="31"/>
      <c r="E32" s="3">
        <f>COUNTIF(Vertices[Degree], "&gt;= " &amp; D32) - COUNTIF(Vertices[Degree], "&gt;=" &amp; D33)</f>
        <v>0</v>
      </c>
      <c r="F32" s="62"/>
      <c r="G32" s="63">
        <f>COUNTIF(Vertices[In-Degree], "&gt;= " &amp; F32) - COUNTIF(Vertices[In-Degree], "&gt;=" &amp; F33)</f>
        <v>0</v>
      </c>
      <c r="H32" s="62"/>
      <c r="I32" s="63">
        <f>COUNTIF(Vertices[Out-Degree], "&gt;= " &amp; H32) - COUNTIF(Vertices[Out-Degree], "&gt;=" &amp; H33)</f>
        <v>0</v>
      </c>
      <c r="J32" s="62"/>
      <c r="K32" s="63">
        <f>COUNTIF(Vertices[Betweenness Centrality], "&gt;= " &amp; J32) - COUNTIF(Vertices[Betweenness Centrality], "&gt;=" &amp; J33)</f>
        <v>0</v>
      </c>
      <c r="L32" s="62"/>
      <c r="M32" s="63">
        <f>COUNTIF(Vertices[Closeness Centrality], "&gt;= " &amp; L32) - COUNTIF(Vertices[Closeness Centrality], "&gt;=" &amp; L33)</f>
        <v>0</v>
      </c>
      <c r="N32" s="62"/>
      <c r="O32" s="63">
        <f>COUNTIF(Vertices[Eigenvector Centrality], "&gt;= " &amp; N32) - COUNTIF(Vertices[Eigenvector Centrality], "&gt;=" &amp; N33)</f>
        <v>0</v>
      </c>
      <c r="P32" s="62"/>
      <c r="Q32" s="63">
        <f>COUNTIF(Vertices[Eigenvector Centrality], "&gt;= " &amp; P32) - COUNTIF(Vertices[Eigenvector Centrality], "&gt;=" &amp; P33)</f>
        <v>0</v>
      </c>
      <c r="R32" s="62"/>
      <c r="S32" s="64">
        <f>COUNTIF(Vertices[Clustering Coefficient], "&gt;= " &amp; R32) - COUNTIF(Vertices[Clustering Coefficient], "&gt;=" &amp; R33)</f>
        <v>0</v>
      </c>
      <c r="T32" s="62"/>
      <c r="U32" s="63">
        <f>COUNTIF(Vertices[Clustering Coefficient], "&gt;= " &amp; T32) - COUNTIF(Vertices[Clustering Coefficient], "&gt;=" &amp; T33)</f>
        <v>0</v>
      </c>
    </row>
    <row r="33" spans="1:21" x14ac:dyDescent="0.25">
      <c r="D33" s="31"/>
      <c r="E33" s="3">
        <f>COUNTIF(Vertices[Degree], "&gt;= " &amp; D33) - COUNTIF(Vertices[Degree], "&gt;=" &amp; D38)</f>
        <v>0</v>
      </c>
      <c r="F33" s="62"/>
      <c r="G33" s="63">
        <f>COUNTIF(Vertices[In-Degree], "&gt;= " &amp; F33) - COUNTIF(Vertices[In-Degree], "&gt;=" &amp; F38)</f>
        <v>0</v>
      </c>
      <c r="H33" s="62"/>
      <c r="I33" s="63">
        <f>COUNTIF(Vertices[Out-Degree], "&gt;= " &amp; H33) - COUNTIF(Vertices[Out-Degree], "&gt;=" &amp; H38)</f>
        <v>0</v>
      </c>
      <c r="J33" s="62"/>
      <c r="K33" s="63">
        <f>COUNTIF(Vertices[Betweenness Centrality], "&gt;= " &amp; J33) - COUNTIF(Vertices[Betweenness Centrality], "&gt;=" &amp; J38)</f>
        <v>0</v>
      </c>
      <c r="L33" s="62"/>
      <c r="M33" s="63">
        <f>COUNTIF(Vertices[Closeness Centrality], "&gt;= " &amp; L33) - COUNTIF(Vertices[Closeness Centrality], "&gt;=" &amp; L38)</f>
        <v>0</v>
      </c>
      <c r="N33" s="62"/>
      <c r="O33" s="63">
        <f>COUNTIF(Vertices[Eigenvector Centrality], "&gt;= " &amp; N33) - COUNTIF(Vertices[Eigenvector Centrality], "&gt;=" &amp; N38)</f>
        <v>0</v>
      </c>
      <c r="P33" s="62"/>
      <c r="Q33" s="63">
        <f>COUNTIF(Vertices[Eigenvector Centrality], "&gt;= " &amp; P33) - COUNTIF(Vertices[Eigenvector Centrality], "&gt;=" &amp; P38)</f>
        <v>0</v>
      </c>
      <c r="R33" s="62"/>
      <c r="S33" s="64">
        <f>COUNTIF(Vertices[Clustering Coefficient], "&gt;= " &amp; R33) - COUNTIF(Vertices[Clustering Coefficient], "&gt;=" &amp; R38)</f>
        <v>0</v>
      </c>
      <c r="T33" s="62"/>
      <c r="U33" s="63">
        <f>COUNTIF(Vertices[Clustering Coefficient], "&gt;= " &amp; T33) - COUNTIF(Vertices[Clustering Coefficient], "&gt;=" &amp; T38)</f>
        <v>0</v>
      </c>
    </row>
    <row r="34" spans="1:21" x14ac:dyDescent="0.25">
      <c r="D34" s="31"/>
      <c r="E34" s="3">
        <f>COUNTIF(Vertices[Degree], "&gt;= " &amp; D34) - COUNTIF(Vertices[Degree], "&gt;=" &amp; D35)</f>
        <v>0</v>
      </c>
      <c r="F34" s="62"/>
      <c r="G34" s="63">
        <f>COUNTIF(Vertices[In-Degree], "&gt;= " &amp; F34) - COUNTIF(Vertices[In-Degree], "&gt;=" &amp; F35)</f>
        <v>0</v>
      </c>
      <c r="H34" s="62"/>
      <c r="I34" s="63">
        <f>COUNTIF(Vertices[Out-Degree], "&gt;= " &amp; H34) - COUNTIF(Vertices[Out-Degree], "&gt;=" &amp; H35)</f>
        <v>0</v>
      </c>
      <c r="J34" s="62"/>
      <c r="K34" s="63">
        <f>COUNTIF(Vertices[Betweenness Centrality], "&gt;= " &amp; J34) - COUNTIF(Vertices[Betweenness Centrality], "&gt;=" &amp; J35)</f>
        <v>0</v>
      </c>
      <c r="L34" s="62"/>
      <c r="M34" s="63">
        <f>COUNTIF(Vertices[Closeness Centrality], "&gt;= " &amp; L34) - COUNTIF(Vertices[Closeness Centrality], "&gt;=" &amp; L35)</f>
        <v>0</v>
      </c>
      <c r="N34" s="62"/>
      <c r="O34" s="63">
        <f>COUNTIF(Vertices[Eigenvector Centrality], "&gt;= " &amp; N34) - COUNTIF(Vertices[Eigenvector Centrality], "&gt;=" &amp; N35)</f>
        <v>0</v>
      </c>
      <c r="P34" s="62"/>
      <c r="Q34" s="63">
        <f>COUNTIF(Vertices[Eigenvector Centrality], "&gt;= " &amp; P34) - COUNTIF(Vertices[Eigenvector Centrality], "&gt;=" &amp; P35)</f>
        <v>0</v>
      </c>
      <c r="R34" s="62"/>
      <c r="S34" s="64">
        <f>COUNTIF(Vertices[Clustering Coefficient], "&gt;= " &amp; R34) - COUNTIF(Vertices[Clustering Coefficient], "&gt;=" &amp; R35)</f>
        <v>0</v>
      </c>
      <c r="T34" s="62"/>
      <c r="U34" s="63">
        <f>COUNTIF(Vertices[Clustering Coefficient], "&gt;= " &amp; T34) - COUNTIF(Vertices[Clustering Coefficient], "&gt;=" &amp; T35)</f>
        <v>0</v>
      </c>
    </row>
    <row r="35" spans="1:21" x14ac:dyDescent="0.25">
      <c r="D35" s="31"/>
      <c r="E35" s="3">
        <f>COUNTIF(Vertices[Degree], "&gt;= " &amp; D35) - COUNTIF(Vertices[Degree], "&gt;=" &amp; D36)</f>
        <v>0</v>
      </c>
      <c r="F35" s="62"/>
      <c r="G35" s="63">
        <f>COUNTIF(Vertices[In-Degree], "&gt;= " &amp; F35) - COUNTIF(Vertices[In-Degree], "&gt;=" &amp; F36)</f>
        <v>0</v>
      </c>
      <c r="H35" s="62"/>
      <c r="I35" s="63">
        <f>COUNTIF(Vertices[Out-Degree], "&gt;= " &amp; H35) - COUNTIF(Vertices[Out-Degree], "&gt;=" &amp; H36)</f>
        <v>0</v>
      </c>
      <c r="J35" s="62"/>
      <c r="K35" s="63">
        <f>COUNTIF(Vertices[Betweenness Centrality], "&gt;= " &amp; J35) - COUNTIF(Vertices[Betweenness Centrality], "&gt;=" &amp; J36)</f>
        <v>0</v>
      </c>
      <c r="L35" s="62"/>
      <c r="M35" s="63">
        <f>COUNTIF(Vertices[Closeness Centrality], "&gt;= " &amp; L35) - COUNTIF(Vertices[Closeness Centrality], "&gt;=" &amp; L36)</f>
        <v>0</v>
      </c>
      <c r="N35" s="62"/>
      <c r="O35" s="63">
        <f>COUNTIF(Vertices[Eigenvector Centrality], "&gt;= " &amp; N35) - COUNTIF(Vertices[Eigenvector Centrality], "&gt;=" &amp; N36)</f>
        <v>0</v>
      </c>
      <c r="P35" s="62"/>
      <c r="Q35" s="63">
        <f>COUNTIF(Vertices[Eigenvector Centrality], "&gt;= " &amp; P35) - COUNTIF(Vertices[Eigenvector Centrality], "&gt;=" &amp; P36)</f>
        <v>0</v>
      </c>
      <c r="R35" s="62"/>
      <c r="S35" s="64">
        <f>COUNTIF(Vertices[Clustering Coefficient], "&gt;= " &amp; R35) - COUNTIF(Vertices[Clustering Coefficient], "&gt;=" &amp; R36)</f>
        <v>0</v>
      </c>
      <c r="T35" s="62"/>
      <c r="U35" s="63">
        <f>COUNTIF(Vertices[Clustering Coefficient], "&gt;= " &amp; T35) - COUNTIF(Vertices[Clustering Coefficient], "&gt;=" &amp; T36)</f>
        <v>0</v>
      </c>
    </row>
    <row r="36" spans="1:21" x14ac:dyDescent="0.25">
      <c r="D36" s="31"/>
      <c r="E36" s="3">
        <f>COUNTIF(Vertices[Degree], "&gt;= " &amp; D36) - COUNTIF(Vertices[Degree], "&gt;=" &amp; D37)</f>
        <v>0</v>
      </c>
      <c r="F36" s="62"/>
      <c r="G36" s="63">
        <f>COUNTIF(Vertices[In-Degree], "&gt;= " &amp; F36) - COUNTIF(Vertices[In-Degree], "&gt;=" &amp; F37)</f>
        <v>0</v>
      </c>
      <c r="H36" s="62"/>
      <c r="I36" s="63">
        <f>COUNTIF(Vertices[Out-Degree], "&gt;= " &amp; H36) - COUNTIF(Vertices[Out-Degree], "&gt;=" &amp; H37)</f>
        <v>0</v>
      </c>
      <c r="J36" s="62"/>
      <c r="K36" s="63">
        <f>COUNTIF(Vertices[Betweenness Centrality], "&gt;= " &amp; J36) - COUNTIF(Vertices[Betweenness Centrality], "&gt;=" &amp; J37)</f>
        <v>0</v>
      </c>
      <c r="L36" s="62"/>
      <c r="M36" s="63">
        <f>COUNTIF(Vertices[Closeness Centrality], "&gt;= " &amp; L36) - COUNTIF(Vertices[Closeness Centrality], "&gt;=" &amp; L37)</f>
        <v>0</v>
      </c>
      <c r="N36" s="62"/>
      <c r="O36" s="63">
        <f>COUNTIF(Vertices[Eigenvector Centrality], "&gt;= " &amp; N36) - COUNTIF(Vertices[Eigenvector Centrality], "&gt;=" &amp; N37)</f>
        <v>0</v>
      </c>
      <c r="P36" s="62"/>
      <c r="Q36" s="63">
        <f>COUNTIF(Vertices[Eigenvector Centrality], "&gt;= " &amp; P36) - COUNTIF(Vertices[Eigenvector Centrality], "&gt;=" &amp; P37)</f>
        <v>0</v>
      </c>
      <c r="R36" s="62"/>
      <c r="S36" s="64">
        <f>COUNTIF(Vertices[Clustering Coefficient], "&gt;= " &amp; R36) - COUNTIF(Vertices[Clustering Coefficient], "&gt;=" &amp; R37)</f>
        <v>0</v>
      </c>
      <c r="T36" s="62"/>
      <c r="U36" s="63">
        <f>COUNTIF(Vertices[Clustering Coefficient], "&gt;= " &amp; T36) - COUNTIF(Vertices[Clustering Coefficient], "&gt;=" &amp; T37)</f>
        <v>0</v>
      </c>
    </row>
    <row r="37" spans="1:21" x14ac:dyDescent="0.25">
      <c r="D37" s="31"/>
      <c r="E37" s="3">
        <f>COUNTIF(Vertices[Degree], "&gt;= " &amp; D37) - COUNTIF(Vertices[Degree], "&gt;=" &amp; D38)</f>
        <v>0</v>
      </c>
      <c r="F37" s="62"/>
      <c r="G37" s="63">
        <f>COUNTIF(Vertices[In-Degree], "&gt;= " &amp; F37) - COUNTIF(Vertices[In-Degree], "&gt;=" &amp; F38)</f>
        <v>0</v>
      </c>
      <c r="H37" s="62"/>
      <c r="I37" s="63">
        <f>COUNTIF(Vertices[Out-Degree], "&gt;= " &amp; H37) - COUNTIF(Vertices[Out-Degree], "&gt;=" &amp; H38)</f>
        <v>0</v>
      </c>
      <c r="J37" s="62"/>
      <c r="K37" s="63">
        <f>COUNTIF(Vertices[Betweenness Centrality], "&gt;= " &amp; J37) - COUNTIF(Vertices[Betweenness Centrality], "&gt;=" &amp; J38)</f>
        <v>0</v>
      </c>
      <c r="L37" s="62"/>
      <c r="M37" s="63">
        <f>COUNTIF(Vertices[Closeness Centrality], "&gt;= " &amp; L37) - COUNTIF(Vertices[Closeness Centrality], "&gt;=" &amp; L38)</f>
        <v>0</v>
      </c>
      <c r="N37" s="62"/>
      <c r="O37" s="63">
        <f>COUNTIF(Vertices[Eigenvector Centrality], "&gt;= " &amp; N37) - COUNTIF(Vertices[Eigenvector Centrality], "&gt;=" &amp; N38)</f>
        <v>0</v>
      </c>
      <c r="P37" s="62"/>
      <c r="Q37" s="63">
        <f>COUNTIF(Vertices[Eigenvector Centrality], "&gt;= " &amp; P37) - COUNTIF(Vertices[Eigenvector Centrality], "&gt;=" &amp; P38)</f>
        <v>0</v>
      </c>
      <c r="R37" s="62"/>
      <c r="S37" s="64">
        <f>COUNTIF(Vertices[Clustering Coefficient], "&gt;= " &amp; R37) - COUNTIF(Vertices[Clustering Coefficient], "&gt;=" &amp; R38)</f>
        <v>0</v>
      </c>
      <c r="T37" s="62"/>
      <c r="U37" s="63">
        <f>COUNTIF(Vertices[Clustering Coefficient], "&gt;= " &amp; T37) - COUNTIF(Vertices[Clustering Coefficient], "&gt;=" &amp; T38)</f>
        <v>0</v>
      </c>
    </row>
    <row r="38" spans="1:21" x14ac:dyDescent="0.25">
      <c r="D38" s="31"/>
      <c r="E38" s="3">
        <f>COUNTIF(Vertices[Degree], "&gt;= " &amp; D38) - COUNTIF(Vertices[Degree], "&gt;=" &amp; D40)</f>
        <v>-14</v>
      </c>
      <c r="F38" s="62"/>
      <c r="G38" s="63">
        <f>COUNTIF(Vertices[In-Degree], "&gt;= " &amp; F38) - COUNTIF(Vertices[In-Degree], "&gt;=" &amp; F40)</f>
        <v>-3</v>
      </c>
      <c r="H38" s="62"/>
      <c r="I38" s="63">
        <f>COUNTIF(Vertices[Out-Degree], "&gt;= " &amp; H38) - COUNTIF(Vertices[Out-Degree], "&gt;=" &amp; H40)</f>
        <v>-12</v>
      </c>
      <c r="J38" s="62"/>
      <c r="K38" s="63">
        <f>COUNTIF(Vertices[Betweenness Centrality], "&gt;= " &amp; J38) - COUNTIF(Vertices[Betweenness Centrality], "&gt;=" &amp; J40)</f>
        <v>-1</v>
      </c>
      <c r="L38" s="62"/>
      <c r="M38" s="63">
        <f>COUNTIF(Vertices[Closeness Centrality], "&gt;= " &amp; L38) - COUNTIF(Vertices[Closeness Centrality], "&gt;=" &amp; L40)</f>
        <v>-63</v>
      </c>
      <c r="N38" s="62"/>
      <c r="O38" s="63">
        <f>COUNTIF(Vertices[Eigenvector Centrality], "&gt;= " &amp; N38) - COUNTIF(Vertices[Eigenvector Centrality], "&gt;=" &amp; N40)</f>
        <v>-18</v>
      </c>
      <c r="P38" s="62"/>
      <c r="Q38" s="63">
        <f>COUNTIF(Vertices[Eigenvector Centrality], "&gt;= " &amp; P38) - COUNTIF(Vertices[Eigenvector Centrality], "&gt;=" &amp; P40)</f>
        <v>-211</v>
      </c>
      <c r="R38" s="62"/>
      <c r="S38" s="64">
        <f>COUNTIF(Vertices[Clustering Coefficient], "&gt;= " &amp; R38) - COUNTIF(Vertices[Clustering Coefficient], "&gt;=" &amp; R40)</f>
        <v>-31</v>
      </c>
      <c r="T38" s="62"/>
      <c r="U38" s="63">
        <f ca="1">COUNTIF(Vertices[Clustering Coefficient], "&gt;= " &amp; T38) - COUNTIF(Vertices[Clustering Coefficient], "&gt;=" &amp; T40)</f>
        <v>0</v>
      </c>
    </row>
    <row r="39" spans="1:21" x14ac:dyDescent="0.25">
      <c r="D39" s="31"/>
      <c r="E39" s="3">
        <f>COUNTIF(Vertices[Degree], "&gt;= " &amp; D39) - COUNTIF(Vertices[Degree], "&gt;=" &amp; D40)</f>
        <v>-14</v>
      </c>
      <c r="F39" s="62"/>
      <c r="G39" s="63">
        <f>COUNTIF(Vertices[In-Degree], "&gt;= " &amp; F39) - COUNTIF(Vertices[In-Degree], "&gt;=" &amp; F40)</f>
        <v>-3</v>
      </c>
      <c r="H39" s="62"/>
      <c r="I39" s="63">
        <f>COUNTIF(Vertices[Out-Degree], "&gt;= " &amp; H39) - COUNTIF(Vertices[Out-Degree], "&gt;=" &amp; H40)</f>
        <v>-12</v>
      </c>
      <c r="J39" s="62"/>
      <c r="K39" s="63">
        <f>COUNTIF(Vertices[Betweenness Centrality], "&gt;= " &amp; J39) - COUNTIF(Vertices[Betweenness Centrality], "&gt;=" &amp; J40)</f>
        <v>-1</v>
      </c>
      <c r="L39" s="62"/>
      <c r="M39" s="63">
        <f>COUNTIF(Vertices[Closeness Centrality], "&gt;= " &amp; L39) - COUNTIF(Vertices[Closeness Centrality], "&gt;=" &amp; L40)</f>
        <v>-63</v>
      </c>
      <c r="N39" s="62"/>
      <c r="O39" s="63">
        <f>COUNTIF(Vertices[Eigenvector Centrality], "&gt;= " &amp; N39) - COUNTIF(Vertices[Eigenvector Centrality], "&gt;=" &amp; N40)</f>
        <v>-18</v>
      </c>
      <c r="P39" s="62"/>
      <c r="Q39" s="63">
        <f>COUNTIF(Vertices[Eigenvector Centrality], "&gt;= " &amp; P39) - COUNTIF(Vertices[Eigenvector Centrality], "&gt;=" &amp; P40)</f>
        <v>-211</v>
      </c>
      <c r="R39" s="62"/>
      <c r="S39" s="64">
        <f>COUNTIF(Vertices[Clustering Coefficient], "&gt;= " &amp; R39) - COUNTIF(Vertices[Clustering Coefficient], "&gt;=" &amp; R40)</f>
        <v>-31</v>
      </c>
      <c r="T39" s="62"/>
      <c r="U39" s="63">
        <f ca="1">COUNTIF(Vertices[Clustering Coefficient], "&gt;= " &amp; T39) - COUNTIF(Vertices[Clustering Coefficient], "&gt;=" &amp; T40)</f>
        <v>0</v>
      </c>
    </row>
    <row r="40" spans="1:21" x14ac:dyDescent="0.25">
      <c r="D40" s="31">
        <f>D28+($D$57-$D$2)/BinDivisor</f>
        <v>56.727272727272691</v>
      </c>
      <c r="E40" s="3">
        <f>COUNTIF(Vertices[Degree], "&gt;= " &amp; D40) - COUNTIF(Vertices[Degree], "&gt;=" &amp; D41)</f>
        <v>2</v>
      </c>
      <c r="F40" s="36">
        <f>F28+($F$57-$F$2)/BinDivisor</f>
        <v>52.94545454545456</v>
      </c>
      <c r="G40" s="37">
        <f>COUNTIF(Vertices[In-Degree], "&gt;= " &amp; F40) - COUNTIF(Vertices[In-Degree], "&gt;=" &amp; F41)</f>
        <v>0</v>
      </c>
      <c r="H40" s="36">
        <f>H28+($H$57-$H$2)/BinDivisor</f>
        <v>32.61818181818181</v>
      </c>
      <c r="I40" s="37">
        <f>COUNTIF(Vertices[Out-Degree], "&gt;= " &amp; H40) - COUNTIF(Vertices[Out-Degree], "&gt;=" &amp; H41)</f>
        <v>1</v>
      </c>
      <c r="J40" s="36">
        <f>J28+($J$57-$J$2)/BinDivisor</f>
        <v>4494.0241164000026</v>
      </c>
      <c r="K40" s="37">
        <f>COUNTIF(Vertices[Betweenness Centrality], "&gt;= " &amp; J40) - COUNTIF(Vertices[Betweenness Centrality], "&gt;=" &amp; J41)</f>
        <v>0</v>
      </c>
      <c r="L40" s="36">
        <f>L28+($L$57-$L$2)/BinDivisor</f>
        <v>2.2237272727272726E-3</v>
      </c>
      <c r="M40" s="37">
        <f>COUNTIF(Vertices[Closeness Centrality], "&gt;= " &amp; L40) - COUNTIF(Vertices[Closeness Centrality], "&gt;=" &amp; L41)</f>
        <v>10</v>
      </c>
      <c r="N40" s="36">
        <f>N28+($N$57-$N$2)/BinDivisor</f>
        <v>1.2107018181818177E-2</v>
      </c>
      <c r="O40" s="37">
        <f>COUNTIF(Vertices[Eigenvector Centrality], "&gt;= " &amp; N40) - COUNTIF(Vertices[Eigenvector Centrality], "&gt;=" &amp; N41)</f>
        <v>3</v>
      </c>
      <c r="P40" s="36">
        <f>P28+($P$57-$P$2)/BinDivisor</f>
        <v>0</v>
      </c>
      <c r="Q40" s="37">
        <f>COUNTIF(Vertices[PageRank], "&gt;= " &amp; P40) - COUNTIF(Vertices[PageRank], "&gt;=" &amp; P41)</f>
        <v>0</v>
      </c>
      <c r="R40" s="36">
        <f>R28+($R$57-$R$2)/BinDivisor</f>
        <v>0.47272727272727283</v>
      </c>
      <c r="S40" s="42">
        <f>COUNTIF(Vertices[Clustering Coefficient], "&gt;= " &amp; R40) - COUNTIF(Vertices[Clustering Coefficient], "&gt;=" &amp; R41)</f>
        <v>0</v>
      </c>
      <c r="T40" s="36" t="e">
        <f ca="1">T28+($T$57-$T$2)/BinDivisor</f>
        <v>#REF!</v>
      </c>
      <c r="U40" s="37" t="e">
        <f t="shared" ca="1" si="0"/>
        <v>#REF!</v>
      </c>
    </row>
    <row r="41" spans="1:21" x14ac:dyDescent="0.25">
      <c r="A41" t="s">
        <v>153</v>
      </c>
      <c r="B41" t="s">
        <v>13</v>
      </c>
      <c r="D41" s="31">
        <f t="shared" ref="D41:D56" si="10">D40+($D$57-$D$2)/BinDivisor</f>
        <v>58.909090909090871</v>
      </c>
      <c r="E41" s="3">
        <f>COUNTIF(Vertices[Degree], "&gt;= " &amp; D41) - COUNTIF(Vertices[Degree], "&gt;=" &amp; D42)</f>
        <v>3</v>
      </c>
      <c r="F41" s="38">
        <f t="shared" ref="F41:F56" si="11">F40+($F$57-$F$2)/BinDivisor</f>
        <v>54.981818181818198</v>
      </c>
      <c r="G41" s="39">
        <f>COUNTIF(Vertices[In-Degree], "&gt;= " &amp; F41) - COUNTIF(Vertices[In-Degree], "&gt;=" &amp; F42)</f>
        <v>1</v>
      </c>
      <c r="H41" s="38">
        <f t="shared" ref="H41:H56" si="12">H40+($H$57-$H$2)/BinDivisor</f>
        <v>33.872727272727268</v>
      </c>
      <c r="I41" s="39">
        <f>COUNTIF(Vertices[Out-Degree], "&gt;= " &amp; H41) - COUNTIF(Vertices[Out-Degree], "&gt;=" &amp; H42)</f>
        <v>4</v>
      </c>
      <c r="J41" s="38">
        <f t="shared" ref="J41:J56" si="13">J40+($J$57-$J$2)/BinDivisor</f>
        <v>4666.8711978000028</v>
      </c>
      <c r="K41" s="39">
        <f>COUNTIF(Vertices[Betweenness Centrality], "&gt;= " &amp; J41) - COUNTIF(Vertices[Betweenness Centrality], "&gt;=" &amp; J42)</f>
        <v>0</v>
      </c>
      <c r="L41" s="38">
        <f t="shared" ref="L41:L56" si="14">L40+($L$57-$L$2)/BinDivisor</f>
        <v>2.2579090909090908E-3</v>
      </c>
      <c r="M41" s="39">
        <f>COUNTIF(Vertices[Closeness Centrality], "&gt;= " &amp; L41) - COUNTIF(Vertices[Closeness Centrality], "&gt;=" &amp; L42)</f>
        <v>7</v>
      </c>
      <c r="N41" s="38">
        <f t="shared" ref="N41:N56" si="15">N40+($N$57-$N$2)/BinDivisor</f>
        <v>1.2570672727272723E-2</v>
      </c>
      <c r="O41" s="39">
        <f>COUNTIF(Vertices[Eigenvector Centrality], "&gt;= " &amp; N41) - COUNTIF(Vertices[Eigenvector Centrality], "&gt;=" &amp; N42)</f>
        <v>3</v>
      </c>
      <c r="P41" s="38">
        <f t="shared" ref="P41:P56" si="16">P40+($P$57-$P$2)/BinDivisor</f>
        <v>0</v>
      </c>
      <c r="Q41" s="39">
        <f>COUNTIF(Vertices[PageRank], "&gt;= " &amp; P41) - COUNTIF(Vertices[PageRank], "&gt;=" &amp; P42)</f>
        <v>0</v>
      </c>
      <c r="R41" s="38">
        <f t="shared" ref="R41:R56" si="17">R40+($R$57-$R$2)/BinDivisor</f>
        <v>0.49090909090909102</v>
      </c>
      <c r="S41" s="43">
        <f>COUNTIF(Vertices[Clustering Coefficient], "&gt;= " &amp; R41) - COUNTIF(Vertices[Clustering Coefficient], "&gt;=" &amp; R42)</f>
        <v>8</v>
      </c>
      <c r="T41" s="38" t="e">
        <f t="shared" ref="T41:T56" ca="1" si="18">T40+($T$57-$T$2)/BinDivisor</f>
        <v>#REF!</v>
      </c>
      <c r="U41" s="39" t="e">
        <f t="shared" ca="1" si="0"/>
        <v>#REF!</v>
      </c>
    </row>
    <row r="42" spans="1:21" x14ac:dyDescent="0.25">
      <c r="A42" s="32"/>
      <c r="B42" s="32"/>
      <c r="D42" s="31">
        <f t="shared" si="10"/>
        <v>61.090909090909051</v>
      </c>
      <c r="E42" s="3">
        <f>COUNTIF(Vertices[Degree], "&gt;= " &amp; D42) - COUNTIF(Vertices[Degree], "&gt;=" &amp; D43)</f>
        <v>0</v>
      </c>
      <c r="F42" s="36">
        <f t="shared" si="11"/>
        <v>57.018181818181837</v>
      </c>
      <c r="G42" s="37">
        <f>COUNTIF(Vertices[In-Degree], "&gt;= " &amp; F42) - COUNTIF(Vertices[In-Degree], "&gt;=" &amp; F43)</f>
        <v>0</v>
      </c>
      <c r="H42" s="36">
        <f t="shared" si="12"/>
        <v>35.127272727272725</v>
      </c>
      <c r="I42" s="37">
        <f>COUNTIF(Vertices[Out-Degree], "&gt;= " &amp; H42) - COUNTIF(Vertices[Out-Degree], "&gt;=" &amp; H43)</f>
        <v>1</v>
      </c>
      <c r="J42" s="36">
        <f t="shared" si="13"/>
        <v>4839.7182792000031</v>
      </c>
      <c r="K42" s="37">
        <f>COUNTIF(Vertices[Betweenness Centrality], "&gt;= " &amp; J42) - COUNTIF(Vertices[Betweenness Centrality], "&gt;=" &amp; J43)</f>
        <v>0</v>
      </c>
      <c r="L42" s="36">
        <f t="shared" si="14"/>
        <v>2.292090909090909E-3</v>
      </c>
      <c r="M42" s="37">
        <f>COUNTIF(Vertices[Closeness Centrality], "&gt;= " &amp; L42) - COUNTIF(Vertices[Closeness Centrality], "&gt;=" &amp; L43)</f>
        <v>10</v>
      </c>
      <c r="N42" s="36">
        <f t="shared" si="15"/>
        <v>1.3034327272727268E-2</v>
      </c>
      <c r="O42" s="37">
        <f>COUNTIF(Vertices[Eigenvector Centrality], "&gt;= " &amp; N42) - COUNTIF(Vertices[Eigenvector Centrality], "&gt;=" &amp; N43)</f>
        <v>1</v>
      </c>
      <c r="P42" s="36">
        <f t="shared" si="16"/>
        <v>0</v>
      </c>
      <c r="Q42" s="37">
        <f>COUNTIF(Vertices[PageRank], "&gt;= " &amp; P42) - COUNTIF(Vertices[PageRank], "&gt;=" &amp; P43)</f>
        <v>0</v>
      </c>
      <c r="R42" s="36">
        <f t="shared" si="17"/>
        <v>0.50909090909090915</v>
      </c>
      <c r="S42" s="42">
        <f>COUNTIF(Vertices[Clustering Coefficient], "&gt;= " &amp; R42) - COUNTIF(Vertices[Clustering Coefficient], "&gt;=" &amp; R43)</f>
        <v>0</v>
      </c>
      <c r="T42" s="36" t="e">
        <f t="shared" ca="1" si="18"/>
        <v>#REF!</v>
      </c>
      <c r="U42" s="37" t="e">
        <f t="shared" ca="1" si="0"/>
        <v>#REF!</v>
      </c>
    </row>
    <row r="43" spans="1:21" x14ac:dyDescent="0.25">
      <c r="D43" s="31">
        <f t="shared" si="10"/>
        <v>63.272727272727231</v>
      </c>
      <c r="E43" s="3">
        <f>COUNTIF(Vertices[Degree], "&gt;= " &amp; D43) - COUNTIF(Vertices[Degree], "&gt;=" &amp; D44)</f>
        <v>0</v>
      </c>
      <c r="F43" s="38">
        <f t="shared" si="11"/>
        <v>59.054545454545476</v>
      </c>
      <c r="G43" s="39">
        <f>COUNTIF(Vertices[In-Degree], "&gt;= " &amp; F43) - COUNTIF(Vertices[In-Degree], "&gt;=" &amp; F44)</f>
        <v>0</v>
      </c>
      <c r="H43" s="38">
        <f t="shared" si="12"/>
        <v>36.381818181818183</v>
      </c>
      <c r="I43" s="39">
        <f>COUNTIF(Vertices[Out-Degree], "&gt;= " &amp; H43) - COUNTIF(Vertices[Out-Degree], "&gt;=" &amp; H44)</f>
        <v>1</v>
      </c>
      <c r="J43" s="38">
        <f t="shared" si="13"/>
        <v>5012.5653606000033</v>
      </c>
      <c r="K43" s="39">
        <f>COUNTIF(Vertices[Betweenness Centrality], "&gt;= " &amp; J43) - COUNTIF(Vertices[Betweenness Centrality], "&gt;=" &amp; J44)</f>
        <v>0</v>
      </c>
      <c r="L43" s="38">
        <f t="shared" si="14"/>
        <v>2.3262727272727272E-3</v>
      </c>
      <c r="M43" s="39">
        <f>COUNTIF(Vertices[Closeness Centrality], "&gt;= " &amp; L43) - COUNTIF(Vertices[Closeness Centrality], "&gt;=" &amp; L44)</f>
        <v>5</v>
      </c>
      <c r="N43" s="38">
        <f t="shared" si="15"/>
        <v>1.3497981818181813E-2</v>
      </c>
      <c r="O43" s="39">
        <f>COUNTIF(Vertices[Eigenvector Centrality], "&gt;= " &amp; N43) - COUNTIF(Vertices[Eigenvector Centrality], "&gt;=" &amp; N44)</f>
        <v>1</v>
      </c>
      <c r="P43" s="38">
        <f t="shared" si="16"/>
        <v>0</v>
      </c>
      <c r="Q43" s="39">
        <f>COUNTIF(Vertices[PageRank], "&gt;= " &amp; P43) - COUNTIF(Vertices[PageRank], "&gt;=" &amp; P44)</f>
        <v>0</v>
      </c>
      <c r="R43" s="38">
        <f t="shared" si="17"/>
        <v>0.52727272727272734</v>
      </c>
      <c r="S43" s="43">
        <f>COUNTIF(Vertices[Clustering Coefficient], "&gt;= " &amp; R43) - COUNTIF(Vertices[Clustering Coefficient], "&gt;=" &amp; R44)</f>
        <v>4</v>
      </c>
      <c r="T43" s="38" t="e">
        <f t="shared" ca="1" si="18"/>
        <v>#REF!</v>
      </c>
      <c r="U43" s="39" t="e">
        <f t="shared" ca="1" si="0"/>
        <v>#REF!</v>
      </c>
    </row>
    <row r="44" spans="1:21" x14ac:dyDescent="0.25">
      <c r="D44" s="31">
        <f t="shared" si="10"/>
        <v>65.454545454545411</v>
      </c>
      <c r="E44" s="3">
        <f>COUNTIF(Vertices[Degree], "&gt;= " &amp; D44) - COUNTIF(Vertices[Degree], "&gt;=" &amp; D45)</f>
        <v>0</v>
      </c>
      <c r="F44" s="36">
        <f t="shared" si="11"/>
        <v>61.090909090909115</v>
      </c>
      <c r="G44" s="37">
        <f>COUNTIF(Vertices[In-Degree], "&gt;= " &amp; F44) - COUNTIF(Vertices[In-Degree], "&gt;=" &amp; F45)</f>
        <v>0</v>
      </c>
      <c r="H44" s="36">
        <f t="shared" si="12"/>
        <v>37.63636363636364</v>
      </c>
      <c r="I44" s="37">
        <f>COUNTIF(Vertices[Out-Degree], "&gt;= " &amp; H44) - COUNTIF(Vertices[Out-Degree], "&gt;=" &amp; H45)</f>
        <v>0</v>
      </c>
      <c r="J44" s="36">
        <f t="shared" si="13"/>
        <v>5185.4124420000035</v>
      </c>
      <c r="K44" s="37">
        <f>COUNTIF(Vertices[Betweenness Centrality], "&gt;= " &amp; J44) - COUNTIF(Vertices[Betweenness Centrality], "&gt;=" &amp; J45)</f>
        <v>0</v>
      </c>
      <c r="L44" s="36">
        <f t="shared" si="14"/>
        <v>2.3604545454545454E-3</v>
      </c>
      <c r="M44" s="37">
        <f>COUNTIF(Vertices[Closeness Centrality], "&gt;= " &amp; L44) - COUNTIF(Vertices[Closeness Centrality], "&gt;=" &amp; L45)</f>
        <v>7</v>
      </c>
      <c r="N44" s="36">
        <f t="shared" si="15"/>
        <v>1.3961636363636358E-2</v>
      </c>
      <c r="O44" s="37">
        <f>COUNTIF(Vertices[Eigenvector Centrality], "&gt;= " &amp; N44) - COUNTIF(Vertices[Eigenvector Centrality], "&gt;=" &amp; N45)</f>
        <v>1</v>
      </c>
      <c r="P44" s="36">
        <f t="shared" si="16"/>
        <v>0</v>
      </c>
      <c r="Q44" s="37">
        <f>COUNTIF(Vertices[PageRank], "&gt;= " &amp; P44) - COUNTIF(Vertices[PageRank], "&gt;=" &amp; P45)</f>
        <v>0</v>
      </c>
      <c r="R44" s="36">
        <f t="shared" si="17"/>
        <v>0.54545454545454553</v>
      </c>
      <c r="S44" s="42">
        <f>COUNTIF(Vertices[Clustering Coefficient], "&gt;= " &amp; R44) - COUNTIF(Vertices[Clustering Coefficient], "&gt;=" &amp; R45)</f>
        <v>2</v>
      </c>
      <c r="T44" s="36" t="e">
        <f t="shared" ca="1" si="18"/>
        <v>#REF!</v>
      </c>
      <c r="U44" s="37" t="e">
        <f t="shared" ca="1" si="0"/>
        <v>#REF!</v>
      </c>
    </row>
    <row r="45" spans="1:21" x14ac:dyDescent="0.25">
      <c r="D45" s="31">
        <f t="shared" si="10"/>
        <v>67.636363636363598</v>
      </c>
      <c r="E45" s="3">
        <f>COUNTIF(Vertices[Degree], "&gt;= " &amp; D45) - COUNTIF(Vertices[Degree], "&gt;=" &amp; D46)</f>
        <v>0</v>
      </c>
      <c r="F45" s="38">
        <f t="shared" si="11"/>
        <v>63.127272727272754</v>
      </c>
      <c r="G45" s="39">
        <f>COUNTIF(Vertices[In-Degree], "&gt;= " &amp; F45) - COUNTIF(Vertices[In-Degree], "&gt;=" &amp; F46)</f>
        <v>0</v>
      </c>
      <c r="H45" s="38">
        <f t="shared" si="12"/>
        <v>38.890909090909098</v>
      </c>
      <c r="I45" s="39">
        <f>COUNTIF(Vertices[Out-Degree], "&gt;= " &amp; H45) - COUNTIF(Vertices[Out-Degree], "&gt;=" &amp; H46)</f>
        <v>0</v>
      </c>
      <c r="J45" s="38">
        <f t="shared" si="13"/>
        <v>5358.2595234000037</v>
      </c>
      <c r="K45" s="39">
        <f>COUNTIF(Vertices[Betweenness Centrality], "&gt;= " &amp; J45) - COUNTIF(Vertices[Betweenness Centrality], "&gt;=" &amp; J46)</f>
        <v>0</v>
      </c>
      <c r="L45" s="38">
        <f t="shared" si="14"/>
        <v>2.3946363636363635E-3</v>
      </c>
      <c r="M45" s="39">
        <f>COUNTIF(Vertices[Closeness Centrality], "&gt;= " &amp; L45) - COUNTIF(Vertices[Closeness Centrality], "&gt;=" &amp; L46)</f>
        <v>7</v>
      </c>
      <c r="N45" s="38">
        <f t="shared" si="15"/>
        <v>1.4425290909090904E-2</v>
      </c>
      <c r="O45" s="39">
        <f>COUNTIF(Vertices[Eigenvector Centrality], "&gt;= " &amp; N45) - COUNTIF(Vertices[Eigenvector Centrality], "&gt;=" &amp; N46)</f>
        <v>1</v>
      </c>
      <c r="P45" s="38">
        <f t="shared" si="16"/>
        <v>0</v>
      </c>
      <c r="Q45" s="39">
        <f>COUNTIF(Vertices[PageRank], "&gt;= " &amp; P45) - COUNTIF(Vertices[PageRank], "&gt;=" &amp; P46)</f>
        <v>0</v>
      </c>
      <c r="R45" s="38">
        <f t="shared" si="17"/>
        <v>0.56363636363636371</v>
      </c>
      <c r="S45" s="43">
        <f>COUNTIF(Vertices[Clustering Coefficient], "&gt;= " &amp; R45) - COUNTIF(Vertices[Clustering Coefficient], "&gt;=" &amp; R46)</f>
        <v>0</v>
      </c>
      <c r="T45" s="38" t="e">
        <f t="shared" ca="1" si="18"/>
        <v>#REF!</v>
      </c>
      <c r="U45" s="39" t="e">
        <f t="shared" ca="1" si="0"/>
        <v>#REF!</v>
      </c>
    </row>
    <row r="46" spans="1:21" x14ac:dyDescent="0.25">
      <c r="D46" s="31">
        <f t="shared" si="10"/>
        <v>69.818181818181785</v>
      </c>
      <c r="E46" s="3">
        <f>COUNTIF(Vertices[Degree], "&gt;= " &amp; D46) - COUNTIF(Vertices[Degree], "&gt;=" &amp; D47)</f>
        <v>0</v>
      </c>
      <c r="F46" s="36">
        <f t="shared" si="11"/>
        <v>65.163636363636385</v>
      </c>
      <c r="G46" s="37">
        <f>COUNTIF(Vertices[In-Degree], "&gt;= " &amp; F46) - COUNTIF(Vertices[In-Degree], "&gt;=" &amp; F47)</f>
        <v>0</v>
      </c>
      <c r="H46" s="36">
        <f t="shared" si="12"/>
        <v>40.145454545454555</v>
      </c>
      <c r="I46" s="37">
        <f>COUNTIF(Vertices[Out-Degree], "&gt;= " &amp; H46) - COUNTIF(Vertices[Out-Degree], "&gt;=" &amp; H47)</f>
        <v>1</v>
      </c>
      <c r="J46" s="36">
        <f t="shared" si="13"/>
        <v>5531.1066048000039</v>
      </c>
      <c r="K46" s="37">
        <f>COUNTIF(Vertices[Betweenness Centrality], "&gt;= " &amp; J46) - COUNTIF(Vertices[Betweenness Centrality], "&gt;=" &amp; J47)</f>
        <v>0</v>
      </c>
      <c r="L46" s="36">
        <f t="shared" si="14"/>
        <v>2.4288181818181817E-3</v>
      </c>
      <c r="M46" s="37">
        <f>COUNTIF(Vertices[Closeness Centrality], "&gt;= " &amp; L46) - COUNTIF(Vertices[Closeness Centrality], "&gt;=" &amp; L47)</f>
        <v>5</v>
      </c>
      <c r="N46" s="36">
        <f t="shared" si="15"/>
        <v>1.4888945454545449E-2</v>
      </c>
      <c r="O46" s="37">
        <f>COUNTIF(Vertices[Eigenvector Centrality], "&gt;= " &amp; N46) - COUNTIF(Vertices[Eigenvector Centrality], "&gt;=" &amp; N47)</f>
        <v>0</v>
      </c>
      <c r="P46" s="36">
        <f t="shared" si="16"/>
        <v>0</v>
      </c>
      <c r="Q46" s="37">
        <f>COUNTIF(Vertices[PageRank], "&gt;= " &amp; P46) - COUNTIF(Vertices[PageRank], "&gt;=" &amp; P47)</f>
        <v>0</v>
      </c>
      <c r="R46" s="36">
        <f t="shared" si="17"/>
        <v>0.5818181818181819</v>
      </c>
      <c r="S46" s="42">
        <f>COUNTIF(Vertices[Clustering Coefficient], "&gt;= " &amp; R46) - COUNTIF(Vertices[Clustering Coefficient], "&gt;=" &amp; R47)</f>
        <v>0</v>
      </c>
      <c r="T46" s="36" t="e">
        <f t="shared" ca="1" si="18"/>
        <v>#REF!</v>
      </c>
      <c r="U46" s="37" t="e">
        <f t="shared" ca="1" si="0"/>
        <v>#REF!</v>
      </c>
    </row>
    <row r="47" spans="1:21" x14ac:dyDescent="0.25">
      <c r="D47" s="31">
        <f t="shared" si="10"/>
        <v>71.999999999999972</v>
      </c>
      <c r="E47" s="3">
        <f>COUNTIF(Vertices[Degree], "&gt;= " &amp; D47) - COUNTIF(Vertices[Degree], "&gt;=" &amp; D48)</f>
        <v>1</v>
      </c>
      <c r="F47" s="38">
        <f t="shared" si="11"/>
        <v>67.200000000000017</v>
      </c>
      <c r="G47" s="39">
        <f>COUNTIF(Vertices[In-Degree], "&gt;= " &amp; F47) - COUNTIF(Vertices[In-Degree], "&gt;=" &amp; F48)</f>
        <v>0</v>
      </c>
      <c r="H47" s="38">
        <f t="shared" si="12"/>
        <v>41.400000000000013</v>
      </c>
      <c r="I47" s="39">
        <f>COUNTIF(Vertices[Out-Degree], "&gt;= " &amp; H47) - COUNTIF(Vertices[Out-Degree], "&gt;=" &amp; H48)</f>
        <v>0</v>
      </c>
      <c r="J47" s="38">
        <f t="shared" si="13"/>
        <v>5703.9536862000041</v>
      </c>
      <c r="K47" s="39">
        <f>COUNTIF(Vertices[Betweenness Centrality], "&gt;= " &amp; J47) - COUNTIF(Vertices[Betweenness Centrality], "&gt;=" &amp; J48)</f>
        <v>0</v>
      </c>
      <c r="L47" s="38">
        <f t="shared" si="14"/>
        <v>2.4629999999999999E-3</v>
      </c>
      <c r="M47" s="39">
        <f>COUNTIF(Vertices[Closeness Centrality], "&gt;= " &amp; L47) - COUNTIF(Vertices[Closeness Centrality], "&gt;=" &amp; L48)</f>
        <v>1</v>
      </c>
      <c r="N47" s="38">
        <f t="shared" si="15"/>
        <v>1.5352599999999994E-2</v>
      </c>
      <c r="O47" s="39">
        <f>COUNTIF(Vertices[Eigenvector Centrality], "&gt;= " &amp; N47) - COUNTIF(Vertices[Eigenvector Centrality], "&gt;=" &amp; N48)</f>
        <v>1</v>
      </c>
      <c r="P47" s="38">
        <f t="shared" si="16"/>
        <v>0</v>
      </c>
      <c r="Q47" s="39">
        <f>COUNTIF(Vertices[PageRank], "&gt;= " &amp; P47) - COUNTIF(Vertices[PageRank], "&gt;=" &amp; P48)</f>
        <v>0</v>
      </c>
      <c r="R47" s="38">
        <f t="shared" si="17"/>
        <v>0.60000000000000009</v>
      </c>
      <c r="S47" s="43">
        <f>COUNTIF(Vertices[Clustering Coefficient], "&gt;= " &amp; R47) - COUNTIF(Vertices[Clustering Coefficient], "&gt;=" &amp; R48)</f>
        <v>1</v>
      </c>
      <c r="T47" s="38" t="e">
        <f t="shared" ca="1" si="18"/>
        <v>#REF!</v>
      </c>
      <c r="U47" s="39" t="e">
        <f t="shared" ca="1" si="0"/>
        <v>#REF!</v>
      </c>
    </row>
    <row r="48" spans="1:21" x14ac:dyDescent="0.25">
      <c r="D48" s="31">
        <f t="shared" si="10"/>
        <v>74.181818181818159</v>
      </c>
      <c r="E48" s="3">
        <f>COUNTIF(Vertices[Degree], "&gt;= " &amp; D48) - COUNTIF(Vertices[Degree], "&gt;=" &amp; D49)</f>
        <v>1</v>
      </c>
      <c r="F48" s="36">
        <f t="shared" si="11"/>
        <v>69.236363636363649</v>
      </c>
      <c r="G48" s="37">
        <f>COUNTIF(Vertices[In-Degree], "&gt;= " &amp; F48) - COUNTIF(Vertices[In-Degree], "&gt;=" &amp; F49)</f>
        <v>1</v>
      </c>
      <c r="H48" s="36">
        <f t="shared" si="12"/>
        <v>42.65454545454547</v>
      </c>
      <c r="I48" s="37">
        <f>COUNTIF(Vertices[Out-Degree], "&gt;= " &amp; H48) - COUNTIF(Vertices[Out-Degree], "&gt;=" &amp; H49)</f>
        <v>0</v>
      </c>
      <c r="J48" s="36">
        <f t="shared" si="13"/>
        <v>5876.8007676000043</v>
      </c>
      <c r="K48" s="37">
        <f>COUNTIF(Vertices[Betweenness Centrality], "&gt;= " &amp; J48) - COUNTIF(Vertices[Betweenness Centrality], "&gt;=" &amp; J49)</f>
        <v>0</v>
      </c>
      <c r="L48" s="36">
        <f t="shared" si="14"/>
        <v>2.4971818181818181E-3</v>
      </c>
      <c r="M48" s="37">
        <f>COUNTIF(Vertices[Closeness Centrality], "&gt;= " &amp; L48) - COUNTIF(Vertices[Closeness Centrality], "&gt;=" &amp; L49)</f>
        <v>2</v>
      </c>
      <c r="N48" s="36">
        <f t="shared" si="15"/>
        <v>1.5816254545454541E-2</v>
      </c>
      <c r="O48" s="37">
        <f>COUNTIF(Vertices[Eigenvector Centrality], "&gt;= " &amp; N48) - COUNTIF(Vertices[Eigenvector Centrality], "&gt;=" &amp; N49)</f>
        <v>1</v>
      </c>
      <c r="P48" s="36">
        <f t="shared" si="16"/>
        <v>0</v>
      </c>
      <c r="Q48" s="37">
        <f>COUNTIF(Vertices[PageRank], "&gt;= " &amp; P48) - COUNTIF(Vertices[PageRank], "&gt;=" &amp; P49)</f>
        <v>0</v>
      </c>
      <c r="R48" s="36">
        <f t="shared" si="17"/>
        <v>0.61818181818181828</v>
      </c>
      <c r="S48" s="42">
        <f>COUNTIF(Vertices[Clustering Coefficient], "&gt;= " &amp; R48) - COUNTIF(Vertices[Clustering Coefficient], "&gt;=" &amp; R49)</f>
        <v>3</v>
      </c>
      <c r="T48" s="36" t="e">
        <f t="shared" ca="1" si="18"/>
        <v>#REF!</v>
      </c>
      <c r="U48" s="37" t="e">
        <f t="shared" ca="1" si="0"/>
        <v>#REF!</v>
      </c>
    </row>
    <row r="49" spans="1:21" x14ac:dyDescent="0.25">
      <c r="D49" s="31">
        <f t="shared" si="10"/>
        <v>76.363636363636346</v>
      </c>
      <c r="E49" s="3">
        <f>COUNTIF(Vertices[Degree], "&gt;= " &amp; D49) - COUNTIF(Vertices[Degree], "&gt;=" &amp; D50)</f>
        <v>0</v>
      </c>
      <c r="F49" s="38">
        <f t="shared" si="11"/>
        <v>71.27272727272728</v>
      </c>
      <c r="G49" s="39">
        <f>COUNTIF(Vertices[In-Degree], "&gt;= " &amp; F49) - COUNTIF(Vertices[In-Degree], "&gt;=" &amp; F50)</f>
        <v>0</v>
      </c>
      <c r="H49" s="38">
        <f t="shared" si="12"/>
        <v>43.909090909090928</v>
      </c>
      <c r="I49" s="39">
        <f>COUNTIF(Vertices[Out-Degree], "&gt;= " &amp; H49) - COUNTIF(Vertices[Out-Degree], "&gt;=" &amp; H50)</f>
        <v>0</v>
      </c>
      <c r="J49" s="38">
        <f t="shared" si="13"/>
        <v>6049.6478490000045</v>
      </c>
      <c r="K49" s="39">
        <f>COUNTIF(Vertices[Betweenness Centrality], "&gt;= " &amp; J49) - COUNTIF(Vertices[Betweenness Centrality], "&gt;=" &amp; J50)</f>
        <v>0</v>
      </c>
      <c r="L49" s="38">
        <f t="shared" si="14"/>
        <v>2.5313636363636363E-3</v>
      </c>
      <c r="M49" s="39">
        <f>COUNTIF(Vertices[Closeness Centrality], "&gt;= " &amp; L49) - COUNTIF(Vertices[Closeness Centrality], "&gt;=" &amp; L50)</f>
        <v>3</v>
      </c>
      <c r="N49" s="38">
        <f t="shared" si="15"/>
        <v>1.6279909090909088E-2</v>
      </c>
      <c r="O49" s="39">
        <f>COUNTIF(Vertices[Eigenvector Centrality], "&gt;= " &amp; N49) - COUNTIF(Vertices[Eigenvector Centrality], "&gt;=" &amp; N50)</f>
        <v>1</v>
      </c>
      <c r="P49" s="38">
        <f t="shared" si="16"/>
        <v>0</v>
      </c>
      <c r="Q49" s="39">
        <f>COUNTIF(Vertices[PageRank], "&gt;= " &amp; P49) - COUNTIF(Vertices[PageRank], "&gt;=" &amp; P50)</f>
        <v>0</v>
      </c>
      <c r="R49" s="38">
        <f t="shared" si="17"/>
        <v>0.63636363636363646</v>
      </c>
      <c r="S49" s="43">
        <f>COUNTIF(Vertices[Clustering Coefficient], "&gt;= " &amp; R49) - COUNTIF(Vertices[Clustering Coefficient], "&gt;=" &amp; R50)</f>
        <v>2</v>
      </c>
      <c r="T49" s="38" t="e">
        <f t="shared" ca="1" si="18"/>
        <v>#REF!</v>
      </c>
      <c r="U49" s="39" t="e">
        <f t="shared" ca="1" si="0"/>
        <v>#REF!</v>
      </c>
    </row>
    <row r="50" spans="1:21" x14ac:dyDescent="0.25">
      <c r="D50" s="31">
        <f t="shared" si="10"/>
        <v>78.545454545454533</v>
      </c>
      <c r="E50" s="3">
        <f>COUNTIF(Vertices[Degree], "&gt;= " &amp; D50) - COUNTIF(Vertices[Degree], "&gt;=" &amp; D51)</f>
        <v>0</v>
      </c>
      <c r="F50" s="36">
        <f t="shared" si="11"/>
        <v>73.309090909090912</v>
      </c>
      <c r="G50" s="37">
        <f>COUNTIF(Vertices[In-Degree], "&gt;= " &amp; F50) - COUNTIF(Vertices[In-Degree], "&gt;=" &amp; F51)</f>
        <v>0</v>
      </c>
      <c r="H50" s="36">
        <f t="shared" si="12"/>
        <v>45.163636363636385</v>
      </c>
      <c r="I50" s="37">
        <f>COUNTIF(Vertices[Out-Degree], "&gt;= " &amp; H50) - COUNTIF(Vertices[Out-Degree], "&gt;=" &amp; H51)</f>
        <v>0</v>
      </c>
      <c r="J50" s="36">
        <f t="shared" si="13"/>
        <v>6222.4949304000047</v>
      </c>
      <c r="K50" s="37">
        <f>COUNTIF(Vertices[Betweenness Centrality], "&gt;= " &amp; J50) - COUNTIF(Vertices[Betweenness Centrality], "&gt;=" &amp; J51)</f>
        <v>0</v>
      </c>
      <c r="L50" s="36">
        <f t="shared" si="14"/>
        <v>2.5655454545454545E-3</v>
      </c>
      <c r="M50" s="37">
        <f>COUNTIF(Vertices[Closeness Centrality], "&gt;= " &amp; L50) - COUNTIF(Vertices[Closeness Centrality], "&gt;=" &amp; L51)</f>
        <v>0</v>
      </c>
      <c r="N50" s="36">
        <f t="shared" si="15"/>
        <v>1.6743563636363635E-2</v>
      </c>
      <c r="O50" s="37">
        <f>COUNTIF(Vertices[Eigenvector Centrality], "&gt;= " &amp; N50) - COUNTIF(Vertices[Eigenvector Centrality], "&gt;=" &amp; N51)</f>
        <v>0</v>
      </c>
      <c r="P50" s="36">
        <f t="shared" si="16"/>
        <v>0</v>
      </c>
      <c r="Q50" s="37">
        <f>COUNTIF(Vertices[PageRank], "&gt;= " &amp; P50) - COUNTIF(Vertices[PageRank], "&gt;=" &amp; P51)</f>
        <v>0</v>
      </c>
      <c r="R50" s="36">
        <f t="shared" si="17"/>
        <v>0.65454545454545465</v>
      </c>
      <c r="S50" s="42">
        <f>COUNTIF(Vertices[Clustering Coefficient], "&gt;= " &amp; R50) - COUNTIF(Vertices[Clustering Coefficient], "&gt;=" &amp; R51)</f>
        <v>3</v>
      </c>
      <c r="T50" s="36" t="e">
        <f t="shared" ca="1" si="18"/>
        <v>#REF!</v>
      </c>
      <c r="U50" s="37" t="e">
        <f t="shared" ca="1" si="0"/>
        <v>#REF!</v>
      </c>
    </row>
    <row r="51" spans="1:21" x14ac:dyDescent="0.25">
      <c r="D51" s="31">
        <f t="shared" si="10"/>
        <v>80.72727272727272</v>
      </c>
      <c r="E51" s="3">
        <f>COUNTIF(Vertices[Degree], "&gt;= " &amp; D51) - COUNTIF(Vertices[Degree], "&gt;=" &amp; D52)</f>
        <v>1</v>
      </c>
      <c r="F51" s="38">
        <f t="shared" si="11"/>
        <v>75.345454545454544</v>
      </c>
      <c r="G51" s="39">
        <f>COUNTIF(Vertices[In-Degree], "&gt;= " &amp; F51) - COUNTIF(Vertices[In-Degree], "&gt;=" &amp; F52)</f>
        <v>0</v>
      </c>
      <c r="H51" s="38">
        <f t="shared" si="12"/>
        <v>46.418181818181843</v>
      </c>
      <c r="I51" s="39">
        <f>COUNTIF(Vertices[Out-Degree], "&gt;= " &amp; H51) - COUNTIF(Vertices[Out-Degree], "&gt;=" &amp; H52)</f>
        <v>0</v>
      </c>
      <c r="J51" s="38">
        <f t="shared" si="13"/>
        <v>6395.3420118000049</v>
      </c>
      <c r="K51" s="39">
        <f>COUNTIF(Vertices[Betweenness Centrality], "&gt;= " &amp; J51) - COUNTIF(Vertices[Betweenness Centrality], "&gt;=" &amp; J52)</f>
        <v>0</v>
      </c>
      <c r="L51" s="38">
        <f t="shared" si="14"/>
        <v>2.5997272727272727E-3</v>
      </c>
      <c r="M51" s="39">
        <f>COUNTIF(Vertices[Closeness Centrality], "&gt;= " &amp; L51) - COUNTIF(Vertices[Closeness Centrality], "&gt;=" &amp; L52)</f>
        <v>0</v>
      </c>
      <c r="N51" s="38">
        <f t="shared" si="15"/>
        <v>1.7207218181818182E-2</v>
      </c>
      <c r="O51" s="39">
        <f>COUNTIF(Vertices[Eigenvector Centrality], "&gt;= " &amp; N51) - COUNTIF(Vertices[Eigenvector Centrality], "&gt;=" &amp; N52)</f>
        <v>0</v>
      </c>
      <c r="P51" s="38">
        <f t="shared" si="16"/>
        <v>0</v>
      </c>
      <c r="Q51" s="39">
        <f>COUNTIF(Vertices[PageRank], "&gt;= " &amp; P51) - COUNTIF(Vertices[PageRank], "&gt;=" &amp; P52)</f>
        <v>0</v>
      </c>
      <c r="R51" s="38">
        <f t="shared" si="17"/>
        <v>0.67272727272727284</v>
      </c>
      <c r="S51" s="43">
        <f>COUNTIF(Vertices[Clustering Coefficient], "&gt;= " &amp; R51) - COUNTIF(Vertices[Clustering Coefficient], "&gt;=" &amp; R52)</f>
        <v>0</v>
      </c>
      <c r="T51" s="38" t="e">
        <f t="shared" ca="1" si="18"/>
        <v>#REF!</v>
      </c>
      <c r="U51" s="39" t="e">
        <f t="shared" ca="1" si="0"/>
        <v>#REF!</v>
      </c>
    </row>
    <row r="52" spans="1:21" x14ac:dyDescent="0.25">
      <c r="D52" s="31">
        <f t="shared" si="10"/>
        <v>82.909090909090907</v>
      </c>
      <c r="E52" s="3">
        <f>COUNTIF(Vertices[Degree], "&gt;= " &amp; D52) - COUNTIF(Vertices[Degree], "&gt;=" &amp; D53)</f>
        <v>0</v>
      </c>
      <c r="F52" s="36">
        <f t="shared" si="11"/>
        <v>77.381818181818176</v>
      </c>
      <c r="G52" s="37">
        <f>COUNTIF(Vertices[In-Degree], "&gt;= " &amp; F52) - COUNTIF(Vertices[In-Degree], "&gt;=" &amp; F53)</f>
        <v>0</v>
      </c>
      <c r="H52" s="36">
        <f t="shared" si="12"/>
        <v>47.6727272727273</v>
      </c>
      <c r="I52" s="37">
        <f>COUNTIF(Vertices[Out-Degree], "&gt;= " &amp; H52) - COUNTIF(Vertices[Out-Degree], "&gt;=" &amp; H53)</f>
        <v>0</v>
      </c>
      <c r="J52" s="36">
        <f t="shared" si="13"/>
        <v>6568.1890932000051</v>
      </c>
      <c r="K52" s="37">
        <f>COUNTIF(Vertices[Betweenness Centrality], "&gt;= " &amp; J52) - COUNTIF(Vertices[Betweenness Centrality], "&gt;=" &amp; J53)</f>
        <v>0</v>
      </c>
      <c r="L52" s="36">
        <f t="shared" si="14"/>
        <v>2.6339090909090908E-3</v>
      </c>
      <c r="M52" s="37">
        <f>COUNTIF(Vertices[Closeness Centrality], "&gt;= " &amp; L52) - COUNTIF(Vertices[Closeness Centrality], "&gt;=" &amp; L53)</f>
        <v>1</v>
      </c>
      <c r="N52" s="36">
        <f t="shared" si="15"/>
        <v>1.7670872727272729E-2</v>
      </c>
      <c r="O52" s="37">
        <f>COUNTIF(Vertices[Eigenvector Centrality], "&gt;= " &amp; N52) - COUNTIF(Vertices[Eigenvector Centrality], "&gt;=" &amp; N53)</f>
        <v>0</v>
      </c>
      <c r="P52" s="36">
        <f t="shared" si="16"/>
        <v>0</v>
      </c>
      <c r="Q52" s="37">
        <f>COUNTIF(Vertices[PageRank], "&gt;= " &amp; P52) - COUNTIF(Vertices[PageRank], "&gt;=" &amp; P53)</f>
        <v>0</v>
      </c>
      <c r="R52" s="36">
        <f t="shared" si="17"/>
        <v>0.69090909090909103</v>
      </c>
      <c r="S52" s="42">
        <f>COUNTIF(Vertices[Clustering Coefficient], "&gt;= " &amp; R52) - COUNTIF(Vertices[Clustering Coefficient], "&gt;=" &amp; R53)</f>
        <v>0</v>
      </c>
      <c r="T52" s="36" t="e">
        <f t="shared" ca="1" si="18"/>
        <v>#REF!</v>
      </c>
      <c r="U52" s="37" t="e">
        <f t="shared" ca="1" si="0"/>
        <v>#REF!</v>
      </c>
    </row>
    <row r="53" spans="1:21" x14ac:dyDescent="0.25">
      <c r="D53" s="31">
        <f t="shared" si="10"/>
        <v>85.090909090909093</v>
      </c>
      <c r="E53" s="3">
        <f>COUNTIF(Vertices[Degree], "&gt;= " &amp; D53) - COUNTIF(Vertices[Degree], "&gt;=" &amp; D54)</f>
        <v>0</v>
      </c>
      <c r="F53" s="38">
        <f t="shared" si="11"/>
        <v>79.418181818181807</v>
      </c>
      <c r="G53" s="39">
        <f>COUNTIF(Vertices[In-Degree], "&gt;= " &amp; F53) - COUNTIF(Vertices[In-Degree], "&gt;=" &amp; F54)</f>
        <v>0</v>
      </c>
      <c r="H53" s="38">
        <f t="shared" si="12"/>
        <v>48.927272727272758</v>
      </c>
      <c r="I53" s="39">
        <f>COUNTIF(Vertices[Out-Degree], "&gt;= " &amp; H53) - COUNTIF(Vertices[Out-Degree], "&gt;=" &amp; H54)</f>
        <v>1</v>
      </c>
      <c r="J53" s="38">
        <f t="shared" si="13"/>
        <v>6741.0361746000053</v>
      </c>
      <c r="K53" s="39">
        <f>COUNTIF(Vertices[Betweenness Centrality], "&gt;= " &amp; J53) - COUNTIF(Vertices[Betweenness Centrality], "&gt;=" &amp; J54)</f>
        <v>0</v>
      </c>
      <c r="L53" s="38">
        <f t="shared" si="14"/>
        <v>2.668090909090909E-3</v>
      </c>
      <c r="M53" s="39">
        <f>COUNTIF(Vertices[Closeness Centrality], "&gt;= " &amp; L53) - COUNTIF(Vertices[Closeness Centrality], "&gt;=" &amp; L54)</f>
        <v>0</v>
      </c>
      <c r="N53" s="38">
        <f t="shared" si="15"/>
        <v>1.8134527272727276E-2</v>
      </c>
      <c r="O53" s="39">
        <f>COUNTIF(Vertices[Eigenvector Centrality], "&gt;= " &amp; N53) - COUNTIF(Vertices[Eigenvector Centrality], "&gt;=" &amp; N54)</f>
        <v>2</v>
      </c>
      <c r="P53" s="38">
        <f t="shared" si="16"/>
        <v>0</v>
      </c>
      <c r="Q53" s="39">
        <f>COUNTIF(Vertices[PageRank], "&gt;= " &amp; P53) - COUNTIF(Vertices[PageRank], "&gt;=" &amp; P54)</f>
        <v>0</v>
      </c>
      <c r="R53" s="38">
        <f t="shared" si="17"/>
        <v>0.70909090909090922</v>
      </c>
      <c r="S53" s="43">
        <f>COUNTIF(Vertices[Clustering Coefficient], "&gt;= " &amp; R53) - COUNTIF(Vertices[Clustering Coefficient], "&gt;=" &amp; R54)</f>
        <v>0</v>
      </c>
      <c r="T53" s="38" t="e">
        <f t="shared" ca="1" si="18"/>
        <v>#REF!</v>
      </c>
      <c r="U53" s="39" t="e">
        <f t="shared" ca="1" si="0"/>
        <v>#REF!</v>
      </c>
    </row>
    <row r="54" spans="1:21" x14ac:dyDescent="0.25">
      <c r="D54" s="31">
        <f t="shared" si="10"/>
        <v>87.27272727272728</v>
      </c>
      <c r="E54" s="3">
        <f>COUNTIF(Vertices[Degree], "&gt;= " &amp; D54) - COUNTIF(Vertices[Degree], "&gt;=" &amp; D55)</f>
        <v>1</v>
      </c>
      <c r="F54" s="36">
        <f t="shared" si="11"/>
        <v>81.454545454545439</v>
      </c>
      <c r="G54" s="37">
        <f>COUNTIF(Vertices[In-Degree], "&gt;= " &amp; F54) - COUNTIF(Vertices[In-Degree], "&gt;=" &amp; F55)</f>
        <v>0</v>
      </c>
      <c r="H54" s="36">
        <f t="shared" si="12"/>
        <v>50.181818181818215</v>
      </c>
      <c r="I54" s="37">
        <f>COUNTIF(Vertices[Out-Degree], "&gt;= " &amp; H54) - COUNTIF(Vertices[Out-Degree], "&gt;=" &amp; H55)</f>
        <v>0</v>
      </c>
      <c r="J54" s="36">
        <f t="shared" si="13"/>
        <v>6913.8832560000055</v>
      </c>
      <c r="K54" s="37">
        <f>COUNTIF(Vertices[Betweenness Centrality], "&gt;= " &amp; J54) - COUNTIF(Vertices[Betweenness Centrality], "&gt;=" &amp; J55)</f>
        <v>0</v>
      </c>
      <c r="L54" s="36">
        <f t="shared" si="14"/>
        <v>2.7022727272727272E-3</v>
      </c>
      <c r="M54" s="37">
        <f>COUNTIF(Vertices[Closeness Centrality], "&gt;= " &amp; L54) - COUNTIF(Vertices[Closeness Centrality], "&gt;=" &amp; L55)</f>
        <v>3</v>
      </c>
      <c r="N54" s="36">
        <f t="shared" si="15"/>
        <v>1.8598181818181823E-2</v>
      </c>
      <c r="O54" s="37">
        <f>COUNTIF(Vertices[Eigenvector Centrality], "&gt;= " &amp; N54) - COUNTIF(Vertices[Eigenvector Centrality], "&gt;=" &amp; N55)</f>
        <v>0</v>
      </c>
      <c r="P54" s="36">
        <f t="shared" si="16"/>
        <v>0</v>
      </c>
      <c r="Q54" s="37">
        <f>COUNTIF(Vertices[PageRank], "&gt;= " &amp; P54) - COUNTIF(Vertices[PageRank], "&gt;=" &amp; P55)</f>
        <v>0</v>
      </c>
      <c r="R54" s="36">
        <f t="shared" si="17"/>
        <v>0.7272727272727274</v>
      </c>
      <c r="S54" s="42">
        <f>COUNTIF(Vertices[Clustering Coefficient], "&gt;= " &amp; R54) - COUNTIF(Vertices[Clustering Coefficient], "&gt;=" &amp; R55)</f>
        <v>0</v>
      </c>
      <c r="T54" s="36" t="e">
        <f t="shared" ca="1" si="18"/>
        <v>#REF!</v>
      </c>
      <c r="U54" s="37" t="e">
        <f t="shared" ca="1" si="0"/>
        <v>#REF!</v>
      </c>
    </row>
    <row r="55" spans="1:21" x14ac:dyDescent="0.25">
      <c r="A55" s="32" t="s">
        <v>75</v>
      </c>
      <c r="B55" s="45">
        <f>IF(COUNT(Vertices[Degree])&gt;0, D2, NoMetricMessage)</f>
        <v>0</v>
      </c>
      <c r="D55" s="31">
        <f t="shared" si="10"/>
        <v>89.454545454545467</v>
      </c>
      <c r="E55" s="3">
        <f>COUNTIF(Vertices[Degree], "&gt;= " &amp; D55) - COUNTIF(Vertices[Degree], "&gt;=" &amp; D56)</f>
        <v>1</v>
      </c>
      <c r="F55" s="38">
        <f t="shared" si="11"/>
        <v>83.490909090909071</v>
      </c>
      <c r="G55" s="39">
        <f>COUNTIF(Vertices[In-Degree], "&gt;= " &amp; F55) - COUNTIF(Vertices[In-Degree], "&gt;=" &amp; F56)</f>
        <v>0</v>
      </c>
      <c r="H55" s="38">
        <f t="shared" si="12"/>
        <v>51.436363636363673</v>
      </c>
      <c r="I55" s="39">
        <f>COUNTIF(Vertices[Out-Degree], "&gt;= " &amp; H55) - COUNTIF(Vertices[Out-Degree], "&gt;=" &amp; H56)</f>
        <v>0</v>
      </c>
      <c r="J55" s="38">
        <f t="shared" si="13"/>
        <v>7086.7303374000057</v>
      </c>
      <c r="K55" s="39">
        <f>COUNTIF(Vertices[Betweenness Centrality], "&gt;= " &amp; J55) - COUNTIF(Vertices[Betweenness Centrality], "&gt;=" &amp; J56)</f>
        <v>0</v>
      </c>
      <c r="L55" s="38">
        <f t="shared" si="14"/>
        <v>2.7364545454545454E-3</v>
      </c>
      <c r="M55" s="39">
        <f>COUNTIF(Vertices[Closeness Centrality], "&gt;= " &amp; L55) - COUNTIF(Vertices[Closeness Centrality], "&gt;=" &amp; L56)</f>
        <v>0</v>
      </c>
      <c r="N55" s="38">
        <f t="shared" si="15"/>
        <v>1.906183636363637E-2</v>
      </c>
      <c r="O55" s="39">
        <f>COUNTIF(Vertices[Eigenvector Centrality], "&gt;= " &amp; N55) - COUNTIF(Vertices[Eigenvector Centrality], "&gt;=" &amp; N56)</f>
        <v>0</v>
      </c>
      <c r="P55" s="38">
        <f t="shared" si="16"/>
        <v>0</v>
      </c>
      <c r="Q55" s="39">
        <f>COUNTIF(Vertices[PageRank], "&gt;= " &amp; P55) - COUNTIF(Vertices[PageRank], "&gt;=" &amp; P56)</f>
        <v>0</v>
      </c>
      <c r="R55" s="38">
        <f t="shared" si="17"/>
        <v>0.74545454545454559</v>
      </c>
      <c r="S55" s="43">
        <f>COUNTIF(Vertices[Clustering Coefficient], "&gt;= " &amp; R55) - COUNTIF(Vertices[Clustering Coefficient], "&gt;=" &amp; R56)</f>
        <v>1</v>
      </c>
      <c r="T55" s="38" t="e">
        <f t="shared" ca="1" si="18"/>
        <v>#REF!</v>
      </c>
      <c r="U55" s="39" t="e">
        <f t="shared" ca="1" si="0"/>
        <v>#REF!</v>
      </c>
    </row>
    <row r="56" spans="1:21" x14ac:dyDescent="0.25">
      <c r="A56" s="32" t="s">
        <v>76</v>
      </c>
      <c r="B56" s="45">
        <f>IF(COUNT(Vertices[Degree])&gt;0, D57, NoMetricMessage)</f>
        <v>120</v>
      </c>
      <c r="D56" s="31">
        <f t="shared" si="10"/>
        <v>91.636363636363654</v>
      </c>
      <c r="E56" s="3">
        <f>COUNTIF(Vertices[Degree], "&gt;= " &amp; D56) - COUNTIF(Vertices[Degree], "&gt;=" &amp; D57)</f>
        <v>3</v>
      </c>
      <c r="F56" s="36">
        <f t="shared" si="11"/>
        <v>85.527272727272702</v>
      </c>
      <c r="G56" s="37">
        <f>COUNTIF(Vertices[In-Degree], "&gt;= " &amp; F56) - COUNTIF(Vertices[In-Degree], "&gt;=" &amp; F57)</f>
        <v>0</v>
      </c>
      <c r="H56" s="36">
        <f t="shared" si="12"/>
        <v>52.69090909090913</v>
      </c>
      <c r="I56" s="37">
        <f>COUNTIF(Vertices[Out-Degree], "&gt;= " &amp; H56) - COUNTIF(Vertices[Out-Degree], "&gt;=" &amp; H57)</f>
        <v>2</v>
      </c>
      <c r="J56" s="36">
        <f t="shared" si="13"/>
        <v>7259.5774188000059</v>
      </c>
      <c r="K56" s="37">
        <f>COUNTIF(Vertices[Betweenness Centrality], "&gt;= " &amp; J56) - COUNTIF(Vertices[Betweenness Centrality], "&gt;=" &amp; J57)</f>
        <v>0</v>
      </c>
      <c r="L56" s="36">
        <f t="shared" si="14"/>
        <v>2.7706363636363636E-3</v>
      </c>
      <c r="M56" s="37">
        <f>COUNTIF(Vertices[Closeness Centrality], "&gt;= " &amp; L56) - COUNTIF(Vertices[Closeness Centrality], "&gt;=" &amp; L57)</f>
        <v>1</v>
      </c>
      <c r="N56" s="36">
        <f t="shared" si="15"/>
        <v>1.9525490909090917E-2</v>
      </c>
      <c r="O56" s="37">
        <f>COUNTIF(Vertices[Eigenvector Centrality], "&gt;= " &amp; N56) - COUNTIF(Vertices[Eigenvector Centrality], "&gt;=" &amp; N57)</f>
        <v>2</v>
      </c>
      <c r="P56" s="36">
        <f t="shared" si="16"/>
        <v>0</v>
      </c>
      <c r="Q56" s="37">
        <f>COUNTIF(Vertices[PageRank], "&gt;= " &amp; P56) - COUNTIF(Vertices[PageRank], "&gt;=" &amp; P57)</f>
        <v>0</v>
      </c>
      <c r="R56" s="36">
        <f t="shared" si="17"/>
        <v>0.76363636363636378</v>
      </c>
      <c r="S56" s="42">
        <f>COUNTIF(Vertices[Clustering Coefficient], "&gt;= " &amp; R56) - COUNTIF(Vertices[Clustering Coefficient], "&gt;=" &amp; R57)</f>
        <v>2</v>
      </c>
      <c r="T56" s="36" t="e">
        <f t="shared" ca="1" si="18"/>
        <v>#REF!</v>
      </c>
      <c r="U56" s="37" t="e">
        <f t="shared" ca="1" si="0"/>
        <v>#REF!</v>
      </c>
    </row>
    <row r="57" spans="1:21" x14ac:dyDescent="0.25">
      <c r="A57" s="32" t="s">
        <v>77</v>
      </c>
      <c r="B57" s="46">
        <f>IFERROR(AVERAGE(Vertices[Degree]),NoMetricMessage)</f>
        <v>20.353982300884955</v>
      </c>
      <c r="D57" s="31">
        <f>MAX(Vertices[Degree])</f>
        <v>120</v>
      </c>
      <c r="E57" s="3">
        <f>COUNTIF(Vertices[Degree], "&gt;= " &amp; D57) - COUNTIF(Vertices[Degree], "&gt;=" &amp; D58)</f>
        <v>1</v>
      </c>
      <c r="F57" s="40">
        <f>MAX(Vertices[In-Degree])</f>
        <v>112</v>
      </c>
      <c r="G57" s="41">
        <f>COUNTIF(Vertices[In-Degree], "&gt;= " &amp; F57) - COUNTIF(Vertices[In-Degree], "&gt;=" &amp; F58)</f>
        <v>1</v>
      </c>
      <c r="H57" s="40">
        <f>MAX(Vertices[Out-Degree])</f>
        <v>69</v>
      </c>
      <c r="I57" s="41">
        <f>COUNTIF(Vertices[Out-Degree], "&gt;= " &amp; H57) - COUNTIF(Vertices[Out-Degree], "&gt;=" &amp; H58)</f>
        <v>1</v>
      </c>
      <c r="J57" s="40">
        <f>MAX(Vertices[Betweenness Centrality])</f>
        <v>9506.5894769999995</v>
      </c>
      <c r="K57" s="41">
        <f>COUNTIF(Vertices[Betweenness Centrality], "&gt;= " &amp; J57) - COUNTIF(Vertices[Betweenness Centrality], "&gt;=" &amp; J58)</f>
        <v>1</v>
      </c>
      <c r="L57" s="40">
        <f>MAX(Vertices[Closeness Centrality])</f>
        <v>3.215E-3</v>
      </c>
      <c r="M57" s="41">
        <f>COUNTIF(Vertices[Closeness Centrality], "&gt;= " &amp; L57) - COUNTIF(Vertices[Closeness Centrality], "&gt;=" &amp; L58)</f>
        <v>1</v>
      </c>
      <c r="N57" s="40">
        <f>MAX(Vertices[Eigenvector Centrality])</f>
        <v>2.5552999999999999E-2</v>
      </c>
      <c r="O57" s="41">
        <f>COUNTIF(Vertices[Eigenvector Centrality], "&gt;= " &amp; N57) - COUNTIF(Vertices[Eigenvector Centrality], "&gt;=" &amp; N58)</f>
        <v>1</v>
      </c>
      <c r="P57" s="40">
        <f>MAX(Vertices[PageRank])</f>
        <v>0</v>
      </c>
      <c r="Q57" s="41">
        <f>COUNTIF(Vertices[PageRank], "&gt;= " &amp; P57) - COUNTIF(Vertices[PageRank], "&gt;=" &amp; P58)</f>
        <v>0</v>
      </c>
      <c r="R57" s="40">
        <f>MAX(Vertices[Clustering Coefficient])</f>
        <v>1</v>
      </c>
      <c r="S57" s="44">
        <f>COUNTIF(Vertices[Clustering Coefficient], "&gt;= " &amp; R57) - COUNTIF(Vertices[Clustering Coefficient], "&gt;=" &amp; R58)</f>
        <v>5</v>
      </c>
      <c r="T57" s="40" t="e">
        <f ca="1">MAX(INDIRECT(DynamicFilterSourceColumnRange))</f>
        <v>#REF!</v>
      </c>
      <c r="U57" s="41" t="e">
        <f t="shared" ca="1" si="0"/>
        <v>#REF!</v>
      </c>
    </row>
    <row r="58" spans="1:21" x14ac:dyDescent="0.25">
      <c r="A58" s="32" t="s">
        <v>78</v>
      </c>
      <c r="B58" s="46">
        <f>IFERROR(MEDIAN(Vertices[Degree]),NoMetricMessage)</f>
        <v>14</v>
      </c>
    </row>
    <row r="69" spans="1:2" x14ac:dyDescent="0.25">
      <c r="A69" s="32" t="s">
        <v>82</v>
      </c>
      <c r="B69" s="45">
        <f>IF(COUNT(Vertices[In-Degree])&gt;0, F2, NoMetricMessage)</f>
        <v>0</v>
      </c>
    </row>
    <row r="70" spans="1:2" x14ac:dyDescent="0.25">
      <c r="A70" s="32" t="s">
        <v>83</v>
      </c>
      <c r="B70" s="45">
        <f>IF(COUNT(Vertices[In-Degree])&gt;0, F57, NoMetricMessage)</f>
        <v>112</v>
      </c>
    </row>
    <row r="71" spans="1:2" x14ac:dyDescent="0.25">
      <c r="A71" s="32" t="s">
        <v>84</v>
      </c>
      <c r="B71" s="46">
        <f>IFERROR(AVERAGE(Vertices[In-Degree]),NoMetricMessage)</f>
        <v>10.900473933649289</v>
      </c>
    </row>
    <row r="72" spans="1:2" x14ac:dyDescent="0.25">
      <c r="A72" s="32" t="s">
        <v>85</v>
      </c>
      <c r="B72" s="46">
        <f>IFERROR(MEDIAN(Vertices[In-Degree]),NoMetricMessage)</f>
        <v>7</v>
      </c>
    </row>
    <row r="83" spans="1:2" x14ac:dyDescent="0.25">
      <c r="A83" s="32" t="s">
        <v>88</v>
      </c>
      <c r="B83" s="45">
        <f>IF(COUNT(Vertices[Out-Degree])&gt;0, H2, NoMetricMessage)</f>
        <v>0</v>
      </c>
    </row>
    <row r="84" spans="1:2" x14ac:dyDescent="0.25">
      <c r="A84" s="32" t="s">
        <v>89</v>
      </c>
      <c r="B84" s="45">
        <f>IF(COUNT(Vertices[Out-Degree])&gt;0, H57, NoMetricMessage)</f>
        <v>69</v>
      </c>
    </row>
    <row r="85" spans="1:2" x14ac:dyDescent="0.25">
      <c r="A85" s="32" t="s">
        <v>90</v>
      </c>
      <c r="B85" s="46">
        <f>IFERROR(AVERAGE(Vertices[Out-Degree]),NoMetricMessage)</f>
        <v>10.900473933649289</v>
      </c>
    </row>
    <row r="86" spans="1:2" x14ac:dyDescent="0.25">
      <c r="A86" s="32" t="s">
        <v>91</v>
      </c>
      <c r="B86" s="46">
        <f>IFERROR(MEDIAN(Vertices[Out-Degree]),NoMetricMessage)</f>
        <v>7</v>
      </c>
    </row>
    <row r="97" spans="1:2" x14ac:dyDescent="0.25">
      <c r="A97" s="32" t="s">
        <v>94</v>
      </c>
      <c r="B97" s="46">
        <f>IF(COUNT(Vertices[Betweenness Centrality])&gt;0, J2, NoMetricMessage)</f>
        <v>0</v>
      </c>
    </row>
    <row r="98" spans="1:2" x14ac:dyDescent="0.25">
      <c r="A98" s="32" t="s">
        <v>95</v>
      </c>
      <c r="B98" s="46">
        <f>IF(COUNT(Vertices[Betweenness Centrality])&gt;0, J57, NoMetricMessage)</f>
        <v>9506.5894769999995</v>
      </c>
    </row>
    <row r="99" spans="1:2" x14ac:dyDescent="0.25">
      <c r="A99" s="32" t="s">
        <v>96</v>
      </c>
      <c r="B99" s="46">
        <f>IFERROR(AVERAGE(Vertices[Betweenness Centrality]),NoMetricMessage)</f>
        <v>287.14691943127957</v>
      </c>
    </row>
    <row r="100" spans="1:2" x14ac:dyDescent="0.25">
      <c r="A100" s="32" t="s">
        <v>97</v>
      </c>
      <c r="B100" s="46">
        <f>IFERROR(MEDIAN(Vertices[Betweenness Centrality]),NoMetricMessage)</f>
        <v>52.148468999999999</v>
      </c>
    </row>
    <row r="111" spans="1:2" x14ac:dyDescent="0.25">
      <c r="A111" s="32" t="s">
        <v>100</v>
      </c>
      <c r="B111" s="46">
        <f>IF(COUNT(Vertices[Closeness Centrality])&gt;0, L2, NoMetricMessage)</f>
        <v>1.335E-3</v>
      </c>
    </row>
    <row r="112" spans="1:2" x14ac:dyDescent="0.25">
      <c r="A112" s="32" t="s">
        <v>101</v>
      </c>
      <c r="B112" s="46">
        <f>IF(COUNT(Vertices[Closeness Centrality])&gt;0, L57, NoMetricMessage)</f>
        <v>3.215E-3</v>
      </c>
    </row>
    <row r="113" spans="1:2" x14ac:dyDescent="0.25">
      <c r="A113" s="32" t="s">
        <v>102</v>
      </c>
      <c r="B113" s="46">
        <f>IFERROR(AVERAGE(Vertices[Closeness Centrality]),NoMetricMessage)</f>
        <v>2.057862559241706E-3</v>
      </c>
    </row>
    <row r="114" spans="1:2" x14ac:dyDescent="0.25">
      <c r="A114" s="32" t="s">
        <v>103</v>
      </c>
      <c r="B114" s="46">
        <f>IFERROR(MEDIAN(Vertices[Closeness Centrality]),NoMetricMessage)</f>
        <v>2.0960000000000002E-3</v>
      </c>
    </row>
    <row r="125" spans="1:2" x14ac:dyDescent="0.25">
      <c r="A125" s="32" t="s">
        <v>106</v>
      </c>
      <c r="B125" s="46">
        <f>IF(COUNT(Vertices[Eigenvector Centrality])&gt;0, N2, NoMetricMessage)</f>
        <v>5.1999999999999997E-5</v>
      </c>
    </row>
    <row r="126" spans="1:2" x14ac:dyDescent="0.25">
      <c r="A126" s="32" t="s">
        <v>107</v>
      </c>
      <c r="B126" s="46">
        <f>IF(COUNT(Vertices[Eigenvector Centrality])&gt;0, N57, NoMetricMessage)</f>
        <v>2.5552999999999999E-2</v>
      </c>
    </row>
    <row r="127" spans="1:2" x14ac:dyDescent="0.25">
      <c r="A127" s="32" t="s">
        <v>108</v>
      </c>
      <c r="B127" s="46">
        <f>IFERROR(AVERAGE(Vertices[Eigenvector Centrality]),NoMetricMessage)</f>
        <v>4.7393175355450222E-3</v>
      </c>
    </row>
    <row r="128" spans="1:2" x14ac:dyDescent="0.25">
      <c r="A128" s="32" t="s">
        <v>109</v>
      </c>
      <c r="B128" s="46">
        <f>IFERROR(MEDIAN(Vertices[Eigenvector Centrality]),NoMetricMessage)</f>
        <v>3.0460000000000001E-3</v>
      </c>
    </row>
    <row r="139" spans="1:2" x14ac:dyDescent="0.25">
      <c r="A139" s="32" t="s">
        <v>133</v>
      </c>
      <c r="B139" s="46" t="str">
        <f>IF(COUNT(Vertices[PageRank])&gt;0, P2, NoMetricMessage)</f>
        <v>Not Available</v>
      </c>
    </row>
    <row r="140" spans="1:2" x14ac:dyDescent="0.25">
      <c r="A140" s="32" t="s">
        <v>134</v>
      </c>
      <c r="B140" s="46" t="str">
        <f>IF(COUNT(Vertices[PageRank])&gt;0, P57, NoMetricMessage)</f>
        <v>Not Available</v>
      </c>
    </row>
    <row r="141" spans="1:2" x14ac:dyDescent="0.25">
      <c r="A141" s="32" t="s">
        <v>135</v>
      </c>
      <c r="B141" s="46" t="str">
        <f>IFERROR(AVERAGE(Vertices[PageRank]),NoMetricMessage)</f>
        <v>Not Available</v>
      </c>
    </row>
    <row r="142" spans="1:2" x14ac:dyDescent="0.25">
      <c r="A142" s="32" t="s">
        <v>136</v>
      </c>
      <c r="B142" s="46" t="str">
        <f>IFERROR(MEDIAN(Vertices[PageRank]),NoMetricMessage)</f>
        <v>Not Available</v>
      </c>
    </row>
    <row r="153" spans="1:2" x14ac:dyDescent="0.25">
      <c r="A153" s="32" t="s">
        <v>112</v>
      </c>
      <c r="B153" s="46">
        <f>IF(COUNT(Vertices[Clustering Coefficient])&gt;0, R2, NoMetricMessage)</f>
        <v>0</v>
      </c>
    </row>
    <row r="154" spans="1:2" x14ac:dyDescent="0.25">
      <c r="A154" s="32" t="s">
        <v>113</v>
      </c>
      <c r="B154" s="46">
        <f>IF(COUNT(Vertices[Clustering Coefficient])&gt;0, R57, NoMetricMessage)</f>
        <v>1</v>
      </c>
    </row>
    <row r="155" spans="1:2" x14ac:dyDescent="0.25">
      <c r="A155" s="32" t="s">
        <v>114</v>
      </c>
      <c r="B155" s="46">
        <f>IFERROR(AVERAGE(Vertices[Clustering Coefficient]),NoMetricMessage)</f>
        <v>0.31750348482158325</v>
      </c>
    </row>
    <row r="156" spans="1:2" x14ac:dyDescent="0.25">
      <c r="A156" s="32" t="s">
        <v>115</v>
      </c>
      <c r="B156" s="46">
        <f>IFERROR(MEDIAN(Vertices[Clustering Coefficient]),NoMetricMessage)</f>
        <v>0.29166666666666669</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2</v>
      </c>
      <c r="B1" s="5" t="s">
        <v>124</v>
      </c>
      <c r="C1" s="4" t="s">
        <v>3</v>
      </c>
      <c r="D1" s="4" t="s">
        <v>5</v>
      </c>
      <c r="E1" s="4" t="s">
        <v>154</v>
      </c>
      <c r="F1" s="5" t="s">
        <v>158</v>
      </c>
      <c r="G1" s="4" t="s">
        <v>10</v>
      </c>
      <c r="H1" s="4" t="s">
        <v>61</v>
      </c>
      <c r="J1" s="4" t="s">
        <v>14</v>
      </c>
      <c r="K1" s="4" t="s">
        <v>13</v>
      </c>
      <c r="M1" s="4" t="s">
        <v>18</v>
      </c>
      <c r="N1" s="4" t="s">
        <v>19</v>
      </c>
      <c r="O1" s="4" t="s">
        <v>20</v>
      </c>
      <c r="P1" s="4" t="s">
        <v>21</v>
      </c>
    </row>
    <row r="2" spans="1:18" x14ac:dyDescent="0.25">
      <c r="A2" s="1" t="s">
        <v>45</v>
      </c>
      <c r="B2" s="1" t="s">
        <v>125</v>
      </c>
      <c r="C2" t="s">
        <v>48</v>
      </c>
      <c r="D2" t="s">
        <v>49</v>
      </c>
      <c r="E2" t="s">
        <v>49</v>
      </c>
      <c r="F2" s="1" t="s">
        <v>45</v>
      </c>
      <c r="G2" t="s">
        <v>59</v>
      </c>
      <c r="H2" t="s">
        <v>151</v>
      </c>
      <c r="J2" t="s">
        <v>15</v>
      </c>
      <c r="K2">
        <v>108</v>
      </c>
    </row>
    <row r="3" spans="1:18" x14ac:dyDescent="0.25">
      <c r="A3" s="1" t="s">
        <v>46</v>
      </c>
      <c r="B3" s="1" t="s">
        <v>126</v>
      </c>
      <c r="C3" t="s">
        <v>46</v>
      </c>
      <c r="D3" t="s">
        <v>50</v>
      </c>
      <c r="E3" t="s">
        <v>50</v>
      </c>
      <c r="F3" s="1" t="s">
        <v>46</v>
      </c>
      <c r="G3" t="s">
        <v>60</v>
      </c>
      <c r="H3" t="s">
        <v>62</v>
      </c>
      <c r="J3" t="s">
        <v>25</v>
      </c>
      <c r="K3" t="s">
        <v>173</v>
      </c>
    </row>
    <row r="4" spans="1:18" x14ac:dyDescent="0.25">
      <c r="A4" s="1" t="s">
        <v>47</v>
      </c>
      <c r="B4" s="1" t="s">
        <v>127</v>
      </c>
      <c r="C4" t="s">
        <v>47</v>
      </c>
      <c r="D4" t="s">
        <v>51</v>
      </c>
      <c r="E4" t="s">
        <v>51</v>
      </c>
      <c r="F4" s="1" t="s">
        <v>47</v>
      </c>
      <c r="G4">
        <v>0</v>
      </c>
      <c r="H4" t="s">
        <v>63</v>
      </c>
      <c r="J4" s="12" t="s">
        <v>72</v>
      </c>
      <c r="K4" s="12"/>
    </row>
    <row r="5" spans="1:18" ht="409.5" x14ac:dyDescent="0.25">
      <c r="A5">
        <v>1</v>
      </c>
      <c r="B5" s="1" t="s">
        <v>128</v>
      </c>
      <c r="C5" t="s">
        <v>45</v>
      </c>
      <c r="D5" t="s">
        <v>52</v>
      </c>
      <c r="E5" t="s">
        <v>52</v>
      </c>
      <c r="F5">
        <v>1</v>
      </c>
      <c r="G5">
        <v>1</v>
      </c>
      <c r="H5" t="s">
        <v>64</v>
      </c>
      <c r="J5" t="s">
        <v>161</v>
      </c>
      <c r="K5" s="13" t="s">
        <v>193</v>
      </c>
    </row>
    <row r="6" spans="1:18" x14ac:dyDescent="0.25">
      <c r="A6">
        <v>0</v>
      </c>
      <c r="B6" s="1" t="s">
        <v>129</v>
      </c>
      <c r="C6">
        <v>1</v>
      </c>
      <c r="D6" t="s">
        <v>53</v>
      </c>
      <c r="E6" t="s">
        <v>53</v>
      </c>
      <c r="F6">
        <v>0</v>
      </c>
      <c r="H6" t="s">
        <v>65</v>
      </c>
      <c r="J6" t="s">
        <v>162</v>
      </c>
      <c r="K6">
        <v>3</v>
      </c>
      <c r="R6" t="s">
        <v>123</v>
      </c>
    </row>
    <row r="7" spans="1:18" x14ac:dyDescent="0.25">
      <c r="A7">
        <v>2</v>
      </c>
      <c r="B7">
        <v>1</v>
      </c>
      <c r="C7">
        <v>0</v>
      </c>
      <c r="D7" t="s">
        <v>54</v>
      </c>
      <c r="E7" t="s">
        <v>54</v>
      </c>
      <c r="F7">
        <v>2</v>
      </c>
      <c r="H7" t="s">
        <v>66</v>
      </c>
      <c r="J7" t="s">
        <v>163</v>
      </c>
      <c r="K7" t="s">
        <v>164</v>
      </c>
    </row>
    <row r="8" spans="1:18" x14ac:dyDescent="0.25">
      <c r="A8"/>
      <c r="B8">
        <v>2</v>
      </c>
      <c r="C8">
        <v>2</v>
      </c>
      <c r="D8" t="s">
        <v>55</v>
      </c>
      <c r="E8" t="s">
        <v>55</v>
      </c>
      <c r="H8" t="s">
        <v>67</v>
      </c>
      <c r="J8" t="s">
        <v>165</v>
      </c>
      <c r="K8" t="s">
        <v>185</v>
      </c>
    </row>
    <row r="9" spans="1:18" ht="409.5" x14ac:dyDescent="0.25">
      <c r="A9"/>
      <c r="B9">
        <v>3</v>
      </c>
      <c r="C9">
        <v>4</v>
      </c>
      <c r="D9" t="s">
        <v>56</v>
      </c>
      <c r="E9" t="s">
        <v>56</v>
      </c>
      <c r="H9" t="s">
        <v>68</v>
      </c>
      <c r="J9" t="s">
        <v>179</v>
      </c>
      <c r="K9" s="13" t="s">
        <v>194</v>
      </c>
    </row>
    <row r="10" spans="1:18" ht="409.5" x14ac:dyDescent="0.25">
      <c r="A10"/>
      <c r="B10">
        <v>4</v>
      </c>
      <c r="D10" t="s">
        <v>57</v>
      </c>
      <c r="E10" t="s">
        <v>57</v>
      </c>
      <c r="H10" t="s">
        <v>69</v>
      </c>
      <c r="J10" t="s">
        <v>189</v>
      </c>
      <c r="K10" s="13" t="s">
        <v>195</v>
      </c>
    </row>
    <row r="11" spans="1:18" x14ac:dyDescent="0.25">
      <c r="A11"/>
      <c r="B11">
        <v>5</v>
      </c>
      <c r="D11" t="s">
        <v>41</v>
      </c>
      <c r="E11">
        <v>1</v>
      </c>
      <c r="H11" t="s">
        <v>70</v>
      </c>
    </row>
    <row r="12" spans="1:18" x14ac:dyDescent="0.25">
      <c r="A12"/>
      <c r="B12"/>
      <c r="D12" t="s">
        <v>58</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abSelected="1" workbookViewId="0"/>
  </sheetViews>
  <sheetFormatPr defaultRowHeight="15" x14ac:dyDescent="0.25"/>
  <cols>
    <col min="1" max="1" width="10.140625" customWidth="1"/>
    <col min="2" max="2" width="10.140625" bestFit="1" customWidth="1"/>
    <col min="3" max="3" width="13.42578125" bestFit="1" customWidth="1"/>
  </cols>
  <sheetData>
    <row r="1" spans="1:3" x14ac:dyDescent="0.25">
      <c r="C1" s="32" t="s">
        <v>37</v>
      </c>
    </row>
    <row r="2" spans="1:3" ht="15" customHeight="1" x14ac:dyDescent="0.25">
      <c r="A2" s="13" t="s">
        <v>186</v>
      </c>
      <c r="B2" s="123" t="s">
        <v>187</v>
      </c>
      <c r="C2" s="124" t="s">
        <v>188</v>
      </c>
    </row>
    <row r="3" spans="1:3" x14ac:dyDescent="0.25">
      <c r="A3" s="122">
        <v>1</v>
      </c>
      <c r="B3" s="122">
        <v>1</v>
      </c>
      <c r="C3" s="33">
        <v>1139</v>
      </c>
    </row>
    <row r="4" spans="1:3" x14ac:dyDescent="0.25">
      <c r="A4" s="122">
        <v>1</v>
      </c>
      <c r="B4" s="122">
        <v>2</v>
      </c>
      <c r="C4" s="33">
        <v>1522</v>
      </c>
    </row>
    <row r="5" spans="1:3" x14ac:dyDescent="0.25">
      <c r="A5" s="122">
        <v>1</v>
      </c>
      <c r="B5" s="122">
        <v>3</v>
      </c>
      <c r="C5" s="33">
        <v>45</v>
      </c>
    </row>
    <row r="6" spans="1:3" x14ac:dyDescent="0.25">
      <c r="A6" s="122">
        <v>1</v>
      </c>
      <c r="B6" s="122">
        <v>4</v>
      </c>
      <c r="C6" s="33">
        <v>266</v>
      </c>
    </row>
    <row r="7" spans="1:3" x14ac:dyDescent="0.25">
      <c r="A7" s="122">
        <v>2</v>
      </c>
      <c r="B7" s="122">
        <v>1</v>
      </c>
      <c r="C7" s="33">
        <v>1933</v>
      </c>
    </row>
    <row r="8" spans="1:3" x14ac:dyDescent="0.25">
      <c r="A8" s="122">
        <v>2</v>
      </c>
      <c r="B8" s="122">
        <v>2</v>
      </c>
      <c r="C8" s="33">
        <v>4748</v>
      </c>
    </row>
    <row r="9" spans="1:3" x14ac:dyDescent="0.25">
      <c r="A9" s="122">
        <v>2</v>
      </c>
      <c r="B9" s="122">
        <v>3</v>
      </c>
      <c r="C9" s="33">
        <v>73</v>
      </c>
    </row>
    <row r="10" spans="1:3" x14ac:dyDescent="0.25">
      <c r="A10" s="122">
        <v>2</v>
      </c>
      <c r="B10" s="122">
        <v>4</v>
      </c>
      <c r="C10" s="33">
        <v>774</v>
      </c>
    </row>
    <row r="11" spans="1:3" x14ac:dyDescent="0.25">
      <c r="A11" s="122">
        <v>3</v>
      </c>
      <c r="B11" s="122">
        <v>1</v>
      </c>
      <c r="C11" s="33">
        <v>103</v>
      </c>
    </row>
    <row r="12" spans="1:3" x14ac:dyDescent="0.25">
      <c r="A12" s="122">
        <v>3</v>
      </c>
      <c r="B12" s="122">
        <v>2</v>
      </c>
      <c r="C12" s="33">
        <v>586</v>
      </c>
    </row>
    <row r="13" spans="1:3" x14ac:dyDescent="0.25">
      <c r="A13" s="122">
        <v>3</v>
      </c>
      <c r="B13" s="122">
        <v>3</v>
      </c>
      <c r="C13" s="33">
        <v>1462</v>
      </c>
    </row>
    <row r="14" spans="1:3" x14ac:dyDescent="0.25">
      <c r="A14" s="122">
        <v>3</v>
      </c>
      <c r="B14" s="122">
        <v>4</v>
      </c>
      <c r="C14" s="33">
        <v>96</v>
      </c>
    </row>
    <row r="15" spans="1:3" x14ac:dyDescent="0.25">
      <c r="A15" s="122">
        <v>4</v>
      </c>
      <c r="B15" s="122">
        <v>1</v>
      </c>
      <c r="C15" s="33">
        <v>3</v>
      </c>
    </row>
    <row r="16" spans="1:3" x14ac:dyDescent="0.25">
      <c r="A16" s="122">
        <v>4</v>
      </c>
      <c r="B16" s="122">
        <v>2</v>
      </c>
      <c r="C16" s="33">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4E8925ED-7AF2-4E5B-98AD-FE8D198A3D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Vertices</vt:lpstr>
      <vt:lpstr>Do Not Delete</vt:lpstr>
      <vt:lpstr>Groups</vt:lpstr>
      <vt:lpstr>Group Vertices</vt:lpstr>
      <vt:lpstr>Overall Metrics</vt:lpstr>
      <vt:lpstr>Misc</vt:lpstr>
      <vt:lpstr>Group Edges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Zippo</dc:creator>
  <cp:lastModifiedBy>Windows User</cp:lastModifiedBy>
  <dcterms:created xsi:type="dcterms:W3CDTF">2008-01-30T00:41:58Z</dcterms:created>
  <dcterms:modified xsi:type="dcterms:W3CDTF">2019-02-15T10:53:47Z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