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tomma\GitHub\cvxlab_model\Concepts\"/>
    </mc:Choice>
  </mc:AlternateContent>
  <xr:revisionPtr revIDLastSave="0" documentId="13_ncr:1_{08CD5EBE-DE98-4DF1-812C-AC5078A898C2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Multi-prod - Sim" sheetId="1" r:id="rId1"/>
    <sheet name="Multi-prod - Opt" sheetId="2" r:id="rId2"/>
    <sheet name="Multi-prod - Planning" sheetId="3" r:id="rId3"/>
  </sheets>
  <definedNames>
    <definedName name="OpenSolver_ChosenSolver" localSheetId="2" hidden="1">CBC</definedName>
    <definedName name="OpenSolver_DualsNewSheet" localSheetId="2" hidden="1">0</definedName>
    <definedName name="OpenSolver_LinearityCheck" localSheetId="2" hidden="1">1</definedName>
    <definedName name="OpenSolver_UpdateSensitivity" localSheetId="2" hidden="1">1</definedName>
    <definedName name="solver_adj" localSheetId="1" hidden="1">'Multi-prod - Opt'!$K$51:$M$51,'Multi-prod - Opt'!$Y$43:$Y$45</definedName>
    <definedName name="solver_adj" localSheetId="2" hidden="1">'Multi-prod - Planning'!$O$24:$R$33,'Multi-prod - Planning'!$O$64:$R$73</definedName>
    <definedName name="solver_adj" localSheetId="0" hidden="1">'Multi-prod - Sim'!$W$27:$W$33,'Multi-prod - Sim'!$Y$31:$Y$33,'Multi-prod - Sim'!$Y$35:$Y$37</definedName>
    <definedName name="solver_cvg" localSheetId="1" hidden="1">0.0001</definedName>
    <definedName name="solver_cvg" localSheetId="2" hidden="1">0.0001</definedName>
    <definedName name="solver_cvg" localSheetId="0" hidden="1">0.0001</definedName>
    <definedName name="solver_drv" localSheetId="1" hidden="1">1</definedName>
    <definedName name="solver_drv" localSheetId="2" hidden="1">1</definedName>
    <definedName name="solver_drv" localSheetId="0" hidden="1">1</definedName>
    <definedName name="solver_eng" localSheetId="1" hidden="1">1</definedName>
    <definedName name="solver_eng" localSheetId="2" hidden="1">1</definedName>
    <definedName name="solver_eng" localSheetId="0" hidden="1">1</definedName>
    <definedName name="solver_est" localSheetId="1" hidden="1">1</definedName>
    <definedName name="solver_est" localSheetId="2" hidden="1">1</definedName>
    <definedName name="solver_est" localSheetId="0" hidden="1">1</definedName>
    <definedName name="solver_itr" localSheetId="1" hidden="1">2147483647</definedName>
    <definedName name="solver_itr" localSheetId="2" hidden="1">2147483647</definedName>
    <definedName name="solver_itr" localSheetId="0" hidden="1">2147483647</definedName>
    <definedName name="solver_lhs1" localSheetId="1" hidden="1">'Multi-prod - Opt'!$AA$36:$AA$41</definedName>
    <definedName name="solver_lhs1" localSheetId="2" hidden="1">'Multi-prod - Planning'!$AE$10:$AN$12</definedName>
    <definedName name="solver_lhs1" localSheetId="0" hidden="1">'Multi-prod - Sim'!$AA$27:$AA$32</definedName>
    <definedName name="solver_lhs2" localSheetId="1" hidden="1">'Multi-prod - Opt'!$AA$43:$AA$46</definedName>
    <definedName name="solver_lhs2" localSheetId="2" hidden="1">'Multi-prod - Planning'!$AE$24:$AH$33</definedName>
    <definedName name="solver_lhs2" localSheetId="0" hidden="1">'Multi-prod - Sim'!$AA$35:$AA$38</definedName>
    <definedName name="solver_lhs3" localSheetId="1" hidden="1">'Multi-prod - Opt'!$AA$43:$AA$45</definedName>
    <definedName name="solver_lhs3" localSheetId="2" hidden="1">'Multi-prod - Planning'!$AE$36:$AH$45</definedName>
    <definedName name="solver_lhs3" localSheetId="0" hidden="1">'Multi-prod - Sim'!$AA$35:$AA$37</definedName>
    <definedName name="solver_lhs4" localSheetId="2" hidden="1">'Multi-prod - Planning'!$J$10</definedName>
    <definedName name="solver_lhs5" localSheetId="2" hidden="1">'Multi-prod - Planning'!$J$10</definedName>
    <definedName name="solver_mip" localSheetId="1" hidden="1">2147483647</definedName>
    <definedName name="solver_mip" localSheetId="2" hidden="1">2147483647</definedName>
    <definedName name="solver_mip" localSheetId="0" hidden="1">2147483647</definedName>
    <definedName name="solver_mni" localSheetId="1" hidden="1">30</definedName>
    <definedName name="solver_mni" localSheetId="2" hidden="1">30</definedName>
    <definedName name="solver_mni" localSheetId="0" hidden="1">30</definedName>
    <definedName name="solver_mrt" localSheetId="1" hidden="1">0.075</definedName>
    <definedName name="solver_mrt" localSheetId="2" hidden="1">0.075</definedName>
    <definedName name="solver_mrt" localSheetId="0" hidden="1">0.075</definedName>
    <definedName name="solver_msl" localSheetId="1" hidden="1">2</definedName>
    <definedName name="solver_msl" localSheetId="2" hidden="1">2</definedName>
    <definedName name="solver_msl" localSheetId="0" hidden="1">2</definedName>
    <definedName name="solver_neg" localSheetId="1" hidden="1">1</definedName>
    <definedName name="solver_neg" localSheetId="2" hidden="1">1</definedName>
    <definedName name="solver_neg" localSheetId="0" hidden="1">1</definedName>
    <definedName name="solver_nod" localSheetId="1" hidden="1">2147483647</definedName>
    <definedName name="solver_nod" localSheetId="2" hidden="1">2147483647</definedName>
    <definedName name="solver_nod" localSheetId="0" hidden="1">2147483647</definedName>
    <definedName name="solver_num" localSheetId="1" hidden="1">1</definedName>
    <definedName name="solver_num" localSheetId="2" hidden="1">3</definedName>
    <definedName name="solver_num" localSheetId="0" hidden="1">1</definedName>
    <definedName name="solver_nwt" localSheetId="1" hidden="1">1</definedName>
    <definedName name="solver_nwt" localSheetId="2" hidden="1">1</definedName>
    <definedName name="solver_nwt" localSheetId="0" hidden="1">1</definedName>
    <definedName name="solver_opt" localSheetId="1" hidden="1">'Multi-prod - Opt'!$W$49</definedName>
    <definedName name="solver_opt" localSheetId="2" hidden="1">'Multi-prod - Planning'!$T$21</definedName>
    <definedName name="solver_opt" localSheetId="0" hidden="1">'Multi-prod - Sim'!$AA$33</definedName>
    <definedName name="solver_pre" localSheetId="1" hidden="1">0.000001</definedName>
    <definedName name="solver_pre" localSheetId="2" hidden="1">0.000001</definedName>
    <definedName name="solver_pre" localSheetId="0" hidden="1">0.000001</definedName>
    <definedName name="solver_rbv" localSheetId="1" hidden="1">1</definedName>
    <definedName name="solver_rbv" localSheetId="2" hidden="1">1</definedName>
    <definedName name="solver_rbv" localSheetId="0" hidden="1">1</definedName>
    <definedName name="solver_rel1" localSheetId="1" hidden="1">2</definedName>
    <definedName name="solver_rel1" localSheetId="2" hidden="1">2</definedName>
    <definedName name="solver_rel1" localSheetId="0" hidden="1">2</definedName>
    <definedName name="solver_rel2" localSheetId="1" hidden="1">2</definedName>
    <definedName name="solver_rel2" localSheetId="2" hidden="1">1</definedName>
    <definedName name="solver_rel2" localSheetId="0" hidden="1">2</definedName>
    <definedName name="solver_rel3" localSheetId="1" hidden="1">2</definedName>
    <definedName name="solver_rel3" localSheetId="2" hidden="1">1</definedName>
    <definedName name="solver_rel3" localSheetId="0" hidden="1">2</definedName>
    <definedName name="solver_rel4" localSheetId="2" hidden="1">1</definedName>
    <definedName name="solver_rel5" localSheetId="2" hidden="1">3</definedName>
    <definedName name="solver_rhs1" localSheetId="1" hidden="1">0</definedName>
    <definedName name="solver_rhs1" localSheetId="2" hidden="1">0</definedName>
    <definedName name="solver_rhs1" localSheetId="0" hidden="1">0</definedName>
    <definedName name="solver_rhs2" localSheetId="1" hidden="1">0</definedName>
    <definedName name="solver_rhs2" localSheetId="2" hidden="1">0</definedName>
    <definedName name="solver_rhs2" localSheetId="0" hidden="1">0</definedName>
    <definedName name="solver_rhs3" localSheetId="1" hidden="1">0</definedName>
    <definedName name="solver_rhs3" localSheetId="2" hidden="1">0</definedName>
    <definedName name="solver_rhs3" localSheetId="0" hidden="1">0</definedName>
    <definedName name="solver_rhs4" localSheetId="2" hidden="1">'Multi-prod - Planning'!$O$60</definedName>
    <definedName name="solver_rhs5" localSheetId="2" hidden="1">'Multi-prod - Planning'!$O$61</definedName>
    <definedName name="solver_rlx" localSheetId="1" hidden="1">2</definedName>
    <definedName name="solver_rlx" localSheetId="2" hidden="1">2</definedName>
    <definedName name="solver_rlx" localSheetId="0" hidden="1">2</definedName>
    <definedName name="solver_rsd" localSheetId="1" hidden="1">0</definedName>
    <definedName name="solver_rsd" localSheetId="2" hidden="1">0</definedName>
    <definedName name="solver_rsd" localSheetId="0" hidden="1">0</definedName>
    <definedName name="solver_scl" localSheetId="1" hidden="1">1</definedName>
    <definedName name="solver_scl" localSheetId="2" hidden="1">1</definedName>
    <definedName name="solver_scl" localSheetId="0" hidden="1">1</definedName>
    <definedName name="solver_sho" localSheetId="1" hidden="1">2</definedName>
    <definedName name="solver_sho" localSheetId="2" hidden="1">2</definedName>
    <definedName name="solver_sho" localSheetId="0" hidden="1">2</definedName>
    <definedName name="solver_ssz" localSheetId="1" hidden="1">100</definedName>
    <definedName name="solver_ssz" localSheetId="2" hidden="1">100</definedName>
    <definedName name="solver_ssz" localSheetId="0" hidden="1">100</definedName>
    <definedName name="solver_tim" localSheetId="1" hidden="1">2147483647</definedName>
    <definedName name="solver_tim" localSheetId="2" hidden="1">2147483647</definedName>
    <definedName name="solver_tim" localSheetId="0" hidden="1">2147483647</definedName>
    <definedName name="solver_tol" localSheetId="1" hidden="1">0.01</definedName>
    <definedName name="solver_tol" localSheetId="2" hidden="1">0.01</definedName>
    <definedName name="solver_tol" localSheetId="0" hidden="1">0.01</definedName>
    <definedName name="solver_typ" localSheetId="1" hidden="1">2</definedName>
    <definedName name="solver_typ" localSheetId="2" hidden="1">2</definedName>
    <definedName name="solver_typ" localSheetId="0" hidden="1">3</definedName>
    <definedName name="solver_val" localSheetId="1" hidden="1">1</definedName>
    <definedName name="solver_val" localSheetId="2" hidden="1">0</definedName>
    <definedName name="solver_val" localSheetId="0" hidden="1">0</definedName>
    <definedName name="solver_ver" localSheetId="1" hidden="1">3</definedName>
    <definedName name="solver_ver" localSheetId="2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0" i="3" l="1"/>
  <c r="W10" i="3"/>
  <c r="X10" i="3" s="1"/>
  <c r="Y10" i="3" s="1"/>
  <c r="Z10" i="3" s="1"/>
  <c r="AA10" i="3" s="1"/>
  <c r="AB10" i="3" s="1"/>
  <c r="AC10" i="3" s="1"/>
  <c r="U10" i="3"/>
  <c r="J11" i="3"/>
  <c r="G24" i="3" s="1" a="1"/>
  <c r="G24" i="3" s="1"/>
  <c r="O111" i="3" a="1"/>
  <c r="O111" i="3" s="1"/>
  <c r="O112" i="3" a="1"/>
  <c r="O112" i="3" s="1"/>
  <c r="O113" i="3" a="1"/>
  <c r="O113" i="3" s="1"/>
  <c r="O114" i="3" a="1"/>
  <c r="O114" i="3" s="1"/>
  <c r="O115" i="3" a="1"/>
  <c r="O115" i="3" s="1"/>
  <c r="O116" i="3" a="1"/>
  <c r="O116" i="3" s="1"/>
  <c r="O117" i="3" a="1"/>
  <c r="O117" i="3" s="1"/>
  <c r="O118" i="3" a="1"/>
  <c r="O118" i="3" s="1"/>
  <c r="O119" i="3" a="1"/>
  <c r="O119" i="3" s="1"/>
  <c r="O110" i="3" a="1"/>
  <c r="O110" i="3" s="1"/>
  <c r="U12" i="3"/>
  <c r="V12" i="3" s="1"/>
  <c r="W12" i="3" s="1"/>
  <c r="X12" i="3" s="1"/>
  <c r="Y12" i="3" s="1"/>
  <c r="Z12" i="3" s="1"/>
  <c r="AA12" i="3" s="1"/>
  <c r="AB12" i="3" s="1"/>
  <c r="AC12" i="3" s="1"/>
  <c r="O37" i="3"/>
  <c r="O38" i="3" s="1"/>
  <c r="O39" i="3" s="1"/>
  <c r="O40" i="3" s="1"/>
  <c r="O41" i="3" s="1"/>
  <c r="O42" i="3" s="1"/>
  <c r="O43" i="3" s="1"/>
  <c r="O44" i="3" s="1"/>
  <c r="O45" i="3" s="1"/>
  <c r="R37" i="3"/>
  <c r="R38" i="3" s="1"/>
  <c r="R39" i="3" s="1"/>
  <c r="R40" i="3" s="1"/>
  <c r="R41" i="3" s="1"/>
  <c r="R42" i="3" s="1"/>
  <c r="R43" i="3" s="1"/>
  <c r="R44" i="3" s="1"/>
  <c r="R45" i="3" s="1"/>
  <c r="Q86" i="3" a="1"/>
  <c r="Q86" i="3" s="1"/>
  <c r="R86" i="3" a="1"/>
  <c r="R86" i="3" s="1"/>
  <c r="P86" i="3" a="1"/>
  <c r="P86" i="3" s="1"/>
  <c r="O86" i="3" a="1"/>
  <c r="O86" i="3" s="1"/>
  <c r="Q75" i="3" a="1"/>
  <c r="Q75" i="3" s="1"/>
  <c r="R75" i="3" a="1"/>
  <c r="R75" i="3" s="1"/>
  <c r="P75" i="3" a="1"/>
  <c r="P75" i="3" s="1"/>
  <c r="O75" i="3" a="1"/>
  <c r="O75" i="3" s="1"/>
  <c r="T14" i="3" a="1"/>
  <c r="T14" i="3" s="1"/>
  <c r="Q37" i="3"/>
  <c r="Q38" i="3" s="1"/>
  <c r="Q39" i="3" s="1"/>
  <c r="Q40" i="3" s="1"/>
  <c r="Q41" i="3" s="1"/>
  <c r="Q42" i="3" s="1"/>
  <c r="Q43" i="3" s="1"/>
  <c r="Q44" i="3" s="1"/>
  <c r="Q45" i="3" s="1"/>
  <c r="P37" i="3"/>
  <c r="P38" i="3" s="1"/>
  <c r="P39" i="3" s="1"/>
  <c r="P40" i="3" s="1"/>
  <c r="P41" i="3" s="1"/>
  <c r="P42" i="3" s="1"/>
  <c r="P43" i="3" s="1"/>
  <c r="P44" i="3" s="1"/>
  <c r="P45" i="3" s="1"/>
  <c r="P19" i="3"/>
  <c r="P18" i="3" s="1"/>
  <c r="Q19" i="3"/>
  <c r="Q18" i="3" s="1"/>
  <c r="Y110" i="3" l="1" a="1"/>
  <c r="Y110" i="3" s="1"/>
  <c r="Y113" i="3" a="1"/>
  <c r="Y113" i="3" s="1"/>
  <c r="Y115" i="3" a="1"/>
  <c r="Y115" i="3" s="1"/>
  <c r="Y119" i="3" a="1"/>
  <c r="Y119" i="3" s="1"/>
  <c r="Y112" i="3" a="1"/>
  <c r="Y112" i="3" s="1"/>
  <c r="Y118" i="3" a="1"/>
  <c r="Y118" i="3" s="1"/>
  <c r="Y116" i="3" a="1"/>
  <c r="Y116" i="3" s="1"/>
  <c r="Y114" i="3" a="1"/>
  <c r="Y114" i="3" s="1"/>
  <c r="Y117" i="3" a="1"/>
  <c r="Y117" i="3" s="1"/>
  <c r="Y111" i="3" a="1"/>
  <c r="Y111" i="3" s="1"/>
  <c r="AE10" i="3" a="1"/>
  <c r="AE10" i="3" s="1"/>
  <c r="O97" i="3" a="1"/>
  <c r="T115" i="3" l="1" a="1"/>
  <c r="T115" i="3" s="1"/>
  <c r="T113" i="3" a="1"/>
  <c r="T113" i="3" s="1"/>
  <c r="T116" i="3" a="1"/>
  <c r="T116" i="3" s="1"/>
  <c r="T111" i="3" a="1"/>
  <c r="T111" i="3" s="1"/>
  <c r="T118" i="3" a="1"/>
  <c r="T118" i="3" s="1"/>
  <c r="T114" i="3" a="1"/>
  <c r="T114" i="3" s="1"/>
  <c r="T119" i="3" a="1"/>
  <c r="T119" i="3" s="1"/>
  <c r="T117" i="3" a="1"/>
  <c r="T117" i="3" s="1"/>
  <c r="T112" i="3" a="1"/>
  <c r="T112" i="3" s="1"/>
  <c r="AE25" i="3" a="1"/>
  <c r="AE25" i="3" s="1"/>
  <c r="AE28" i="3" a="1"/>
  <c r="AE28" i="3" s="1"/>
  <c r="AE31" i="3" a="1"/>
  <c r="AE31" i="3" s="1"/>
  <c r="AE33" i="3" a="1"/>
  <c r="AE33" i="3" s="1"/>
  <c r="AE26" i="3" a="1"/>
  <c r="AE26" i="3" s="1"/>
  <c r="AE27" i="3" a="1"/>
  <c r="AE27" i="3" s="1"/>
  <c r="AE29" i="3" a="1"/>
  <c r="AE29" i="3" s="1"/>
  <c r="AE32" i="3" a="1"/>
  <c r="AE32" i="3" s="1"/>
  <c r="AE30" i="3" a="1"/>
  <c r="AE30" i="3" s="1"/>
  <c r="O97" i="3"/>
  <c r="T110" i="3" s="1" a="1"/>
  <c r="T110" i="3" s="1"/>
  <c r="AE37" i="3" a="1"/>
  <c r="AE37" i="3" s="1"/>
  <c r="AE38" i="3" a="1"/>
  <c r="AE38" i="3" s="1"/>
  <c r="AE44" i="3" a="1"/>
  <c r="AE44" i="3" s="1"/>
  <c r="AE45" i="3" a="1"/>
  <c r="AE45" i="3" s="1"/>
  <c r="AE41" i="3" a="1"/>
  <c r="AE41" i="3" s="1"/>
  <c r="AE42" i="3" a="1"/>
  <c r="AE42" i="3" s="1"/>
  <c r="AE43" i="3" a="1"/>
  <c r="AE43" i="3" s="1"/>
  <c r="AE39" i="3" a="1"/>
  <c r="AE39" i="3" s="1"/>
  <c r="AE40" i="3" a="1"/>
  <c r="AE40" i="3" s="1"/>
  <c r="O36" i="2" a="1"/>
  <c r="O36" i="2" s="1"/>
  <c r="K46" i="2" a="1"/>
  <c r="K46" i="2" s="1"/>
  <c r="Y46" i="2" a="1"/>
  <c r="Y46" i="2" s="1"/>
  <c r="G51" i="2" a="1"/>
  <c r="G51" i="2" s="1"/>
  <c r="Y36" i="2" s="1" a="1"/>
  <c r="Y36" i="2" s="1"/>
  <c r="AK27" i="2" a="1"/>
  <c r="AK27" i="2" s="1"/>
  <c r="Y21" i="2"/>
  <c r="Y20" i="2"/>
  <c r="Y19" i="2"/>
  <c r="Y18" i="2"/>
  <c r="Y17" i="2"/>
  <c r="Y15" i="2"/>
  <c r="Y14" i="2"/>
  <c r="Y13" i="2"/>
  <c r="Y12" i="2"/>
  <c r="Y11" i="2"/>
  <c r="Y10" i="2"/>
  <c r="Y9" i="2"/>
  <c r="T21" i="3" l="1"/>
  <c r="AE24" i="3" a="1"/>
  <c r="AE24" i="3" s="1"/>
  <c r="AE36" i="3" a="1"/>
  <c r="AE36" i="3" s="1"/>
  <c r="AK23" i="2" a="1"/>
  <c r="AK23" i="2" s="1"/>
  <c r="AC17" i="2" a="1"/>
  <c r="AK9" i="2" a="1"/>
  <c r="AK9" i="2" s="1"/>
  <c r="AQ9" i="2" a="1"/>
  <c r="AQ9" i="2" s="1"/>
  <c r="AC17" i="2" l="1"/>
  <c r="G43" i="2" a="1"/>
  <c r="AA47" i="2" l="1"/>
  <c r="AA39" i="2"/>
  <c r="AA37" i="2"/>
  <c r="AA38" i="2"/>
  <c r="AA45" i="2"/>
  <c r="AA44" i="2"/>
  <c r="G43" i="2"/>
  <c r="AA43" i="2" s="1"/>
  <c r="AA41" i="2"/>
  <c r="AA40" i="2"/>
  <c r="AA46" i="2"/>
  <c r="O49" i="2" a="1"/>
  <c r="O49" i="2" s="1"/>
  <c r="W49" i="2" s="1" a="1"/>
  <c r="W49" i="2" s="1"/>
  <c r="AA36" i="2" l="1"/>
  <c r="Y21" i="1" l="1"/>
  <c r="Y20" i="1"/>
  <c r="Y19" i="1"/>
  <c r="Y18" i="1"/>
  <c r="Y17" i="1"/>
  <c r="Y15" i="1"/>
  <c r="Y14" i="1"/>
  <c r="Y13" i="1"/>
  <c r="Y12" i="1"/>
  <c r="Y11" i="1"/>
  <c r="Y10" i="1"/>
  <c r="Y9" i="1"/>
  <c r="AK23" i="1" l="1" a="1"/>
  <c r="AK23" i="1" s="1"/>
  <c r="AQ9" i="1" a="1"/>
  <c r="AQ9" i="1" s="1"/>
  <c r="AC17" i="1" a="1"/>
  <c r="AK9" i="1" a="1"/>
  <c r="AK9" i="1" s="1"/>
  <c r="G35" i="1" l="1" a="1"/>
  <c r="Y27" i="1" a="1"/>
  <c r="Y27" i="1" s="1"/>
  <c r="AC17" i="1"/>
  <c r="AA36" i="1" l="1"/>
  <c r="AA37" i="1"/>
  <c r="G35" i="1"/>
  <c r="AA35" i="1" s="1"/>
  <c r="K38" i="1" l="1" a="1"/>
  <c r="K38" i="1" s="1"/>
  <c r="Y38" i="1" a="1"/>
  <c r="Y38" i="1" s="1"/>
  <c r="O41" i="1" l="1" a="1"/>
  <c r="O41" i="1" s="1"/>
  <c r="W41" i="1" s="1" a="1"/>
  <c r="W41" i="1" s="1"/>
  <c r="O27" i="1" a="1"/>
  <c r="AA38" i="1"/>
  <c r="AA39" i="1"/>
  <c r="AA32" i="1" l="1"/>
  <c r="AA33" i="1"/>
  <c r="AA31" i="1"/>
  <c r="O27" i="1"/>
  <c r="AA27" i="1" s="1"/>
  <c r="AA30" i="1"/>
  <c r="AA29" i="1"/>
  <c r="AA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tc={526EF239-DE95-4DEB-BFEA-0FE06398BBB2}</author>
    <author>tc={1474A65B-F6FA-4D60-8AD3-6C1E565D0962}</author>
    <author>tc={1BE59145-22A2-4074-BDF6-C2FB4DB6CC31}</author>
    <author>tc={B45F9B41-B8DB-4C7F-A9A6-47B397D8816A}</author>
    <author>tc={052CDC5A-53C4-4A1C-A7A4-02DED377478D}</author>
    <author>tc={32FF2F35-0289-4407-9D6F-AFD05387A17E}</author>
    <author>tc={3F7E5E09-F5BA-42AA-9489-90EF79D3FAD8}</author>
    <author>tc={7CCC46CF-1057-4212-AF08-E43237C0EF54}</author>
    <author>tc={234F9614-C0C2-414C-9940-875D65FC32A9}</author>
    <author>tc={8D869B35-4F78-4346-880E-E8017FBDC1C1}</author>
  </authors>
  <commentList>
    <comment ref="O8" authorId="0" shapeId="0" xr:uid="{526EF239-DE95-4DEB-BFEA-0FE06398BBB2}">
      <text>
        <t>[Threaded comment]
Your version of Excel allows you to read this threaded comment; however, any edits to it will get removed if the file is opened in a newer version of Excel. Learn more: https://go.microsoft.com/fwlink/?linkid=870924
Comment:
    (6,5)</t>
      </text>
    </comment>
    <comment ref="AQ8" authorId="1" shapeId="0" xr:uid="{1474A65B-F6FA-4D60-8AD3-6C1E565D0962}">
      <text>
        <t>[Threaded comment]
Your version of Excel allows you to read this threaded comment; however, any edits to it will get removed if the file is opened in a newer version of Excel. Learn more: https://go.microsoft.com/fwlink/?linkid=870924
Comment:
    HP: product-based
--&gt; product-mix matrix (c’)</t>
      </text>
    </comment>
    <comment ref="D11" authorId="2" shapeId="0" xr:uid="{1BE59145-22A2-4074-BDF6-C2FB4DB6CC31}">
      <text>
        <t>[Threaded comment]
Your version of Excel allows you to read this threaded comment; however, any edits to it will get removed if the file is opened in a newer version of Excel. Learn more: https://go.microsoft.com/fwlink/?linkid=870924
Comment:
    HP: heat is the main product for CHP
--&gt; electricity is therefore a by-product for CHP, since there is electricity from PV produced as main, single product.
--&gt; heat by BOILER is a main, single product. 
There is no need to distinguish between heat_CHP and heat_BOILER since both of them are considered as main products</t>
      </text>
    </comment>
    <comment ref="D13" authorId="3" shapeId="0" xr:uid="{B45F9B41-B8DB-4C7F-A9A6-47B397D8816A}">
      <text>
        <t>[Threaded comment]
Your version of Excel allows you to read this threaded comment; however, any edits to it will get removed if the file is opened in a newer version of Excel. Learn more: https://go.microsoft.com/fwlink/?linkid=870924
Comment:
    HP: electricity = main_prod + by-prod
--&gt; to distinguish the different nature between the two flows, I need to separate them. Thanks to this, I can define different assumptions on them</t>
      </text>
    </comment>
    <comment ref="G16" authorId="4" shapeId="0" xr:uid="{052CDC5A-53C4-4A1C-A7A4-02DED377478D}">
      <text>
        <t>[Threaded comment]
Your version of Excel allows you to read this threaded comment; however, any edits to it will get removed if the file is opened in a newer version of Excel. Learn more: https://go.microsoft.com/fwlink/?linkid=870924
Comment:
    (5,6)</t>
      </text>
    </comment>
    <comment ref="AC16" authorId="5" shapeId="0" xr:uid="{32FF2F35-0289-4407-9D6F-AFD05387A17E}">
      <text>
        <t>[Threaded comment]
Your version of Excel allows you to read this threaded comment; however, any edits to it will get removed if the file is opened in a newer version of Excel. Learn more: https://go.microsoft.com/fwlink/?linkid=870924
Comment:
    HP: Industry-based 
--&gt; Market-share matrix (d)</t>
      </text>
    </comment>
    <comment ref="D19" authorId="6" shapeId="0" xr:uid="{3F7E5E09-F5BA-42AA-9489-90EF79D3FAD8}">
      <text>
        <t>[Threaded comment]
Your version of Excel allows you to read this threaded comment; however, any edits to it will get removed if the file is opened in a newer version of Excel. Learn more: https://go.microsoft.com/fwlink/?linkid=870924
Comment:
    In reality, it works under product-based assumption (per unit of activity, it works with fixed carrier-ratios)
--&gt; for this reason, I need to separate electricity_CHP from electricity_other</t>
      </text>
    </comment>
    <comment ref="W26" authorId="7" shapeId="0" xr:uid="{7CCC46CF-1057-4212-AF08-E43237C0EF54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NOTE:
By changing the first guess, I could get a different solution!</t>
      </text>
    </comment>
    <comment ref="D29" authorId="8" shapeId="0" xr:uid="{234F9614-C0C2-414C-9940-875D65FC32A9}">
      <text>
        <t>[Threaded comment]
Your version of Excel allows you to read this threaded comment; however, any edits to it will get removed if the file is opened in a newer version of Excel. Learn more: https://go.microsoft.com/fwlink/?linkid=870924
Comment:
    HP: heat is the main product for CHP
--&gt; electricity is therefore a by-product for CHP, since there is electricity from PV produced as main, single product.
--&gt; heat by BOILER is a main, single product. 
There is no need to distinguish between heat_CHP and heat_BOILER since both of them are considered as main products</t>
      </text>
    </comment>
    <comment ref="D31" authorId="9" shapeId="0" xr:uid="{8D869B35-4F78-4346-880E-E8017FBDC1C1}">
      <text>
        <t>[Threaded comment]
Your version of Excel allows you to read this threaded comment; however, any edits to it will get removed if the file is opened in a newer version of Excel. Learn more: https://go.microsoft.com/fwlink/?linkid=870924
Comment:
    HP: electricity = main_prod + by-prod
--&gt; to distinguish the different nature between the two flows, I need to separate them. Thanks to this, I can define different assumptions on them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tc={E8AA27AC-6BF4-4353-B329-1FFB824A5766}</author>
    <author>tc={B967F269-43ED-4C27-A19F-1AB32D270829}</author>
    <author>tc={4F21BC6B-08A0-491E-9048-6880A7C803C9}</author>
    <author>tc={9118A93E-EE42-4DEC-9C43-F132CDD957EE}</author>
    <author>tc={743637DD-ECF7-4AB1-ABA8-25A970F4F4D9}</author>
    <author>tc={163173D1-3F42-43DE-B7E9-A81A4921DAC4}</author>
    <author>tc={6C249F3A-14CF-4509-84FC-B138E53D3981}</author>
    <author>tc={D6685514-3955-44ED-95E9-471C08B06EE4}</author>
  </authors>
  <commentList>
    <comment ref="O8" authorId="0" shapeId="0" xr:uid="{E8AA27AC-6BF4-4353-B329-1FFB824A5766}">
      <text>
        <t>[Threaded comment]
Your version of Excel allows you to read this threaded comment; however, any edits to it will get removed if the file is opened in a newer version of Excel. Learn more: https://go.microsoft.com/fwlink/?linkid=870924
Comment:
    (6,5)</t>
      </text>
    </comment>
    <comment ref="AQ8" authorId="1" shapeId="0" xr:uid="{B967F269-43ED-4C27-A19F-1AB32D270829}">
      <text>
        <t>[Threaded comment]
Your version of Excel allows you to read this threaded comment; however, any edits to it will get removed if the file is opened in a newer version of Excel. Learn more: https://go.microsoft.com/fwlink/?linkid=870924
Comment:
    HP: product-based
--&gt; product-mix matrix (c’)</t>
      </text>
    </comment>
    <comment ref="D11" authorId="2" shapeId="0" xr:uid="{4F21BC6B-08A0-491E-9048-6880A7C803C9}">
      <text>
        <t>[Threaded comment]
Your version of Excel allows you to read this threaded comment; however, any edits to it will get removed if the file is opened in a newer version of Excel. Learn more: https://go.microsoft.com/fwlink/?linkid=870924
Comment:
    HP: heat is the main product for CHP
--&gt; electricity is therefore a by-product for CHP, since there is electricity from PV produced as main, single product.
--&gt; heat by BOILER is a main, single product. 
There is no need to distinguish between heat_CHP and heat_BOILER since both of them are considered as main products</t>
      </text>
    </comment>
    <comment ref="D13" authorId="3" shapeId="0" xr:uid="{9118A93E-EE42-4DEC-9C43-F132CDD957EE}">
      <text>
        <t>[Threaded comment]
Your version of Excel allows you to read this threaded comment; however, any edits to it will get removed if the file is opened in a newer version of Excel. Learn more: https://go.microsoft.com/fwlink/?linkid=870924
Comment:
    HP: electricity = main_prod + by-prod
--&gt; to distinguish the different nature between the two flows, I need to separate them. Thanks to this, I can define different assumptions on them</t>
      </text>
    </comment>
    <comment ref="G16" authorId="4" shapeId="0" xr:uid="{743637DD-ECF7-4AB1-ABA8-25A970F4F4D9}">
      <text>
        <t>[Threaded comment]
Your version of Excel allows you to read this threaded comment; however, any edits to it will get removed if the file is opened in a newer version of Excel. Learn more: https://go.microsoft.com/fwlink/?linkid=870924
Comment:
    (5,6)</t>
      </text>
    </comment>
    <comment ref="AC16" authorId="5" shapeId="0" xr:uid="{163173D1-3F42-43DE-B7E9-A81A4921DAC4}">
      <text>
        <t>[Threaded comment]
Your version of Excel allows you to read this threaded comment; however, any edits to it will get removed if the file is opened in a newer version of Excel. Learn more: https://go.microsoft.com/fwlink/?linkid=870924
Comment:
    HP: Industry-based 
--&gt; Market-share matrix (d)</t>
      </text>
    </comment>
    <comment ref="D19" authorId="6" shapeId="0" xr:uid="{6C249F3A-14CF-4509-84FC-B138E53D3981}">
      <text>
        <t>[Threaded comment]
Your version of Excel allows you to read this threaded comment; however, any edits to it will get removed if the file is opened in a newer version of Excel. Learn more: https://go.microsoft.com/fwlink/?linkid=870924
Comment:
    In reality, it works under product-based assumption (per unit of activity, it works with fixed carrier-ratios)
--&gt; for this reason, I need to separate electricity_CHP from electricity_other</t>
      </text>
    </comment>
    <comment ref="W35" authorId="7" shapeId="0" xr:uid="{D6685514-3955-44ED-95E9-471C08B06EE4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NOTE:
By changing the level of the final demand of products, I could get a different solution!
NOTE that this time, I don’t need a specific guess to get a feasible solution!  The system will adjust itself (there is flexibility now, there is no demand for EE by one source or another) to make it work.
Moreover, for a given set of demand, there could be more solutions! It depends on where the OF brings you!
Reply:
    For instance, if you change MIN/MAX, the OF should bring you to a different solution. If it does not happen, it’s due to the weakness of the Excel Solver (indeed, by changing the first guess for the decision variables, the solution changes!)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<sst xmlns="http://schemas.openxmlformats.org/spreadsheetml/2006/main" count="538" uniqueCount="139">
  <si>
    <t>techs</t>
  </si>
  <si>
    <t>flows</t>
  </si>
  <si>
    <t>name</t>
  </si>
  <si>
    <t>unit</t>
  </si>
  <si>
    <t>fuel A</t>
  </si>
  <si>
    <t>feul B</t>
  </si>
  <si>
    <t>heat</t>
  </si>
  <si>
    <t>electricity</t>
  </si>
  <si>
    <t>electricity_PV</t>
  </si>
  <si>
    <t>electricity_CHP</t>
  </si>
  <si>
    <t>product A</t>
  </si>
  <si>
    <t>product B</t>
  </si>
  <si>
    <t>f.1</t>
  </si>
  <si>
    <t>f.2</t>
  </si>
  <si>
    <t>f.3</t>
  </si>
  <si>
    <t>f.4a</t>
  </si>
  <si>
    <t>f.4b</t>
  </si>
  <si>
    <t>f.5</t>
  </si>
  <si>
    <t>f.6</t>
  </si>
  <si>
    <t>Oil refinery</t>
  </si>
  <si>
    <t>Boiler</t>
  </si>
  <si>
    <t>CHP engine</t>
  </si>
  <si>
    <t>PV plant</t>
  </si>
  <si>
    <t>Industry</t>
  </si>
  <si>
    <t>t.1</t>
  </si>
  <si>
    <t>t.2</t>
  </si>
  <si>
    <t>t.3</t>
  </si>
  <si>
    <t>t.4</t>
  </si>
  <si>
    <t>t.5</t>
  </si>
  <si>
    <t>MWh</t>
  </si>
  <si>
    <t>ton</t>
  </si>
  <si>
    <t>V</t>
  </si>
  <si>
    <t>U</t>
  </si>
  <si>
    <t>d.1</t>
  </si>
  <si>
    <t>Y</t>
  </si>
  <si>
    <t>Q</t>
  </si>
  <si>
    <t>X</t>
  </si>
  <si>
    <t>assumption</t>
  </si>
  <si>
    <t>V_O&amp;M</t>
  </si>
  <si>
    <t>€</t>
  </si>
  <si>
    <t>R</t>
  </si>
  <si>
    <t>u = U*[diag(X)]^-1</t>
  </si>
  <si>
    <t>d = V*[diag(Q)]^-1</t>
  </si>
  <si>
    <t>r = R*[diag(X)]^-1</t>
  </si>
  <si>
    <r>
      <rPr>
        <sz val="11"/>
        <color theme="1"/>
        <rFont val="Times New Roman"/>
        <family val="1"/>
      </rPr>
      <t>∆</t>
    </r>
    <r>
      <rPr>
        <sz val="11"/>
        <color theme="1"/>
        <rFont val="Calibri"/>
        <family val="2"/>
      </rPr>
      <t>d</t>
    </r>
  </si>
  <si>
    <t>∆Y</t>
  </si>
  <si>
    <t>c = V'*[diag(X)]^-1</t>
  </si>
  <si>
    <t>Q*</t>
  </si>
  <si>
    <t>X*</t>
  </si>
  <si>
    <t>U*</t>
  </si>
  <si>
    <t>V*</t>
  </si>
  <si>
    <t>R*</t>
  </si>
  <si>
    <t>X_it* = d*Q_it</t>
  </si>
  <si>
    <t>Q_pi* = c*X_pt</t>
  </si>
  <si>
    <t>U*+Y+∆Y - Q* = 0</t>
  </si>
  <si>
    <t>V* - X* = 0</t>
  </si>
  <si>
    <t>Legend</t>
  </si>
  <si>
    <t>Decision Variables</t>
  </si>
  <si>
    <t>Objective Function</t>
  </si>
  <si>
    <t>Constraints</t>
  </si>
  <si>
    <t>R*_tot</t>
  </si>
  <si>
    <t>f.4</t>
  </si>
  <si>
    <t>I_eff (special identity)</t>
  </si>
  <si>
    <t>u_agg = I_eff(p-1,p) * u(p,t)</t>
  </si>
  <si>
    <t>U_agg*</t>
  </si>
  <si>
    <t>Q_agg*</t>
  </si>
  <si>
    <t>techs/sectors</t>
  </si>
  <si>
    <t>Fuel Refinery</t>
  </si>
  <si>
    <t>EE Supply</t>
  </si>
  <si>
    <t>s.2-4</t>
  </si>
  <si>
    <t>Solar PV</t>
  </si>
  <si>
    <t>CCGT</t>
  </si>
  <si>
    <t>Import</t>
  </si>
  <si>
    <t>y.1</t>
  </si>
  <si>
    <t>y.2</t>
  </si>
  <si>
    <t>y.3</t>
  </si>
  <si>
    <t>y.4</t>
  </si>
  <si>
    <t>y.5</t>
  </si>
  <si>
    <t>F_O&amp;M</t>
  </si>
  <si>
    <t>CAPEX</t>
  </si>
  <si>
    <t>€/MW</t>
  </si>
  <si>
    <t>€/MW/y</t>
  </si>
  <si>
    <t>€/MWh</t>
  </si>
  <si>
    <t>Residual Cap</t>
  </si>
  <si>
    <t>MW</t>
  </si>
  <si>
    <t>Construction Time</t>
  </si>
  <si>
    <t>y</t>
  </si>
  <si>
    <t>Tech Lifetime</t>
  </si>
  <si>
    <t>toc</t>
  </si>
  <si>
    <t>lt</t>
  </si>
  <si>
    <t>Rcap</t>
  </si>
  <si>
    <t>Tot Max Cap</t>
  </si>
  <si>
    <t>Average CF</t>
  </si>
  <si>
    <t>-</t>
  </si>
  <si>
    <t>cf</t>
  </si>
  <si>
    <t>totcap</t>
  </si>
  <si>
    <t>u</t>
  </si>
  <si>
    <t>d</t>
  </si>
  <si>
    <t>I_eff</t>
  </si>
  <si>
    <t>c</t>
  </si>
  <si>
    <t>y.6</t>
  </si>
  <si>
    <t>y.7</t>
  </si>
  <si>
    <t>y.8</t>
  </si>
  <si>
    <t>y.9</t>
  </si>
  <si>
    <t>y.10</t>
  </si>
  <si>
    <t>time</t>
  </si>
  <si>
    <t>Q_yp = [c_pt * (X_yt)']'</t>
  </si>
  <si>
    <t>X_yt</t>
  </si>
  <si>
    <t>Xagg'</t>
  </si>
  <si>
    <t>OBJ</t>
  </si>
  <si>
    <t>(Q_py)' - u_pt*(X_yt)' - Y_py = 0</t>
  </si>
  <si>
    <t>New Capacity</t>
  </si>
  <si>
    <t>Refinery</t>
  </si>
  <si>
    <t>Real New Capacity</t>
  </si>
  <si>
    <t>c_new</t>
  </si>
  <si>
    <t>shift (toc = 2)</t>
  </si>
  <si>
    <t>c_built = shift * c_new</t>
  </si>
  <si>
    <t>Operative Capacity</t>
  </si>
  <si>
    <t>inf</t>
  </si>
  <si>
    <t>Disposed Capacity</t>
  </si>
  <si>
    <t>shift_toc (toc = 1)</t>
  </si>
  <si>
    <t>shift_dis (toc = 1 + lt = 4)</t>
  </si>
  <si>
    <t>shift_dis (toc = 2 + lt = 6)</t>
  </si>
  <si>
    <t>c_dis = shift_dis * c_new</t>
  </si>
  <si>
    <t>Tril</t>
  </si>
  <si>
    <t>c_op = Rcap + Tril * c_built - c_dis</t>
  </si>
  <si>
    <t>Activity/Capacity Ratio</t>
  </si>
  <si>
    <t>prod/cap</t>
  </si>
  <si>
    <t>c_op - totcap &lt;= 0</t>
  </si>
  <si>
    <t>X_yt - (c_op*cf*prod_unit_cap) &lt;= 0</t>
  </si>
  <si>
    <t>Discount Rate</t>
  </si>
  <si>
    <t>OPEX_V_disc</t>
  </si>
  <si>
    <t>OPEX_F_disc</t>
  </si>
  <si>
    <t>CAPEX_disc</t>
  </si>
  <si>
    <t>Costs</t>
  </si>
  <si>
    <t>disc</t>
  </si>
  <si>
    <t>Max Fuel A %</t>
  </si>
  <si>
    <t>Min Fuel A %</t>
  </si>
  <si>
    <t>Max-min Fuel A Boundaries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</si>
</sst>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43" formatCode="_-* #,##0.00_-;\-* #,##0.00_-;_-* &quot;-&quot;??_-;_-@_-"/>
    <numFmt numFmtId="164" formatCode="_-* #,##0.0_-;\-* #,##0.0_-;_-* &quot;-&quot;?_-;_-@_-"/>
    <numFmt numFmtId="165" formatCode="_-* #,##0.0_-;\-* #,##0.0_-;_-* &quot;-&quot;??_-;_-@_-"/>
    <numFmt numFmtId="166" formatCode="_-* #,##0.000_-;\-* #,##0.000_-;_-* &quot;-&quot;??_-;_-@_-"/>
    <numFmt numFmtId="167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1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1">
    <xf numFmtId="0" fontId="0" fillId="0" borderId="0" xfId="0"/>
    <xf numFmtId="0" fontId="4" fillId="0" borderId="0" xfId="0" applyFont="1"/>
    <xf numFmtId="0" fontId="0" fillId="0" borderId="8" xfId="0" applyBorder="1"/>
    <xf numFmtId="43" fontId="0" fillId="0" borderId="0" xfId="1" applyFont="1"/>
    <xf numFmtId="43" fontId="0" fillId="0" borderId="8" xfId="1" applyFont="1" applyBorder="1"/>
    <xf numFmtId="41" fontId="0" fillId="0" borderId="0" xfId="1" applyNumberFormat="1" applyFont="1"/>
    <xf numFmtId="41" fontId="0" fillId="0" borderId="2" xfId="1" applyNumberFormat="1" applyFont="1" applyBorder="1"/>
    <xf numFmtId="41" fontId="0" fillId="0" borderId="3" xfId="1" applyNumberFormat="1" applyFont="1" applyBorder="1"/>
    <xf numFmtId="41" fontId="0" fillId="0" borderId="4" xfId="1" applyNumberFormat="1" applyFont="1" applyBorder="1"/>
    <xf numFmtId="41" fontId="0" fillId="0" borderId="10" xfId="1" applyNumberFormat="1" applyFont="1" applyBorder="1"/>
    <xf numFmtId="41" fontId="0" fillId="0" borderId="5" xfId="1" applyNumberFormat="1" applyFont="1" applyBorder="1"/>
    <xf numFmtId="41" fontId="0" fillId="0" borderId="0" xfId="1" applyNumberFormat="1" applyFont="1" applyBorder="1"/>
    <xf numFmtId="41" fontId="0" fillId="0" borderId="0" xfId="1" applyNumberFormat="1" applyFont="1" applyFill="1" applyBorder="1"/>
    <xf numFmtId="41" fontId="0" fillId="0" borderId="6" xfId="1" applyNumberFormat="1" applyFont="1" applyBorder="1"/>
    <xf numFmtId="41" fontId="0" fillId="0" borderId="11" xfId="1" applyNumberFormat="1" applyFont="1" applyBorder="1"/>
    <xf numFmtId="41" fontId="0" fillId="0" borderId="7" xfId="1" applyNumberFormat="1" applyFont="1" applyBorder="1"/>
    <xf numFmtId="41" fontId="0" fillId="0" borderId="8" xfId="1" applyNumberFormat="1" applyFont="1" applyBorder="1"/>
    <xf numFmtId="41" fontId="0" fillId="0" borderId="9" xfId="1" applyNumberFormat="1" applyFont="1" applyBorder="1"/>
    <xf numFmtId="41" fontId="0" fillId="0" borderId="12" xfId="1" applyNumberFormat="1" applyFont="1" applyBorder="1"/>
    <xf numFmtId="41" fontId="0" fillId="0" borderId="7" xfId="1" quotePrefix="1" applyNumberFormat="1" applyFont="1" applyBorder="1"/>
    <xf numFmtId="41" fontId="0" fillId="0" borderId="13" xfId="1" applyNumberFormat="1" applyFont="1" applyBorder="1"/>
    <xf numFmtId="41" fontId="0" fillId="0" borderId="14" xfId="1" applyNumberFormat="1" applyFont="1" applyBorder="1"/>
    <xf numFmtId="41" fontId="0" fillId="0" borderId="15" xfId="1" applyNumberFormat="1" applyFont="1" applyBorder="1"/>
    <xf numFmtId="164" fontId="0" fillId="0" borderId="0" xfId="1" applyNumberFormat="1" applyFont="1"/>
    <xf numFmtId="164" fontId="0" fillId="0" borderId="2" xfId="1" applyNumberFormat="1" applyFont="1" applyBorder="1"/>
    <xf numFmtId="164" fontId="0" fillId="0" borderId="3" xfId="1" applyNumberFormat="1" applyFont="1" applyBorder="1"/>
    <xf numFmtId="164" fontId="0" fillId="0" borderId="4" xfId="1" applyNumberFormat="1" applyFont="1" applyBorder="1"/>
    <xf numFmtId="164" fontId="0" fillId="0" borderId="5" xfId="1" applyNumberFormat="1" applyFont="1" applyBorder="1"/>
    <xf numFmtId="164" fontId="0" fillId="0" borderId="0" xfId="1" applyNumberFormat="1" applyFont="1" applyBorder="1"/>
    <xf numFmtId="164" fontId="0" fillId="0" borderId="6" xfId="1" applyNumberFormat="1" applyFont="1" applyBorder="1"/>
    <xf numFmtId="164" fontId="0" fillId="0" borderId="7" xfId="1" applyNumberFormat="1" applyFont="1" applyBorder="1"/>
    <xf numFmtId="164" fontId="0" fillId="0" borderId="8" xfId="1" applyNumberFormat="1" applyFont="1" applyBorder="1"/>
    <xf numFmtId="164" fontId="0" fillId="0" borderId="9" xfId="1" applyNumberFormat="1" applyFont="1" applyBorder="1"/>
    <xf numFmtId="164" fontId="0" fillId="0" borderId="13" xfId="1" applyNumberFormat="1" applyFont="1" applyBorder="1"/>
    <xf numFmtId="164" fontId="0" fillId="0" borderId="14" xfId="1" applyNumberFormat="1" applyFont="1" applyBorder="1"/>
    <xf numFmtId="164" fontId="0" fillId="0" borderId="15" xfId="1" applyNumberFormat="1" applyFont="1" applyBorder="1"/>
    <xf numFmtId="0" fontId="6" fillId="0" borderId="0" xfId="0" applyFont="1"/>
    <xf numFmtId="0" fontId="0" fillId="2" borderId="0" xfId="0" applyFill="1"/>
    <xf numFmtId="41" fontId="0" fillId="2" borderId="2" xfId="1" applyNumberFormat="1" applyFont="1" applyFill="1" applyBorder="1"/>
    <xf numFmtId="41" fontId="0" fillId="2" borderId="3" xfId="1" applyNumberFormat="1" applyFont="1" applyFill="1" applyBorder="1"/>
    <xf numFmtId="41" fontId="0" fillId="3" borderId="8" xfId="1" applyNumberFormat="1" applyFont="1" applyFill="1" applyBorder="1"/>
    <xf numFmtId="41" fontId="0" fillId="3" borderId="9" xfId="1" applyNumberFormat="1" applyFont="1" applyFill="1" applyBorder="1"/>
    <xf numFmtId="0" fontId="0" fillId="3" borderId="0" xfId="0" applyFill="1"/>
    <xf numFmtId="164" fontId="0" fillId="3" borderId="0" xfId="1" applyNumberFormat="1" applyFont="1" applyFill="1"/>
    <xf numFmtId="43" fontId="0" fillId="2" borderId="0" xfId="1" applyFont="1" applyFill="1"/>
    <xf numFmtId="41" fontId="0" fillId="0" borderId="3" xfId="1" applyNumberFormat="1" applyFont="1" applyFill="1" applyBorder="1"/>
    <xf numFmtId="41" fontId="0" fillId="0" borderId="6" xfId="1" applyNumberFormat="1" applyFont="1" applyFill="1" applyBorder="1"/>
    <xf numFmtId="41" fontId="0" fillId="2" borderId="8" xfId="1" applyNumberFormat="1" applyFont="1" applyFill="1" applyBorder="1"/>
    <xf numFmtId="41" fontId="0" fillId="2" borderId="9" xfId="1" applyNumberFormat="1" applyFont="1" applyFill="1" applyBorder="1"/>
    <xf numFmtId="164" fontId="0" fillId="4" borderId="10" xfId="1" applyNumberFormat="1" applyFont="1" applyFill="1" applyBorder="1"/>
    <xf numFmtId="164" fontId="0" fillId="4" borderId="11" xfId="1" applyNumberFormat="1" applyFont="1" applyFill="1" applyBorder="1"/>
    <xf numFmtId="164" fontId="0" fillId="4" borderId="12" xfId="1" applyNumberFormat="1" applyFont="1" applyFill="1" applyBorder="1"/>
    <xf numFmtId="0" fontId="0" fillId="4" borderId="0" xfId="0" applyFill="1"/>
    <xf numFmtId="164" fontId="0" fillId="3" borderId="2" xfId="1" applyNumberFormat="1" applyFont="1" applyFill="1" applyBorder="1"/>
    <xf numFmtId="164" fontId="0" fillId="3" borderId="3" xfId="1" applyNumberFormat="1" applyFont="1" applyFill="1" applyBorder="1"/>
    <xf numFmtId="164" fontId="0" fillId="3" borderId="4" xfId="1" applyNumberFormat="1" applyFont="1" applyFill="1" applyBorder="1"/>
    <xf numFmtId="164" fontId="0" fillId="3" borderId="7" xfId="1" applyNumberFormat="1" applyFont="1" applyFill="1" applyBorder="1"/>
    <xf numFmtId="164" fontId="0" fillId="3" borderId="8" xfId="1" applyNumberFormat="1" applyFont="1" applyFill="1" applyBorder="1"/>
    <xf numFmtId="164" fontId="0" fillId="3" borderId="9" xfId="1" applyNumberFormat="1" applyFont="1" applyFill="1" applyBorder="1"/>
    <xf numFmtId="164" fontId="0" fillId="2" borderId="2" xfId="1" applyNumberFormat="1" applyFont="1" applyFill="1" applyBorder="1"/>
    <xf numFmtId="164" fontId="0" fillId="2" borderId="3" xfId="1" applyNumberFormat="1" applyFont="1" applyFill="1" applyBorder="1"/>
    <xf numFmtId="164" fontId="0" fillId="2" borderId="4" xfId="1" applyNumberFormat="1" applyFont="1" applyFill="1" applyBorder="1"/>
    <xf numFmtId="164" fontId="0" fillId="2" borderId="5" xfId="1" applyNumberFormat="1" applyFont="1" applyFill="1" applyBorder="1"/>
    <xf numFmtId="164" fontId="0" fillId="2" borderId="0" xfId="1" applyNumberFormat="1" applyFont="1" applyFill="1" applyBorder="1"/>
    <xf numFmtId="164" fontId="0" fillId="2" borderId="6" xfId="1" applyNumberFormat="1" applyFont="1" applyFill="1" applyBorder="1"/>
    <xf numFmtId="164" fontId="0" fillId="2" borderId="7" xfId="1" applyNumberFormat="1" applyFont="1" applyFill="1" applyBorder="1"/>
    <xf numFmtId="164" fontId="0" fillId="2" borderId="8" xfId="1" applyNumberFormat="1" applyFont="1" applyFill="1" applyBorder="1"/>
    <xf numFmtId="164" fontId="0" fillId="2" borderId="9" xfId="1" applyNumberFormat="1" applyFont="1" applyFill="1" applyBorder="1"/>
    <xf numFmtId="164" fontId="0" fillId="6" borderId="11" xfId="0" applyNumberFormat="1" applyFill="1" applyBorder="1"/>
    <xf numFmtId="164" fontId="0" fillId="7" borderId="11" xfId="0" applyNumberFormat="1" applyFill="1" applyBorder="1"/>
    <xf numFmtId="164" fontId="0" fillId="7" borderId="10" xfId="0" applyNumberFormat="1" applyFill="1" applyBorder="1"/>
    <xf numFmtId="164" fontId="0" fillId="7" borderId="12" xfId="0" applyNumberFormat="1" applyFill="1" applyBorder="1"/>
    <xf numFmtId="164" fontId="0" fillId="0" borderId="0" xfId="1" applyNumberFormat="1" applyFont="1" applyFill="1"/>
    <xf numFmtId="164" fontId="0" fillId="5" borderId="12" xfId="0" applyNumberFormat="1" applyFill="1" applyBorder="1"/>
    <xf numFmtId="0" fontId="0" fillId="5" borderId="0" xfId="0" applyFill="1"/>
    <xf numFmtId="0" fontId="0" fillId="7" borderId="0" xfId="0" applyFill="1"/>
    <xf numFmtId="0" fontId="0" fillId="0" borderId="11" xfId="0" applyBorder="1"/>
    <xf numFmtId="0" fontId="2" fillId="0" borderId="10" xfId="0" applyFont="1" applyBorder="1"/>
    <xf numFmtId="164" fontId="2" fillId="0" borderId="11" xfId="1" applyNumberFormat="1" applyFont="1" applyBorder="1"/>
    <xf numFmtId="164" fontId="2" fillId="0" borderId="12" xfId="1" applyNumberFormat="1" applyFont="1" applyBorder="1"/>
    <xf numFmtId="0" fontId="2" fillId="0" borderId="11" xfId="0" applyFont="1" applyBorder="1"/>
    <xf numFmtId="164" fontId="2" fillId="0" borderId="10" xfId="1" applyNumberFormat="1" applyFont="1" applyFill="1" applyBorder="1"/>
    <xf numFmtId="164" fontId="2" fillId="0" borderId="12" xfId="1" applyNumberFormat="1" applyFont="1" applyFill="1" applyBorder="1"/>
    <xf numFmtId="164" fontId="2" fillId="0" borderId="11" xfId="1" applyNumberFormat="1" applyFont="1" applyBorder="1" applyAlignment="1"/>
    <xf numFmtId="164" fontId="0" fillId="0" borderId="3" xfId="1" applyNumberFormat="1" applyFont="1" applyFill="1" applyBorder="1"/>
    <xf numFmtId="164" fontId="0" fillId="0" borderId="4" xfId="1" applyNumberFormat="1" applyFont="1" applyFill="1" applyBorder="1"/>
    <xf numFmtId="164" fontId="0" fillId="0" borderId="0" xfId="1" applyNumberFormat="1" applyFont="1" applyFill="1" applyBorder="1"/>
    <xf numFmtId="164" fontId="0" fillId="0" borderId="6" xfId="1" applyNumberFormat="1" applyFont="1" applyFill="1" applyBorder="1"/>
    <xf numFmtId="164" fontId="0" fillId="0" borderId="5" xfId="1" applyNumberFormat="1" applyFont="1" applyFill="1" applyBorder="1"/>
    <xf numFmtId="164" fontId="0" fillId="0" borderId="7" xfId="1" applyNumberFormat="1" applyFont="1" applyFill="1" applyBorder="1"/>
    <xf numFmtId="164" fontId="0" fillId="0" borderId="8" xfId="1" applyNumberFormat="1" applyFont="1" applyFill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0" xfId="0" applyNumberFormat="1"/>
    <xf numFmtId="164" fontId="0" fillId="0" borderId="1" xfId="1" applyNumberFormat="1" applyFont="1" applyFill="1" applyBorder="1"/>
    <xf numFmtId="0" fontId="0" fillId="8" borderId="0" xfId="0" applyFill="1"/>
    <xf numFmtId="41" fontId="0" fillId="0" borderId="0" xfId="1" applyNumberFormat="1" applyFont="1" applyFill="1"/>
    <xf numFmtId="0" fontId="2" fillId="0" borderId="0" xfId="0" applyFont="1"/>
    <xf numFmtId="165" fontId="0" fillId="4" borderId="13" xfId="1" applyNumberFormat="1" applyFont="1" applyFill="1" applyBorder="1"/>
    <xf numFmtId="165" fontId="0" fillId="4" borderId="14" xfId="1" applyNumberFormat="1" applyFont="1" applyFill="1" applyBorder="1"/>
    <xf numFmtId="165" fontId="0" fillId="4" borderId="15" xfId="1" applyNumberFormat="1" applyFont="1" applyFill="1" applyBorder="1"/>
    <xf numFmtId="164" fontId="0" fillId="0" borderId="11" xfId="1" applyNumberFormat="1" applyFont="1" applyFill="1" applyBorder="1"/>
    <xf numFmtId="164" fontId="0" fillId="0" borderId="12" xfId="1" applyNumberFormat="1" applyFont="1" applyFill="1" applyBorder="1"/>
    <xf numFmtId="0" fontId="0" fillId="0" borderId="10" xfId="0" applyBorder="1"/>
    <xf numFmtId="164" fontId="1" fillId="0" borderId="11" xfId="1" applyNumberFormat="1" applyFont="1" applyBorder="1"/>
    <xf numFmtId="164" fontId="0" fillId="5" borderId="1" xfId="1" applyNumberFormat="1" applyFont="1" applyFill="1" applyBorder="1"/>
    <xf numFmtId="0" fontId="0" fillId="0" borderId="6" xfId="0" applyBorder="1"/>
    <xf numFmtId="165" fontId="2" fillId="0" borderId="13" xfId="1" applyNumberFormat="1" applyFont="1" applyBorder="1"/>
    <xf numFmtId="165" fontId="2" fillId="0" borderId="14" xfId="1" applyNumberFormat="1" applyFont="1" applyBorder="1"/>
    <xf numFmtId="165" fontId="2" fillId="0" borderId="15" xfId="1" applyNumberFormat="1" applyFont="1" applyBorder="1"/>
    <xf numFmtId="164" fontId="0" fillId="0" borderId="10" xfId="1" applyNumberFormat="1" applyFont="1" applyFill="1" applyBorder="1"/>
    <xf numFmtId="166" fontId="0" fillId="0" borderId="9" xfId="1" applyNumberFormat="1" applyFont="1" applyBorder="1"/>
    <xf numFmtId="43" fontId="0" fillId="0" borderId="0" xfId="1" applyNumberFormat="1" applyFont="1"/>
    <xf numFmtId="43" fontId="0" fillId="0" borderId="2" xfId="1" applyNumberFormat="1" applyFont="1" applyBorder="1"/>
    <xf numFmtId="43" fontId="0" fillId="0" borderId="3" xfId="1" applyNumberFormat="1" applyFont="1" applyBorder="1"/>
    <xf numFmtId="43" fontId="0" fillId="0" borderId="4" xfId="1" applyNumberFormat="1" applyFont="1" applyBorder="1"/>
    <xf numFmtId="43" fontId="0" fillId="0" borderId="5" xfId="1" applyNumberFormat="1" applyFont="1" applyBorder="1"/>
    <xf numFmtId="43" fontId="0" fillId="0" borderId="0" xfId="1" applyNumberFormat="1" applyFont="1" applyBorder="1"/>
    <xf numFmtId="43" fontId="0" fillId="0" borderId="6" xfId="1" applyNumberFormat="1" applyFont="1" applyBorder="1"/>
    <xf numFmtId="43" fontId="0" fillId="0" borderId="7" xfId="1" applyNumberFormat="1" applyFont="1" applyBorder="1"/>
    <xf numFmtId="43" fontId="0" fillId="0" borderId="8" xfId="1" applyNumberFormat="1" applyFont="1" applyBorder="1"/>
    <xf numFmtId="43" fontId="0" fillId="0" borderId="9" xfId="1" applyNumberFormat="1" applyFont="1" applyBorder="1"/>
    <xf numFmtId="165" fontId="0" fillId="0" borderId="0" xfId="1" applyNumberFormat="1" applyFont="1"/>
    <xf numFmtId="165" fontId="0" fillId="0" borderId="5" xfId="1" applyNumberFormat="1" applyFont="1" applyBorder="1"/>
    <xf numFmtId="165" fontId="0" fillId="0" borderId="0" xfId="1" applyNumberFormat="1" applyFont="1" applyBorder="1"/>
    <xf numFmtId="165" fontId="0" fillId="0" borderId="14" xfId="1" applyNumberFormat="1" applyFont="1" applyBorder="1"/>
    <xf numFmtId="167" fontId="0" fillId="0" borderId="0" xfId="1" applyNumberFormat="1" applyFont="1"/>
    <xf numFmtId="167" fontId="0" fillId="4" borderId="0" xfId="1" applyNumberFormat="1" applyFont="1" applyFill="1"/>
    <xf numFmtId="167" fontId="0" fillId="5" borderId="0" xfId="1" applyNumberFormat="1" applyFont="1" applyFill="1"/>
    <xf numFmtId="167" fontId="0" fillId="7" borderId="0" xfId="1" applyNumberFormat="1" applyFont="1" applyFill="1"/>
    <xf numFmtId="167" fontId="4" fillId="0" borderId="0" xfId="1" applyNumberFormat="1" applyFont="1"/>
    <xf numFmtId="167" fontId="0" fillId="0" borderId="2" xfId="1" applyNumberFormat="1" applyFont="1" applyBorder="1"/>
    <xf numFmtId="167" fontId="0" fillId="0" borderId="3" xfId="1" applyNumberFormat="1" applyFont="1" applyBorder="1"/>
    <xf numFmtId="167" fontId="0" fillId="0" borderId="4" xfId="1" applyNumberFormat="1" applyFont="1" applyBorder="1"/>
    <xf numFmtId="167" fontId="0" fillId="0" borderId="10" xfId="1" applyNumberFormat="1" applyFont="1" applyBorder="1"/>
    <xf numFmtId="167" fontId="0" fillId="0" borderId="5" xfId="1" applyNumberFormat="1" applyFont="1" applyBorder="1"/>
    <xf numFmtId="167" fontId="0" fillId="0" borderId="0" xfId="1" applyNumberFormat="1" applyFont="1" applyBorder="1"/>
    <xf numFmtId="167" fontId="0" fillId="0" borderId="6" xfId="1" applyNumberFormat="1" applyFont="1" applyBorder="1"/>
    <xf numFmtId="167" fontId="0" fillId="0" borderId="11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167" fontId="0" fillId="0" borderId="9" xfId="1" applyNumberFormat="1" applyFont="1" applyBorder="1"/>
    <xf numFmtId="167" fontId="0" fillId="0" borderId="12" xfId="1" applyNumberFormat="1" applyFont="1" applyBorder="1"/>
    <xf numFmtId="167" fontId="0" fillId="0" borderId="13" xfId="1" applyNumberFormat="1" applyFont="1" applyBorder="1"/>
    <xf numFmtId="167" fontId="0" fillId="0" borderId="14" xfId="1" applyNumberFormat="1" applyFont="1" applyBorder="1"/>
    <xf numFmtId="167" fontId="0" fillId="0" borderId="15" xfId="1" applyNumberFormat="1" applyFont="1" applyBorder="1"/>
    <xf numFmtId="167" fontId="0" fillId="4" borderId="2" xfId="1" applyNumberFormat="1" applyFont="1" applyFill="1" applyBorder="1"/>
    <xf numFmtId="167" fontId="0" fillId="4" borderId="3" xfId="1" applyNumberFormat="1" applyFont="1" applyFill="1" applyBorder="1"/>
    <xf numFmtId="167" fontId="0" fillId="4" borderId="4" xfId="1" applyNumberFormat="1" applyFont="1" applyFill="1" applyBorder="1"/>
    <xf numFmtId="167" fontId="0" fillId="4" borderId="5" xfId="1" applyNumberFormat="1" applyFont="1" applyFill="1" applyBorder="1"/>
    <xf numFmtId="167" fontId="0" fillId="4" borderId="0" xfId="1" applyNumberFormat="1" applyFont="1" applyFill="1" applyBorder="1"/>
    <xf numFmtId="167" fontId="0" fillId="4" borderId="6" xfId="1" applyNumberFormat="1" applyFont="1" applyFill="1" applyBorder="1"/>
    <xf numFmtId="167" fontId="0" fillId="4" borderId="7" xfId="1" applyNumberFormat="1" applyFont="1" applyFill="1" applyBorder="1"/>
    <xf numFmtId="167" fontId="0" fillId="4" borderId="8" xfId="1" applyNumberFormat="1" applyFont="1" applyFill="1" applyBorder="1"/>
    <xf numFmtId="167" fontId="0" fillId="4" borderId="9" xfId="1" applyNumberFormat="1" applyFont="1" applyFill="1" applyBorder="1"/>
    <xf numFmtId="167" fontId="0" fillId="0" borderId="2" xfId="1" applyNumberFormat="1" applyFont="1" applyFill="1" applyBorder="1"/>
    <xf numFmtId="167" fontId="0" fillId="0" borderId="3" xfId="1" applyNumberFormat="1" applyFont="1" applyFill="1" applyBorder="1"/>
    <xf numFmtId="167" fontId="0" fillId="0" borderId="4" xfId="1" applyNumberFormat="1" applyFont="1" applyFill="1" applyBorder="1"/>
    <xf numFmtId="167" fontId="0" fillId="0" borderId="5" xfId="1" applyNumberFormat="1" applyFont="1" applyFill="1" applyBorder="1"/>
    <xf numFmtId="167" fontId="0" fillId="0" borderId="0" xfId="1" applyNumberFormat="1" applyFont="1" applyFill="1" applyBorder="1"/>
    <xf numFmtId="167" fontId="0" fillId="0" borderId="6" xfId="1" applyNumberFormat="1" applyFont="1" applyFill="1" applyBorder="1"/>
    <xf numFmtId="167" fontId="0" fillId="0" borderId="7" xfId="1" applyNumberFormat="1" applyFont="1" applyFill="1" applyBorder="1"/>
    <xf numFmtId="167" fontId="0" fillId="0" borderId="8" xfId="1" applyNumberFormat="1" applyFont="1" applyFill="1" applyBorder="1"/>
    <xf numFmtId="167" fontId="0" fillId="0" borderId="9" xfId="1" applyNumberFormat="1" applyFont="1" applyFill="1" applyBorder="1"/>
    <xf numFmtId="165" fontId="0" fillId="0" borderId="2" xfId="1" applyNumberFormat="1" applyFont="1" applyFill="1" applyBorder="1"/>
    <xf numFmtId="165" fontId="0" fillId="0" borderId="3" xfId="1" applyNumberFormat="1" applyFont="1" applyFill="1" applyBorder="1"/>
    <xf numFmtId="165" fontId="0" fillId="0" borderId="4" xfId="1" applyNumberFormat="1" applyFont="1" applyFill="1" applyBorder="1"/>
    <xf numFmtId="165" fontId="0" fillId="0" borderId="5" xfId="1" applyNumberFormat="1" applyFont="1" applyFill="1" applyBorder="1"/>
    <xf numFmtId="165" fontId="0" fillId="0" borderId="0" xfId="1" applyNumberFormat="1" applyFont="1" applyFill="1" applyBorder="1"/>
    <xf numFmtId="165" fontId="0" fillId="0" borderId="6" xfId="1" applyNumberFormat="1" applyFont="1" applyFill="1" applyBorder="1"/>
    <xf numFmtId="165" fontId="0" fillId="0" borderId="7" xfId="1" applyNumberFormat="1" applyFont="1" applyFill="1" applyBorder="1"/>
    <xf numFmtId="165" fontId="0" fillId="0" borderId="8" xfId="1" applyNumberFormat="1" applyFont="1" applyFill="1" applyBorder="1"/>
    <xf numFmtId="165" fontId="0" fillId="0" borderId="9" xfId="1" applyNumberFormat="1" applyFont="1" applyFill="1" applyBorder="1"/>
    <xf numFmtId="167" fontId="0" fillId="9" borderId="2" xfId="1" applyNumberFormat="1" applyFont="1" applyFill="1" applyBorder="1"/>
    <xf numFmtId="167" fontId="0" fillId="9" borderId="3" xfId="1" applyNumberFormat="1" applyFont="1" applyFill="1" applyBorder="1"/>
    <xf numFmtId="167" fontId="0" fillId="9" borderId="4" xfId="1" applyNumberFormat="1" applyFont="1" applyFill="1" applyBorder="1"/>
    <xf numFmtId="167" fontId="0" fillId="9" borderId="7" xfId="1" applyNumberFormat="1" applyFont="1" applyFill="1" applyBorder="1"/>
    <xf numFmtId="167" fontId="0" fillId="9" borderId="8" xfId="1" applyNumberFormat="1" applyFont="1" applyFill="1" applyBorder="1"/>
    <xf numFmtId="167" fontId="0" fillId="9" borderId="9" xfId="1" applyNumberFormat="1" applyFont="1" applyFill="1" applyBorder="1"/>
    <xf numFmtId="167" fontId="0" fillId="10" borderId="2" xfId="1" applyNumberFormat="1" applyFont="1" applyFill="1" applyBorder="1"/>
    <xf numFmtId="167" fontId="0" fillId="10" borderId="3" xfId="1" applyNumberFormat="1" applyFont="1" applyFill="1" applyBorder="1"/>
    <xf numFmtId="167" fontId="0" fillId="10" borderId="4" xfId="1" applyNumberFormat="1" applyFont="1" applyFill="1" applyBorder="1"/>
    <xf numFmtId="167" fontId="0" fillId="10" borderId="5" xfId="1" applyNumberFormat="1" applyFont="1" applyFill="1" applyBorder="1"/>
    <xf numFmtId="167" fontId="0" fillId="10" borderId="0" xfId="1" applyNumberFormat="1" applyFont="1" applyFill="1" applyBorder="1"/>
    <xf numFmtId="167" fontId="0" fillId="10" borderId="6" xfId="1" applyNumberFormat="1" applyFont="1" applyFill="1" applyBorder="1"/>
    <xf numFmtId="167" fontId="0" fillId="10" borderId="7" xfId="1" applyNumberFormat="1" applyFont="1" applyFill="1" applyBorder="1"/>
    <xf numFmtId="167" fontId="0" fillId="10" borderId="8" xfId="1" applyNumberFormat="1" applyFont="1" applyFill="1" applyBorder="1"/>
    <xf numFmtId="167" fontId="0" fillId="10" borderId="9" xfId="1" applyNumberFormat="1" applyFont="1" applyFill="1" applyBorder="1"/>
    <xf numFmtId="167" fontId="0" fillId="11" borderId="2" xfId="1" applyNumberFormat="1" applyFont="1" applyFill="1" applyBorder="1"/>
    <xf numFmtId="167" fontId="0" fillId="11" borderId="3" xfId="1" applyNumberFormat="1" applyFont="1" applyFill="1" applyBorder="1"/>
    <xf numFmtId="167" fontId="0" fillId="11" borderId="4" xfId="1" applyNumberFormat="1" applyFont="1" applyFill="1" applyBorder="1"/>
    <xf numFmtId="167" fontId="0" fillId="11" borderId="5" xfId="1" applyNumberFormat="1" applyFont="1" applyFill="1" applyBorder="1"/>
    <xf numFmtId="167" fontId="0" fillId="11" borderId="0" xfId="1" applyNumberFormat="1" applyFont="1" applyFill="1" applyBorder="1"/>
    <xf numFmtId="167" fontId="0" fillId="11" borderId="6" xfId="1" applyNumberFormat="1" applyFont="1" applyFill="1" applyBorder="1"/>
    <xf numFmtId="167" fontId="0" fillId="11" borderId="7" xfId="1" applyNumberFormat="1" applyFont="1" applyFill="1" applyBorder="1"/>
    <xf numFmtId="167" fontId="0" fillId="11" borderId="8" xfId="1" applyNumberFormat="1" applyFont="1" applyFill="1" applyBorder="1"/>
    <xf numFmtId="167" fontId="0" fillId="11" borderId="9" xfId="1" applyNumberFormat="1" applyFont="1" applyFill="1" applyBorder="1"/>
    <xf numFmtId="165" fontId="0" fillId="4" borderId="2" xfId="1" applyNumberFormat="1" applyFont="1" applyFill="1" applyBorder="1"/>
    <xf numFmtId="165" fontId="0" fillId="4" borderId="3" xfId="1" applyNumberFormat="1" applyFont="1" applyFill="1" applyBorder="1"/>
    <xf numFmtId="165" fontId="0" fillId="4" borderId="4" xfId="1" applyNumberFormat="1" applyFont="1" applyFill="1" applyBorder="1"/>
    <xf numFmtId="165" fontId="0" fillId="4" borderId="5" xfId="1" applyNumberFormat="1" applyFont="1" applyFill="1" applyBorder="1"/>
    <xf numFmtId="165" fontId="0" fillId="4" borderId="0" xfId="1" applyNumberFormat="1" applyFont="1" applyFill="1" applyBorder="1"/>
    <xf numFmtId="165" fontId="0" fillId="4" borderId="6" xfId="1" applyNumberFormat="1" applyFont="1" applyFill="1" applyBorder="1"/>
    <xf numFmtId="165" fontId="0" fillId="4" borderId="7" xfId="1" applyNumberFormat="1" applyFont="1" applyFill="1" applyBorder="1"/>
    <xf numFmtId="165" fontId="0" fillId="4" borderId="8" xfId="1" applyNumberFormat="1" applyFont="1" applyFill="1" applyBorder="1"/>
    <xf numFmtId="165" fontId="0" fillId="4" borderId="9" xfId="1" applyNumberFormat="1" applyFont="1" applyFill="1" applyBorder="1"/>
    <xf numFmtId="167" fontId="2" fillId="0" borderId="0" xfId="1" applyNumberFormat="1" applyFont="1"/>
    <xf numFmtId="43" fontId="0" fillId="0" borderId="1" xfId="1" applyNumberFormat="1" applyFont="1" applyBorder="1"/>
    <xf numFmtId="11" fontId="0" fillId="5" borderId="1" xfId="1" applyNumberFormat="1" applyFont="1" applyFill="1" applyBorder="1"/>
    <xf numFmtId="9" fontId="0" fillId="0" borderId="1" xfId="2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EE</a:t>
            </a:r>
            <a:r>
              <a:rPr lang="en-US" baseline="0"/>
              <a:t> Mix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'Multi-prod - Planning'!$P$7</c:f>
              <c:strCache>
                <c:ptCount val="1"/>
                <c:pt idx="0">
                  <c:v> Solar PV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'Multi-prod - Planning'!$P$24:$P$33</c:f>
              <c:numCache>
                <c:formatCode>_-* #,##0.0_-;\-* #,##0.0_-;_-* "-"??_-;_-@_-</c:formatCode>
                <c:ptCount val="10"/>
                <c:pt idx="0">
                  <c:v>45</c:v>
                </c:pt>
                <c:pt idx="1">
                  <c:v>43.5</c:v>
                </c:pt>
                <c:pt idx="2">
                  <c:v>51.458570999999999</c:v>
                </c:pt>
                <c:pt idx="3">
                  <c:v>72.958571000000006</c:v>
                </c:pt>
                <c:pt idx="4">
                  <c:v>82.958571000000006</c:v>
                </c:pt>
                <c:pt idx="5">
                  <c:v>81.458571000000006</c:v>
                </c:pt>
                <c:pt idx="6">
                  <c:v>91.458571000000006</c:v>
                </c:pt>
                <c:pt idx="7">
                  <c:v>101.45856999999999</c:v>
                </c:pt>
                <c:pt idx="8">
                  <c:v>111.45856999999999</c:v>
                </c:pt>
                <c:pt idx="9">
                  <c:v>121.45856999999999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DE-4512-8370-FA388CD65929}"/>
            </c:ext>
          </c:extLst>
        </c:ser>
        <c:ser>
          <c:idx val="1"/>
          <c:order val="1"/>
          <c:tx>
            <c:strRef>
              <c:f>'Multi-prod - Planning'!$Q$7</c:f>
              <c:strCache>
                <c:ptCount val="1"/>
                <c:pt idx="0">
                  <c:v> CCGT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'Multi-prod - Planning'!$Q$24:$Q$33</c:f>
              <c:numCache>
                <c:formatCode>_-* #,##0.0_-;\-* #,##0.0_-;_-* "-"??_-;_-@_-</c:formatCode>
                <c:ptCount val="10"/>
                <c:pt idx="0">
                  <c:v>8.5714286000000008</c:v>
                </c:pt>
                <c:pt idx="1">
                  <c:v>8.5714286000000008</c:v>
                </c:pt>
                <c:pt idx="2">
                  <c:v>8.5714286000000008</c:v>
                </c:pt>
                <c:pt idx="3">
                  <c:v>8.5714286000000008</c:v>
                </c:pt>
                <c:pt idx="4">
                  <c:v>8.5714286000000008</c:v>
                </c:pt>
                <c:pt idx="5">
                  <c:v>8.5714286000000008</c:v>
                </c:pt>
                <c:pt idx="6">
                  <c:v>8.5714286000000008</c:v>
                </c:pt>
                <c:pt idx="7">
                  <c:v>8.5714286000000008</c:v>
                </c:pt>
                <c:pt idx="8">
                  <c:v>8.5714286000000008</c:v>
                </c:pt>
                <c:pt idx="9">
                  <c:v>8.5714286000000008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DE-4512-8370-FA388CD65929}"/>
            </c:ext>
          </c:extLst>
        </c:ser>
        <c:ser>
          <c:idx val="2"/>
          <c:order val="2"/>
          <c:tx>
            <c:strRef>
              <c:f>'Multi-prod - Planning'!$R$7</c:f>
              <c:strCache>
                <c:ptCount val="1"/>
                <c:pt idx="0">
                  <c:v> Import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'Multi-prod - Planning'!$R$24:$R$33</c:f>
              <c:numCache>
                <c:formatCode>_-* #,##0.0_-;\-* #,##0.0_-;_-* "-"??_-;_-@_-</c:formatCode>
                <c:ptCount val="10"/>
                <c:pt idx="0">
                  <c:v>16.445015999999999</c:v>
                </c:pt>
                <c:pt idx="1">
                  <c:v>27.956527999999999</c:v>
                </c:pt>
                <c:pt idx="2">
                  <c:v>30</c:v>
                </c:pt>
                <c:pt idx="3">
                  <c:v>18.488488</c:v>
                </c:pt>
                <c:pt idx="4">
                  <c:v>18.488488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DE-4512-8370-FA388CD6592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68273583"/>
        <c:axId val="1368277423"/>
      </c:barChart>
      <c:catAx>
        <c:axId val="13682735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277423"/>
        <c:crosses val="autoZero"/>
        <c:auto val="1"/>
        <c:lblAlgn val="ctr"/>
        <c:lblOffset val="100"/>
        <c:noMultiLvlLbl val="0"/>
      </c:catAx>
      <c:valAx>
        <c:axId val="1368277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273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35</xdr:col>
      <xdr:colOff>373111</xdr:colOff>
      <xdr:row>25</xdr:row>
      <xdr:rowOff>79758</xdr:rowOff>
    </xdr:from>
    <xdr:to>
      <xdr:col>51</xdr:col>
      <xdr:colOff>45592</xdr:colOff>
      <xdr:row>41</xdr:row>
      <xdr:rowOff>2028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629E8F-20BF-4906-AF2B-1A0D91B10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06996" y="4659085"/>
          <a:ext cx="7578231" cy="2853039"/>
        </a:xfrm>
        <a:prstGeom prst="rect">
          <a:avLst/>
        </a:prstGeom>
      </xdr:spPr>
    </xdr:pic>
    <xdr:clientData/>
  </xdr:twoCellAnchor>
  <xdr:twoCellAnchor>
    <xdr:from>
      <xdr:col>36</xdr:col>
      <xdr:colOff>106765</xdr:colOff>
      <xdr:row>43</xdr:row>
      <xdr:rowOff>153866</xdr:rowOff>
    </xdr:from>
    <xdr:to>
      <xdr:col>50</xdr:col>
      <xdr:colOff>377114</xdr:colOff>
      <xdr:row>57</xdr:row>
      <xdr:rowOff>153866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32B85ED-24F2-4FA5-8805-D788B2DC6299}"/>
            </a:ext>
          </a:extLst>
        </xdr:cNvPr>
        <xdr:cNvSpPr txBox="1"/>
      </xdr:nvSpPr>
      <xdr:spPr>
        <a:xfrm>
          <a:off x="16848784" y="8030308"/>
          <a:ext cx="6959830" cy="25644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000" b="1"/>
            <a:t>General co-product management in</a:t>
          </a:r>
          <a:r>
            <a:rPr lang="it-IT" sz="1000" b="1" baseline="0"/>
            <a:t> a supply-use</a:t>
          </a:r>
          <a:r>
            <a:rPr lang="it-IT" sz="1000" b="1"/>
            <a:t> system with mixed recruitment</a:t>
          </a:r>
        </a:p>
        <a:p>
          <a:endParaRPr lang="it-IT" sz="1000" b="1"/>
        </a:p>
        <a:p>
          <a:r>
            <a:rPr lang="it-IT" sz="1000" b="0"/>
            <a:t>The</a:t>
          </a:r>
          <a:r>
            <a:rPr lang="it-IT" sz="1000" b="0" baseline="0"/>
            <a:t> model shows how to handle different types of technologies supplying one or multiple products.</a:t>
          </a:r>
        </a:p>
        <a:p>
          <a:endParaRPr lang="it-IT" sz="1000" b="0" baseline="0"/>
        </a:p>
        <a:p>
          <a:r>
            <a:rPr lang="it-IT" sz="1000" b="1" baseline="0"/>
            <a:t>Single-product technologies </a:t>
          </a:r>
          <a:r>
            <a:rPr lang="it-IT" sz="1000" b="0" baseline="0"/>
            <a:t>provide one unique useful product (e.g. the </a:t>
          </a:r>
          <a:r>
            <a:rPr lang="it-IT" sz="1000" b="0" i="1" baseline="0"/>
            <a:t>boiler</a:t>
          </a:r>
          <a:r>
            <a:rPr lang="it-IT" sz="1000" b="0" baseline="0"/>
            <a:t> in this example)</a:t>
          </a:r>
        </a:p>
        <a:p>
          <a:r>
            <a:rPr lang="it-IT" sz="1000" b="1" baseline="0"/>
            <a:t>Multi-product technoliges </a:t>
          </a:r>
          <a:r>
            <a:rPr lang="it-IT" sz="1000" b="0" baseline="0"/>
            <a:t>provide multiple useful products: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it-IT" sz="1000" b="0" baseline="0"/>
            <a:t>a primary product as the main output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it-IT" sz="1000" b="0" baseline="0"/>
            <a:t>secondary products, which may be independent on the primary (</a:t>
          </a:r>
          <a:r>
            <a:rPr lang="it-IT" sz="1000" b="1" baseline="0"/>
            <a:t>subisidary products</a:t>
          </a:r>
          <a:r>
            <a:rPr lang="it-IT" sz="1000" b="0" baseline="0"/>
            <a:t>, e.g. </a:t>
          </a:r>
          <a:r>
            <a:rPr lang="it-IT" sz="1000" b="0" i="1" baseline="0"/>
            <a:t>industry </a:t>
          </a:r>
          <a:r>
            <a:rPr lang="it-IT" sz="1000" b="0" i="0" baseline="0"/>
            <a:t>supplying </a:t>
          </a:r>
          <a:r>
            <a:rPr lang="it-IT" sz="1000" b="0" i="1" baseline="0"/>
            <a:t>product A </a:t>
          </a:r>
          <a:r>
            <a:rPr lang="it-IT" sz="1000" b="0" i="0" baseline="0"/>
            <a:t>and </a:t>
          </a:r>
          <a:r>
            <a:rPr lang="it-IT" sz="1000" b="0" i="1" baseline="0"/>
            <a:t>product B</a:t>
          </a:r>
          <a:r>
            <a:rPr lang="it-IT" sz="1000" b="0" baseline="0"/>
            <a:t>)</a:t>
          </a:r>
          <a:r>
            <a:rPr lang="it-IT" sz="1000" b="0" i="1" baseline="0"/>
            <a:t> </a:t>
          </a:r>
          <a:r>
            <a:rPr lang="it-IT" sz="1000" b="0" i="0" baseline="0"/>
            <a:t>or dependent on the primary product. These may be classified as:</a:t>
          </a:r>
        </a:p>
        <a:p>
          <a:pPr marL="288000" indent="-171450">
            <a:buFont typeface="Wingdings" panose="05000000000000000000" pitchFamily="2" charset="2"/>
            <a:buChar char="Ø"/>
          </a:pPr>
          <a:r>
            <a:rPr lang="it-IT" sz="1000" b="1" i="0" baseline="0"/>
            <a:t>by-products</a:t>
          </a:r>
          <a:r>
            <a:rPr lang="it-IT" sz="1000" b="0" i="0" baseline="0"/>
            <a:t>, in case another technology produces them as primary (</a:t>
          </a:r>
          <a:r>
            <a:rPr lang="it-IT" sz="1000" b="0" i="1" baseline="0"/>
            <a:t>electricity</a:t>
          </a:r>
          <a:r>
            <a:rPr lang="it-IT" sz="1000" b="0" i="0" baseline="0"/>
            <a:t> for the </a:t>
          </a:r>
          <a:r>
            <a:rPr lang="it-IT" sz="1000" b="0" i="1" baseline="0"/>
            <a:t>chp engine</a:t>
          </a:r>
          <a:r>
            <a:rPr lang="it-IT" sz="1000" b="0" i="0" baseline="0"/>
            <a:t>, since </a:t>
          </a:r>
          <a:r>
            <a:rPr lang="it-IT" sz="1000" b="0" i="1" baseline="0"/>
            <a:t>electricity</a:t>
          </a:r>
          <a:r>
            <a:rPr lang="it-IT" sz="1000" b="0" i="0" baseline="0"/>
            <a:t> is supplied as primary by the </a:t>
          </a:r>
          <a:r>
            <a:rPr lang="it-IT" sz="1000" b="0" i="1" baseline="0"/>
            <a:t>pv plant</a:t>
          </a:r>
          <a:r>
            <a:rPr lang="it-IT" sz="1000" b="0" i="0" baseline="0"/>
            <a:t>)</a:t>
          </a:r>
        </a:p>
        <a:p>
          <a:pPr marL="288000" indent="-171450">
            <a:buFont typeface="Wingdings" panose="05000000000000000000" pitchFamily="2" charset="2"/>
            <a:buChar char="Ø"/>
          </a:pPr>
          <a:r>
            <a:rPr lang="it-IT" sz="1000" b="1" i="0" baseline="0"/>
            <a:t>joint-products</a:t>
          </a:r>
          <a:r>
            <a:rPr lang="it-IT" sz="1000" b="0" i="0" baseline="0"/>
            <a:t>, in case they are not the primary product of any other technology (e.g. </a:t>
          </a:r>
          <a:r>
            <a:rPr lang="it-IT" sz="1000" b="0" i="1" baseline="0"/>
            <a:t>fuel A </a:t>
          </a:r>
          <a:r>
            <a:rPr lang="it-IT" sz="1000" b="0" i="0" baseline="0"/>
            <a:t>and </a:t>
          </a:r>
          <a:r>
            <a:rPr lang="it-IT" sz="1000" b="0" i="1" baseline="0"/>
            <a:t>fuel B</a:t>
          </a:r>
          <a:r>
            <a:rPr lang="it-IT" sz="1000" b="0" i="0" baseline="0"/>
            <a:t> are supplied only by </a:t>
          </a:r>
          <a:r>
            <a:rPr lang="it-IT" sz="1000" b="0" i="1" baseline="0"/>
            <a:t>oil refinery</a:t>
          </a:r>
          <a:r>
            <a:rPr lang="it-IT" sz="1000" b="0" i="0" baseline="0"/>
            <a:t>). </a:t>
          </a:r>
        </a:p>
        <a:p>
          <a:pPr marL="0" indent="0">
            <a:buFont typeface="Wingdings" panose="05000000000000000000" pitchFamily="2" charset="2"/>
            <a:buNone/>
          </a:pPr>
          <a:endParaRPr lang="it-IT" sz="1000" b="1" i="1" baseline="0"/>
        </a:p>
        <a:p>
          <a:pPr marL="0" indent="0">
            <a:buFont typeface="Wingdings" panose="05000000000000000000" pitchFamily="2" charset="2"/>
            <a:buNone/>
          </a:pPr>
          <a:r>
            <a:rPr lang="it-IT" sz="1000" b="0" i="0" baseline="0"/>
            <a:t>Starting from a supply-use table it is possible to arrange a model allowing to account for </a:t>
          </a:r>
          <a:r>
            <a:rPr lang="it-IT" sz="1000" b="1" i="0" baseline="0"/>
            <a:t>hybrid technology assumptions</a:t>
          </a:r>
          <a:r>
            <a:rPr lang="it-IT" sz="1000" b="0" i="0" baseline="0"/>
            <a:t>: 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it-IT" sz="1000" b="1" i="0" baseline="0"/>
            <a:t>Industry-based technology assumption (it)</a:t>
          </a:r>
          <a:r>
            <a:rPr lang="it-IT" sz="1000" b="0" i="0" baseline="0"/>
            <a:t>: each product is produced by technologies with fixed shares. </a:t>
          </a:r>
          <a:r>
            <a:rPr lang="it-IT" sz="1000" b="0" i="0" u="none" baseline="0"/>
            <a:t>Every time a product is delivered for intermediate or final use, technologies are activated in proportion with values in columns of market share matrix 𝐝 (e.g. </a:t>
          </a:r>
          <a:r>
            <a:rPr lang="it-IT" sz="1000" b="0" i="1" u="none" baseline="0"/>
            <a:t>industry</a:t>
          </a:r>
          <a:r>
            <a:rPr lang="it-IT" sz="1000" b="0" i="0" u="none" baseline="0"/>
            <a:t>).  </a:t>
          </a:r>
          <a:endParaRPr lang="it-IT" sz="1000" b="0" i="0" baseline="0"/>
        </a:p>
        <a:p>
          <a:pPr marL="171450" indent="-171450">
            <a:buFont typeface="Arial" panose="020B0604020202020204" pitchFamily="34" charset="0"/>
            <a:buChar char="•"/>
          </a:pPr>
          <a:r>
            <a:rPr lang="it-IT" sz="1000" b="1" i="0" baseline="0"/>
            <a:t>Product-based technology assumption (pt)</a:t>
          </a:r>
          <a:r>
            <a:rPr lang="it-IT" sz="1000" b="0" i="0" baseline="0"/>
            <a:t>: every technology supplies a fixed mix of products. Every time a tecnology is activated, it produces a mix of products with a sharte in columns of the product mix matrix </a:t>
          </a:r>
          <a:r>
            <a:rPr lang="it-IT" sz="1000" b="1" i="0" baseline="0"/>
            <a:t>c </a:t>
          </a:r>
          <a:r>
            <a:rPr lang="it-IT" sz="1000" b="0" i="0" baseline="0"/>
            <a:t>(i.e the </a:t>
          </a:r>
          <a:r>
            <a:rPr lang="it-IT" sz="1000" b="0" i="1" baseline="0"/>
            <a:t>oil refinery </a:t>
          </a:r>
          <a:r>
            <a:rPr lang="it-IT" sz="1000" b="0" i="0" baseline="0"/>
            <a:t>and </a:t>
          </a:r>
          <a:r>
            <a:rPr lang="it-IT" sz="1000" b="0" i="1" baseline="0"/>
            <a:t>chp engine</a:t>
          </a:r>
          <a:r>
            <a:rPr lang="it-IT" sz="1000" b="0" i="0" baseline="0"/>
            <a:t>). </a:t>
          </a:r>
        </a:p>
        <a:p>
          <a:pPr marL="0" indent="0">
            <a:buFont typeface="Arial" panose="020B0604020202020204" pitchFamily="34" charset="0"/>
            <a:buNone/>
          </a:pPr>
          <a:r>
            <a:rPr lang="it-IT" sz="1000" b="1" i="0" baseline="0"/>
            <a:t>Single-product technologies </a:t>
          </a:r>
          <a:r>
            <a:rPr lang="it-IT" sz="1000" b="0" i="0" baseline="0"/>
            <a:t>can be alternatively represented under any of these assumptions.</a:t>
          </a:r>
          <a:endParaRPr lang="it-IT" sz="1000" b="1" i="0" baseline="0"/>
        </a:p>
        <a:p>
          <a:endParaRPr lang="it-IT" sz="1000" b="0" i="1" baseline="0"/>
        </a:p>
        <a:p>
          <a:endParaRPr lang="it-IT" sz="1000" b="1" baseline="0"/>
        </a:p>
      </xdr:txBody>
    </xdr:sp>
    <xdr:clientData/>
  </xdr:twoCellAnchor>
  <xdr:twoCellAnchor>
    <xdr:from>
      <xdr:col>5</xdr:col>
      <xdr:colOff>309630</xdr:colOff>
      <xdr:row>8</xdr:row>
      <xdr:rowOff>77719</xdr:rowOff>
    </xdr:from>
    <xdr:to>
      <xdr:col>12</xdr:col>
      <xdr:colOff>5107</xdr:colOff>
      <xdr:row>13</xdr:row>
      <xdr:rowOff>160545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C4C3441-F673-9EEE-781D-3166306BEA62}"/>
            </a:ext>
          </a:extLst>
        </xdr:cNvPr>
        <xdr:cNvSpPr txBox="1"/>
      </xdr:nvSpPr>
      <xdr:spPr>
        <a:xfrm>
          <a:off x="3225108" y="1171023"/>
          <a:ext cx="2221673" cy="99391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1"/>
            <a:t>Product-based</a:t>
          </a:r>
          <a:r>
            <a:rPr lang="en-US" sz="800" b="1" baseline="0"/>
            <a:t> Assumption</a:t>
          </a:r>
          <a:endParaRPr lang="en-US" sz="800" b="1"/>
        </a:p>
        <a:p>
          <a:r>
            <a:rPr lang="en-US" sz="800"/>
            <a:t>joint</a:t>
          </a:r>
          <a:r>
            <a:rPr lang="en-US" sz="800" baseline="0"/>
            <a:t>- and by-products are linked to the production of the main product. Therfore, a product-based assumption is preferred.</a:t>
          </a:r>
        </a:p>
        <a:p>
          <a:endParaRPr lang="en-US" sz="800" baseline="0"/>
        </a:p>
        <a:p>
          <a:r>
            <a:rPr lang="en-US" sz="800" baseline="0"/>
            <a:t>By doing that, any time I activate that tech, it will produce with a given product-mix!</a:t>
          </a:r>
          <a:endParaRPr lang="en-US" sz="800"/>
        </a:p>
      </xdr:txBody>
    </xdr:sp>
    <xdr:clientData/>
  </xdr:twoCellAnchor>
  <xdr:twoCellAnchor>
    <xdr:from>
      <xdr:col>13</xdr:col>
      <xdr:colOff>240195</xdr:colOff>
      <xdr:row>15</xdr:row>
      <xdr:rowOff>91110</xdr:rowOff>
    </xdr:from>
    <xdr:to>
      <xdr:col>22</xdr:col>
      <xdr:colOff>109607</xdr:colOff>
      <xdr:row>20</xdr:row>
      <xdr:rowOff>180286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C880E6E-491D-47A4-86EC-02256A84BD60}"/>
            </a:ext>
          </a:extLst>
        </xdr:cNvPr>
        <xdr:cNvSpPr txBox="1"/>
      </xdr:nvSpPr>
      <xdr:spPr>
        <a:xfrm>
          <a:off x="5913782" y="2459936"/>
          <a:ext cx="2221673" cy="100026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1"/>
            <a:t>Industry-based</a:t>
          </a:r>
          <a:r>
            <a:rPr lang="en-US" sz="800" b="1" baseline="0"/>
            <a:t> Assumption</a:t>
          </a:r>
          <a:endParaRPr lang="en-US" sz="800" b="1"/>
        </a:p>
        <a:p>
          <a:r>
            <a:rPr lang="en-US" sz="800"/>
            <a:t>Subsidary products</a:t>
          </a:r>
          <a:r>
            <a:rPr lang="en-US" sz="800" baseline="0"/>
            <a:t> are independent! It implies that once a tech is activated, any co-product can be released without fixed shares!  By contrary, in case the same product is delivered by other tech, each tech will be activated to keep the same technology-mix (i.e. market-share).</a:t>
          </a:r>
        </a:p>
      </xdr:txBody>
    </xdr:sp>
    <xdr:clientData/>
  </xdr:twoCellAnchor>
  <xdr:twoCellAnchor>
    <xdr:from>
      <xdr:col>16</xdr:col>
      <xdr:colOff>247252</xdr:colOff>
      <xdr:row>41</xdr:row>
      <xdr:rowOff>155179</xdr:rowOff>
    </xdr:from>
    <xdr:to>
      <xdr:col>33</xdr:col>
      <xdr:colOff>178990</xdr:colOff>
      <xdr:row>51</xdr:row>
      <xdr:rowOff>131885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4303826-BA68-2DA6-80D3-A76445220026}"/>
            </a:ext>
          </a:extLst>
        </xdr:cNvPr>
        <xdr:cNvSpPr txBox="1"/>
      </xdr:nvSpPr>
      <xdr:spPr>
        <a:xfrm>
          <a:off x="8658560" y="7665275"/>
          <a:ext cx="6906968" cy="18084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Rational</a:t>
          </a:r>
          <a:endParaRPr lang="en-US" sz="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Generally, if</a:t>
          </a:r>
          <a:r>
            <a:rPr lang="en-US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 != t, the system</a:t>
          </a:r>
          <a:r>
            <a:rPr lang="en-US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could be</a:t>
          </a:r>
          <a:r>
            <a:rPr lang="en-US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either</a:t>
          </a:r>
          <a:r>
            <a:rPr lang="en-US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infeasible, or</a:t>
          </a:r>
          <a:r>
            <a:rPr lang="en-US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with unlimited solutions. Since we have more product demand categories than activities, for a given set of final demand the problem will likely be unbalanced (more constraints conflict!), leading to infeasibility. </a:t>
          </a:r>
        </a:p>
        <a:p>
          <a:endParaRPr lang="en-US" sz="800">
            <a:effectLst/>
          </a:endParaRPr>
        </a:p>
        <a:p>
          <a:r>
            <a:rPr lang="en-US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However, it could happen that a given set of final product demands (Y_tot) match the existing constraints. In these cases, some constraints would turn out to be redoundand, making the unique solution possible. The choice of Y_tot makes the exceeding equations (i.e. constraint) a linear combination of other equations, leading to #eq = #variables</a:t>
          </a:r>
        </a:p>
        <a:p>
          <a:endParaRPr lang="en-US" sz="800">
            <a:effectLst/>
          </a:endParaRPr>
        </a:p>
        <a:p>
          <a:r>
            <a:rPr lang="en-US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 This is why, by randomly choosing Y_tot it is extremely unlike to have feasible solution. However, when leaving the system choose the values of Y_tot to find a feasible solution, it would always lead to a solution: the closest, according to the first guest for each decision variable.</a:t>
          </a:r>
          <a:endParaRPr lang="en-US" sz="800">
            <a:effectLst/>
          </a:endParaRPr>
        </a:p>
        <a:p>
          <a:endParaRPr lang="en-US" sz="800"/>
        </a:p>
      </xdr:txBody>
    </xdr:sp>
    <xdr:clientData/>
  </xdr:twoCellAnchor>
  <xdr:twoCellAnchor>
    <xdr:from>
      <xdr:col>13</xdr:col>
      <xdr:colOff>56355</xdr:colOff>
      <xdr:row>43</xdr:row>
      <xdr:rowOff>26986</xdr:rowOff>
    </xdr:from>
    <xdr:to>
      <xdr:col>29</xdr:col>
      <xdr:colOff>68262</xdr:colOff>
      <xdr:row>51</xdr:row>
      <xdr:rowOff>73269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9203133-A245-766B-5834-8F518E7B50F5}"/>
            </a:ext>
          </a:extLst>
        </xdr:cNvPr>
        <xdr:cNvSpPr txBox="1"/>
      </xdr:nvSpPr>
      <xdr:spPr>
        <a:xfrm>
          <a:off x="7251393" y="7903428"/>
          <a:ext cx="6825946" cy="15116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1"/>
            <a:t>1) Rational</a:t>
          </a:r>
        </a:p>
        <a:p>
          <a:endParaRPr lang="en-US" sz="800"/>
        </a:p>
        <a:p>
          <a:r>
            <a:rPr lang="en-US" sz="800"/>
            <a:t>Being the</a:t>
          </a:r>
          <a:r>
            <a:rPr lang="en-US" sz="800" baseline="0"/>
            <a:t> product-mix matrix (c)</a:t>
          </a:r>
          <a:r>
            <a:rPr lang="en-US" sz="800"/>
            <a:t> singular</a:t>
          </a:r>
          <a:r>
            <a:rPr lang="en-US" sz="800" baseline="0"/>
            <a:t> (i.e. it can't be inverted), the problem doesn't have a unique solution. The criticality is summarized by the following:</a:t>
          </a:r>
          <a:br>
            <a:rPr lang="en-US" sz="800" baseline="0"/>
          </a:br>
          <a:endParaRPr lang="en-US" sz="800" baseline="0"/>
        </a:p>
        <a:p>
          <a:r>
            <a:rPr lang="en-US" sz="800" baseline="0"/>
            <a:t>Q = cX</a:t>
          </a:r>
        </a:p>
        <a:p>
          <a:r>
            <a:rPr lang="en-US" sz="800" baseline="0"/>
            <a:t>+</a:t>
          </a:r>
        </a:p>
        <a:p>
          <a:r>
            <a:rPr lang="en-US" sz="800" baseline="0"/>
            <a:t>Q = uX + Y_tot</a:t>
          </a:r>
        </a:p>
        <a:p>
          <a:endParaRPr lang="en-US" sz="800" baseline="0"/>
        </a:p>
        <a:p>
          <a:r>
            <a:rPr lang="en-US" sz="800" baseline="0"/>
            <a:t>--&gt; (c-u)X = Y_tot</a:t>
          </a:r>
        </a:p>
        <a:p>
          <a:endParaRPr lang="en-US" sz="800" baseline="0"/>
        </a:p>
        <a:p>
          <a:r>
            <a:rPr lang="en-US" sz="800" baseline="0"/>
            <a:t>where X(t,1), Y_tot(p,1), [c-u](p,t), with p &gt; t, making [c-u] singular! Equations are more than variables = overconstrained system (likely no solutions available).</a:t>
          </a:r>
        </a:p>
      </xdr:txBody>
    </xdr:sp>
    <xdr:clientData/>
  </xdr:twoCellAnchor>
  <xdr:twoCellAnchor>
    <xdr:from>
      <xdr:col>5</xdr:col>
      <xdr:colOff>582222</xdr:colOff>
      <xdr:row>39</xdr:row>
      <xdr:rowOff>112004</xdr:rowOff>
    </xdr:from>
    <xdr:to>
      <xdr:col>12</xdr:col>
      <xdr:colOff>284049</xdr:colOff>
      <xdr:row>51</xdr:row>
      <xdr:rowOff>33948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896225B-8AD3-4039-9712-681D102D4C0D}"/>
            </a:ext>
          </a:extLst>
        </xdr:cNvPr>
        <xdr:cNvSpPr txBox="1"/>
      </xdr:nvSpPr>
      <xdr:spPr>
        <a:xfrm>
          <a:off x="3491010" y="7255754"/>
          <a:ext cx="3651039" cy="212002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1"/>
            <a:t>0) Mixing</a:t>
          </a:r>
          <a:r>
            <a:rPr lang="en-US" sz="800" b="1" baseline="0"/>
            <a:t> assumptions: effects</a:t>
          </a:r>
          <a:endParaRPr lang="en-US" sz="800" b="1"/>
        </a:p>
        <a:p>
          <a:r>
            <a:rPr lang="en-US" sz="800" baseline="0"/>
            <a:t>By using a product-mix matrix (c) singular (i.e. not invertible), I can't make the explicit comutation of X_pt. Instead, I can compute Q_pt = c*X_pt because I don't need to use c^-1</a:t>
          </a:r>
        </a:p>
        <a:p>
          <a:endParaRPr lang="en-US" sz="800" baseline="0"/>
        </a:p>
        <a:p>
          <a:r>
            <a:rPr lang="en-US" sz="800" baseline="0"/>
            <a:t>Therefore, instead of make both essential balances (technology-based equations + energy balance) explicit by allowing the direct computation of X = (I - u*v)Y_tot, I (making t-equations sufficient), I need to get the same output by using (t-m)-equations like X_it = d*Q_it, plus (p-n)-equations like Q_pt = c*X_pt. </a:t>
          </a:r>
          <a:br>
            <a:rPr lang="en-US" sz="800" baseline="0"/>
          </a:br>
          <a:endParaRPr lang="en-US" sz="800" baseline="0"/>
        </a:p>
        <a:p>
          <a:r>
            <a:rPr lang="en-US" sz="800" baseline="0"/>
            <a:t>Still I need no more than (t-m)+(p-n) = t equations to make my system feasible with unique solution ==&gt; m = p-n (indeed, in this example I made m=3, and n=3)</a:t>
          </a:r>
        </a:p>
        <a:p>
          <a:endParaRPr lang="en-US" sz="800" baseline="0"/>
        </a:p>
        <a:p>
          <a:r>
            <a:rPr lang="en-US" sz="800" baseline="0"/>
            <a:t>Then, I need to couple these t-equations (ruling the technology-based constraints) with the energy balances, for which we need p-equations (indeed, this is the reason why we have balances on the right)</a:t>
          </a:r>
          <a:endParaRPr lang="en-US" sz="800"/>
        </a:p>
      </xdr:txBody>
    </xdr:sp>
    <xdr:clientData/>
  </xdr:twoCellAnchor>
  <xdr:twoCellAnchor>
    <xdr:from>
      <xdr:col>27</xdr:col>
      <xdr:colOff>517555</xdr:colOff>
      <xdr:row>26</xdr:row>
      <xdr:rowOff>99860</xdr:rowOff>
    </xdr:from>
    <xdr:to>
      <xdr:col>32</xdr:col>
      <xdr:colOff>197826</xdr:colOff>
      <xdr:row>31</xdr:row>
      <xdr:rowOff>58616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499358E-088C-9CF6-F59B-EFB62B5108A5}"/>
            </a:ext>
          </a:extLst>
        </xdr:cNvPr>
        <xdr:cNvSpPr txBox="1"/>
      </xdr:nvSpPr>
      <xdr:spPr>
        <a:xfrm>
          <a:off x="14240882" y="4862360"/>
          <a:ext cx="1665867" cy="8746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1"/>
            <a:t>Needed p-</a:t>
          </a:r>
          <a:r>
            <a:rPr lang="en-US" sz="800" b="1" baseline="0"/>
            <a:t>equations</a:t>
          </a:r>
          <a:endParaRPr lang="en-US" sz="800" b="1"/>
        </a:p>
        <a:p>
          <a:endParaRPr lang="en-US" sz="800"/>
        </a:p>
        <a:p>
          <a:r>
            <a:rPr lang="en-US" sz="800"/>
            <a:t>To</a:t>
          </a:r>
          <a:r>
            <a:rPr lang="en-US" sz="800" baseline="0"/>
            <a:t> solve it, I need to set a ficticious objective function. Therefore, I leave 1 (out of p) equation to make it solved by the OF</a:t>
          </a:r>
          <a:endParaRPr lang="en-US" sz="800"/>
        </a:p>
      </xdr:txBody>
    </xdr:sp>
    <xdr:clientData/>
  </xdr:twoCellAnchor>
  <xdr:twoCellAnchor>
    <xdr:from>
      <xdr:col>27</xdr:col>
      <xdr:colOff>559594</xdr:colOff>
      <xdr:row>34</xdr:row>
      <xdr:rowOff>5006</xdr:rowOff>
    </xdr:from>
    <xdr:to>
      <xdr:col>33</xdr:col>
      <xdr:colOff>209702</xdr:colOff>
      <xdr:row>38</xdr:row>
      <xdr:rowOff>62768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CB4A6B7-47A1-488D-8DB4-39662391E925}"/>
            </a:ext>
          </a:extLst>
        </xdr:cNvPr>
        <xdr:cNvSpPr txBox="1"/>
      </xdr:nvSpPr>
      <xdr:spPr>
        <a:xfrm>
          <a:off x="14282921" y="6232891"/>
          <a:ext cx="1980069" cy="7904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1"/>
            <a:t>Check</a:t>
          </a:r>
        </a:p>
        <a:p>
          <a:endParaRPr lang="en-US" sz="800"/>
        </a:p>
        <a:p>
          <a:r>
            <a:rPr lang="en-US" sz="800"/>
            <a:t>If</a:t>
          </a:r>
          <a:r>
            <a:rPr lang="en-US" sz="800" baseline="0"/>
            <a:t> the problem is consistent, I'm expecting these equations to release always "zero" (without constraining them)</a:t>
          </a:r>
          <a:endParaRPr lang="en-US" sz="800"/>
        </a:p>
      </xdr:txBody>
    </xdr:sp>
    <xdr:clientData/>
  </xdr:twoCellAnchor>
  <xdr:twoCellAnchor>
    <xdr:from>
      <xdr:col>27</xdr:col>
      <xdr:colOff>139211</xdr:colOff>
      <xdr:row>28</xdr:row>
      <xdr:rowOff>158017</xdr:rowOff>
    </xdr:from>
    <xdr:to>
      <xdr:col>27</xdr:col>
      <xdr:colOff>517555</xdr:colOff>
      <xdr:row>28</xdr:row>
      <xdr:rowOff>170825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9705CF3B-AB5C-9715-4C63-2082E5342800}"/>
            </a:ext>
          </a:extLst>
        </xdr:cNvPr>
        <xdr:cNvCxnSpPr>
          <a:stCxn id="9" idx="1"/>
        </xdr:cNvCxnSpPr>
      </xdr:nvCxnSpPr>
      <xdr:spPr>
        <a:xfrm flipH="1" flipV="1">
          <a:off x="13862538" y="5286863"/>
          <a:ext cx="378344" cy="128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142386</xdr:colOff>
      <xdr:row>36</xdr:row>
      <xdr:rowOff>33887</xdr:rowOff>
    </xdr:from>
    <xdr:to>
      <xdr:col>27</xdr:col>
      <xdr:colOff>562769</xdr:colOff>
      <xdr:row>36</xdr:row>
      <xdr:rowOff>47137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7C25186D-49AB-4C6A-AC88-3BC2A142D2EC}"/>
            </a:ext>
          </a:extLst>
        </xdr:cNvPr>
        <xdr:cNvCxnSpPr>
          <a:stCxn id="10" idx="1"/>
        </xdr:cNvCxnSpPr>
      </xdr:nvCxnSpPr>
      <xdr:spPr>
        <a:xfrm flipH="1">
          <a:off x="13865713" y="6628118"/>
          <a:ext cx="420383" cy="13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227133</xdr:colOff>
      <xdr:row>0</xdr:row>
      <xdr:rowOff>50312</xdr:rowOff>
    </xdr:from>
    <xdr:to>
      <xdr:col>28</xdr:col>
      <xdr:colOff>238612</xdr:colOff>
      <xdr:row>2</xdr:row>
      <xdr:rowOff>139212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8037D5CE-7EE0-1265-D12C-32E4BC9A7FBB}"/>
            </a:ext>
          </a:extLst>
        </xdr:cNvPr>
        <xdr:cNvSpPr txBox="1"/>
      </xdr:nvSpPr>
      <xdr:spPr>
        <a:xfrm>
          <a:off x="3744056" y="50312"/>
          <a:ext cx="10950575" cy="4552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/>
            <a:t>Simulation</a:t>
          </a:r>
          <a:r>
            <a:rPr lang="en-US" sz="1000" b="1" baseline="0"/>
            <a:t> Model</a:t>
          </a:r>
          <a:r>
            <a:rPr lang="en-US" sz="1000" baseline="0"/>
            <a:t>: there is no competition among technologies, once the total final demand is set to be conisistent. There is only one solution, once the final total demand values are such in a way that the model turns out feasible! ==&gt; for a given (consistent) set of total final demand, there is only one combination of production working!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36</xdr:col>
      <xdr:colOff>77836</xdr:colOff>
      <xdr:row>34</xdr:row>
      <xdr:rowOff>112238</xdr:rowOff>
    </xdr:from>
    <xdr:to>
      <xdr:col>51</xdr:col>
      <xdr:colOff>361626</xdr:colOff>
      <xdr:row>50</xdr:row>
      <xdr:rowOff>31333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27589A-4200-4ECC-B956-AD8CB5FE7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07624" y="6340123"/>
          <a:ext cx="7588733" cy="2849864"/>
        </a:xfrm>
        <a:prstGeom prst="rect">
          <a:avLst/>
        </a:prstGeom>
      </xdr:spPr>
    </xdr:pic>
    <xdr:clientData/>
  </xdr:twoCellAnchor>
  <xdr:twoCellAnchor>
    <xdr:from>
      <xdr:col>36</xdr:col>
      <xdr:colOff>106765</xdr:colOff>
      <xdr:row>51</xdr:row>
      <xdr:rowOff>153866</xdr:rowOff>
    </xdr:from>
    <xdr:to>
      <xdr:col>50</xdr:col>
      <xdr:colOff>377114</xdr:colOff>
      <xdr:row>65</xdr:row>
      <xdr:rowOff>153866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0A6DEF6-C26D-4C11-A826-0821086950B6}"/>
            </a:ext>
          </a:extLst>
        </xdr:cNvPr>
        <xdr:cNvSpPr txBox="1"/>
      </xdr:nvSpPr>
      <xdr:spPr>
        <a:xfrm>
          <a:off x="17429565" y="7935791"/>
          <a:ext cx="6975949" cy="2533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000" b="1"/>
            <a:t>General co-product management in</a:t>
          </a:r>
          <a:r>
            <a:rPr lang="it-IT" sz="1000" b="1" baseline="0"/>
            <a:t> a supply-use</a:t>
          </a:r>
          <a:r>
            <a:rPr lang="it-IT" sz="1000" b="1"/>
            <a:t> system with mixed recruitment</a:t>
          </a:r>
        </a:p>
        <a:p>
          <a:endParaRPr lang="it-IT" sz="1000" b="1"/>
        </a:p>
        <a:p>
          <a:r>
            <a:rPr lang="it-IT" sz="1000" b="0"/>
            <a:t>The</a:t>
          </a:r>
          <a:r>
            <a:rPr lang="it-IT" sz="1000" b="0" baseline="0"/>
            <a:t> model shows how to handle different types of technologies supplying one or multiple products.</a:t>
          </a:r>
        </a:p>
        <a:p>
          <a:endParaRPr lang="it-IT" sz="1000" b="0" baseline="0"/>
        </a:p>
        <a:p>
          <a:r>
            <a:rPr lang="it-IT" sz="1000" b="1" baseline="0"/>
            <a:t>Single-product technologies </a:t>
          </a:r>
          <a:r>
            <a:rPr lang="it-IT" sz="1000" b="0" baseline="0"/>
            <a:t>provide one unique useful product (e.g. the </a:t>
          </a:r>
          <a:r>
            <a:rPr lang="it-IT" sz="1000" b="0" i="1" baseline="0"/>
            <a:t>boiler</a:t>
          </a:r>
          <a:r>
            <a:rPr lang="it-IT" sz="1000" b="0" baseline="0"/>
            <a:t> in this example)</a:t>
          </a:r>
        </a:p>
        <a:p>
          <a:r>
            <a:rPr lang="it-IT" sz="1000" b="1" baseline="0"/>
            <a:t>Multi-product technoliges </a:t>
          </a:r>
          <a:r>
            <a:rPr lang="it-IT" sz="1000" b="0" baseline="0"/>
            <a:t>provide multiple useful products: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it-IT" sz="1000" b="0" baseline="0"/>
            <a:t>a primary product as the main output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it-IT" sz="1000" b="0" baseline="0"/>
            <a:t>secondary products, which may be independent on the primary (</a:t>
          </a:r>
          <a:r>
            <a:rPr lang="it-IT" sz="1000" b="1" baseline="0"/>
            <a:t>subisidary products</a:t>
          </a:r>
          <a:r>
            <a:rPr lang="it-IT" sz="1000" b="0" baseline="0"/>
            <a:t>, e.g. </a:t>
          </a:r>
          <a:r>
            <a:rPr lang="it-IT" sz="1000" b="0" i="1" baseline="0"/>
            <a:t>industry </a:t>
          </a:r>
          <a:r>
            <a:rPr lang="it-IT" sz="1000" b="0" i="0" baseline="0"/>
            <a:t>supplying </a:t>
          </a:r>
          <a:r>
            <a:rPr lang="it-IT" sz="1000" b="0" i="1" baseline="0"/>
            <a:t>product A </a:t>
          </a:r>
          <a:r>
            <a:rPr lang="it-IT" sz="1000" b="0" i="0" baseline="0"/>
            <a:t>and </a:t>
          </a:r>
          <a:r>
            <a:rPr lang="it-IT" sz="1000" b="0" i="1" baseline="0"/>
            <a:t>product B</a:t>
          </a:r>
          <a:r>
            <a:rPr lang="it-IT" sz="1000" b="0" baseline="0"/>
            <a:t>)</a:t>
          </a:r>
          <a:r>
            <a:rPr lang="it-IT" sz="1000" b="0" i="1" baseline="0"/>
            <a:t> </a:t>
          </a:r>
          <a:r>
            <a:rPr lang="it-IT" sz="1000" b="0" i="0" baseline="0"/>
            <a:t>or dependent on the primary product. These may be classified as:</a:t>
          </a:r>
        </a:p>
        <a:p>
          <a:pPr marL="288000" indent="-171450">
            <a:buFont typeface="Wingdings" panose="05000000000000000000" pitchFamily="2" charset="2"/>
            <a:buChar char="Ø"/>
          </a:pPr>
          <a:r>
            <a:rPr lang="it-IT" sz="1000" b="1" i="0" baseline="0"/>
            <a:t>by-products</a:t>
          </a:r>
          <a:r>
            <a:rPr lang="it-IT" sz="1000" b="0" i="0" baseline="0"/>
            <a:t>, in case another technology produces them as primary (</a:t>
          </a:r>
          <a:r>
            <a:rPr lang="it-IT" sz="1000" b="0" i="1" baseline="0"/>
            <a:t>electricity</a:t>
          </a:r>
          <a:r>
            <a:rPr lang="it-IT" sz="1000" b="0" i="0" baseline="0"/>
            <a:t> for the </a:t>
          </a:r>
          <a:r>
            <a:rPr lang="it-IT" sz="1000" b="0" i="1" baseline="0"/>
            <a:t>chp engine</a:t>
          </a:r>
          <a:r>
            <a:rPr lang="it-IT" sz="1000" b="0" i="0" baseline="0"/>
            <a:t>, since </a:t>
          </a:r>
          <a:r>
            <a:rPr lang="it-IT" sz="1000" b="0" i="1" baseline="0"/>
            <a:t>electricity</a:t>
          </a:r>
          <a:r>
            <a:rPr lang="it-IT" sz="1000" b="0" i="0" baseline="0"/>
            <a:t> is supplied as primary by the </a:t>
          </a:r>
          <a:r>
            <a:rPr lang="it-IT" sz="1000" b="0" i="1" baseline="0"/>
            <a:t>pv plant</a:t>
          </a:r>
          <a:r>
            <a:rPr lang="it-IT" sz="1000" b="0" i="0" baseline="0"/>
            <a:t>)</a:t>
          </a:r>
        </a:p>
        <a:p>
          <a:pPr marL="288000" indent="-171450">
            <a:buFont typeface="Wingdings" panose="05000000000000000000" pitchFamily="2" charset="2"/>
            <a:buChar char="Ø"/>
          </a:pPr>
          <a:r>
            <a:rPr lang="it-IT" sz="1000" b="1" i="0" baseline="0"/>
            <a:t>joint-products</a:t>
          </a:r>
          <a:r>
            <a:rPr lang="it-IT" sz="1000" b="0" i="0" baseline="0"/>
            <a:t>, in case they are not the primary product of any other technology (e.g. </a:t>
          </a:r>
          <a:r>
            <a:rPr lang="it-IT" sz="1000" b="0" i="1" baseline="0"/>
            <a:t>fuel A </a:t>
          </a:r>
          <a:r>
            <a:rPr lang="it-IT" sz="1000" b="0" i="0" baseline="0"/>
            <a:t>and </a:t>
          </a:r>
          <a:r>
            <a:rPr lang="it-IT" sz="1000" b="0" i="1" baseline="0"/>
            <a:t>fuel B</a:t>
          </a:r>
          <a:r>
            <a:rPr lang="it-IT" sz="1000" b="0" i="0" baseline="0"/>
            <a:t> are supplied only by </a:t>
          </a:r>
          <a:r>
            <a:rPr lang="it-IT" sz="1000" b="0" i="1" baseline="0"/>
            <a:t>oil refinery</a:t>
          </a:r>
          <a:r>
            <a:rPr lang="it-IT" sz="1000" b="0" i="0" baseline="0"/>
            <a:t>). </a:t>
          </a:r>
        </a:p>
        <a:p>
          <a:pPr marL="0" indent="0">
            <a:buFont typeface="Wingdings" panose="05000000000000000000" pitchFamily="2" charset="2"/>
            <a:buNone/>
          </a:pPr>
          <a:endParaRPr lang="it-IT" sz="1000" b="1" i="1" baseline="0"/>
        </a:p>
        <a:p>
          <a:pPr marL="0" indent="0">
            <a:buFont typeface="Wingdings" panose="05000000000000000000" pitchFamily="2" charset="2"/>
            <a:buNone/>
          </a:pPr>
          <a:r>
            <a:rPr lang="it-IT" sz="1000" b="0" i="0" baseline="0"/>
            <a:t>Starting from a supply-use table it is possible to arrange a model allowing to account for </a:t>
          </a:r>
          <a:r>
            <a:rPr lang="it-IT" sz="1000" b="1" i="0" baseline="0"/>
            <a:t>hybrid technology assumptions</a:t>
          </a:r>
          <a:r>
            <a:rPr lang="it-IT" sz="1000" b="0" i="0" baseline="0"/>
            <a:t>: 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it-IT" sz="1000" b="1" i="0" baseline="0"/>
            <a:t>Industry-based technology assumption (it)</a:t>
          </a:r>
          <a:r>
            <a:rPr lang="it-IT" sz="1000" b="0" i="0" baseline="0"/>
            <a:t>: each product is produced by technologies with fixed shares. </a:t>
          </a:r>
          <a:r>
            <a:rPr lang="it-IT" sz="1000" b="0" i="0" u="none" baseline="0"/>
            <a:t>Every time a product is delivered for intermediate or final use, technologies are activated in proportion with values in columns of market share matrix 𝐝 (e.g. </a:t>
          </a:r>
          <a:r>
            <a:rPr lang="it-IT" sz="1000" b="0" i="1" u="none" baseline="0"/>
            <a:t>industry</a:t>
          </a:r>
          <a:r>
            <a:rPr lang="it-IT" sz="1000" b="0" i="0" u="none" baseline="0"/>
            <a:t>).  </a:t>
          </a:r>
          <a:endParaRPr lang="it-IT" sz="1000" b="0" i="0" baseline="0"/>
        </a:p>
        <a:p>
          <a:pPr marL="171450" indent="-171450">
            <a:buFont typeface="Arial" panose="020B0604020202020204" pitchFamily="34" charset="0"/>
            <a:buChar char="•"/>
          </a:pPr>
          <a:r>
            <a:rPr lang="it-IT" sz="1000" b="1" i="0" baseline="0"/>
            <a:t>Product-based technology assumption (pt)</a:t>
          </a:r>
          <a:r>
            <a:rPr lang="it-IT" sz="1000" b="0" i="0" baseline="0"/>
            <a:t>: every technology supplies a fixed mix of products. Every time a tecnology is activated, it produces a mix of products with a sharte in columns of the product mix matrix </a:t>
          </a:r>
          <a:r>
            <a:rPr lang="it-IT" sz="1000" b="1" i="0" baseline="0"/>
            <a:t>c </a:t>
          </a:r>
          <a:r>
            <a:rPr lang="it-IT" sz="1000" b="0" i="0" baseline="0"/>
            <a:t>(i.e the </a:t>
          </a:r>
          <a:r>
            <a:rPr lang="it-IT" sz="1000" b="0" i="1" baseline="0"/>
            <a:t>oil refinery </a:t>
          </a:r>
          <a:r>
            <a:rPr lang="it-IT" sz="1000" b="0" i="0" baseline="0"/>
            <a:t>and </a:t>
          </a:r>
          <a:r>
            <a:rPr lang="it-IT" sz="1000" b="0" i="1" baseline="0"/>
            <a:t>chp engine</a:t>
          </a:r>
          <a:r>
            <a:rPr lang="it-IT" sz="1000" b="0" i="0" baseline="0"/>
            <a:t>). </a:t>
          </a:r>
        </a:p>
        <a:p>
          <a:pPr marL="0" indent="0">
            <a:buFont typeface="Arial" panose="020B0604020202020204" pitchFamily="34" charset="0"/>
            <a:buNone/>
          </a:pPr>
          <a:r>
            <a:rPr lang="it-IT" sz="1000" b="1" i="0" baseline="0"/>
            <a:t>Single-product technologies </a:t>
          </a:r>
          <a:r>
            <a:rPr lang="it-IT" sz="1000" b="0" i="0" baseline="0"/>
            <a:t>can be alternatively represented under any of these assumptions.</a:t>
          </a:r>
          <a:endParaRPr lang="it-IT" sz="1000" b="1" i="0" baseline="0"/>
        </a:p>
        <a:p>
          <a:endParaRPr lang="it-IT" sz="1000" b="0" i="1" baseline="0"/>
        </a:p>
        <a:p>
          <a:endParaRPr lang="it-IT" sz="1000" b="1" baseline="0"/>
        </a:p>
      </xdr:txBody>
    </xdr:sp>
    <xdr:clientData/>
  </xdr:twoCellAnchor>
  <xdr:twoCellAnchor>
    <xdr:from>
      <xdr:col>5</xdr:col>
      <xdr:colOff>309630</xdr:colOff>
      <xdr:row>8</xdr:row>
      <xdr:rowOff>77719</xdr:rowOff>
    </xdr:from>
    <xdr:to>
      <xdr:col>12</xdr:col>
      <xdr:colOff>5107</xdr:colOff>
      <xdr:row>13</xdr:row>
      <xdr:rowOff>160545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D59920D-566C-406D-9013-A37C3DDEBFF5}"/>
            </a:ext>
          </a:extLst>
        </xdr:cNvPr>
        <xdr:cNvSpPr txBox="1"/>
      </xdr:nvSpPr>
      <xdr:spPr>
        <a:xfrm>
          <a:off x="3227455" y="1525519"/>
          <a:ext cx="3686452" cy="99087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1"/>
            <a:t>Product-based</a:t>
          </a:r>
          <a:r>
            <a:rPr lang="en-US" sz="800" b="1" baseline="0"/>
            <a:t> Assumption</a:t>
          </a:r>
          <a:endParaRPr lang="en-US" sz="800" b="1"/>
        </a:p>
        <a:p>
          <a:r>
            <a:rPr lang="en-US" sz="800"/>
            <a:t>joint</a:t>
          </a:r>
          <a:r>
            <a:rPr lang="en-US" sz="800" baseline="0"/>
            <a:t>- and by-products are linked to the production of the main product. Therfore, a product-based assumption is preferred.</a:t>
          </a:r>
        </a:p>
        <a:p>
          <a:endParaRPr lang="en-US" sz="800" baseline="0"/>
        </a:p>
        <a:p>
          <a:r>
            <a:rPr lang="en-US" sz="800" baseline="0"/>
            <a:t>By doing that, any time I activate that tech, it will produce with a given product-mix!</a:t>
          </a:r>
          <a:endParaRPr lang="en-US" sz="800"/>
        </a:p>
      </xdr:txBody>
    </xdr:sp>
    <xdr:clientData/>
  </xdr:twoCellAnchor>
  <xdr:twoCellAnchor>
    <xdr:from>
      <xdr:col>13</xdr:col>
      <xdr:colOff>240195</xdr:colOff>
      <xdr:row>15</xdr:row>
      <xdr:rowOff>91110</xdr:rowOff>
    </xdr:from>
    <xdr:to>
      <xdr:col>22</xdr:col>
      <xdr:colOff>109607</xdr:colOff>
      <xdr:row>20</xdr:row>
      <xdr:rowOff>180286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2892489-586D-4160-A3CA-1FD7656F25E0}"/>
            </a:ext>
          </a:extLst>
        </xdr:cNvPr>
        <xdr:cNvSpPr txBox="1"/>
      </xdr:nvSpPr>
      <xdr:spPr>
        <a:xfrm>
          <a:off x="7485545" y="2802560"/>
          <a:ext cx="3203162" cy="100040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1"/>
            <a:t>Industry-based</a:t>
          </a:r>
          <a:r>
            <a:rPr lang="en-US" sz="800" b="1" baseline="0"/>
            <a:t> Assumption</a:t>
          </a:r>
          <a:endParaRPr lang="en-US" sz="800" b="1"/>
        </a:p>
        <a:p>
          <a:r>
            <a:rPr lang="en-US" sz="800"/>
            <a:t>Subsidary products</a:t>
          </a:r>
          <a:r>
            <a:rPr lang="en-US" sz="800" baseline="0"/>
            <a:t> are independent! It implies that once a tech is activated, any co-product can be released without fixed shares!  By contrary, in case the same product is delivered by other tech, each tech will be activated to keep the same technology-mix (i.e. market-share).</a:t>
          </a:r>
        </a:p>
      </xdr:txBody>
    </xdr:sp>
    <xdr:clientData/>
  </xdr:twoCellAnchor>
  <xdr:twoCellAnchor>
    <xdr:from>
      <xdr:col>5</xdr:col>
      <xdr:colOff>508953</xdr:colOff>
      <xdr:row>34</xdr:row>
      <xdr:rowOff>185273</xdr:rowOff>
    </xdr:from>
    <xdr:to>
      <xdr:col>12</xdr:col>
      <xdr:colOff>210780</xdr:colOff>
      <xdr:row>39</xdr:row>
      <xdr:rowOff>21981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2AA4A09-D762-4B6E-BF40-5BBA1514F5B2}"/>
            </a:ext>
          </a:extLst>
        </xdr:cNvPr>
        <xdr:cNvSpPr txBox="1"/>
      </xdr:nvSpPr>
      <xdr:spPr>
        <a:xfrm>
          <a:off x="3300511" y="6654946"/>
          <a:ext cx="3636384" cy="78920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1"/>
            <a:t>0) Mixing</a:t>
          </a:r>
          <a:r>
            <a:rPr lang="en-US" sz="800" b="1" baseline="0"/>
            <a:t> assumptions: effects</a:t>
          </a:r>
          <a:endParaRPr lang="en-US" sz="800" b="1"/>
        </a:p>
        <a:p>
          <a:r>
            <a:rPr lang="en-US" sz="800" baseline="0"/>
            <a:t>Same reasoning as before, BUT now we are running an optimization problem.</a:t>
          </a:r>
          <a:br>
            <a:rPr lang="en-US" sz="800" baseline="0"/>
          </a:br>
          <a:br>
            <a:rPr lang="en-US" sz="800" baseline="0"/>
          </a:br>
          <a:r>
            <a:rPr lang="en-US" sz="800" baseline="0"/>
            <a:t>To do so, we need to make the system undetermined, leading to (p-1)-equations (p-1 energy balances). The last equation will be the objective function!</a:t>
          </a:r>
          <a:endParaRPr lang="en-US" sz="800"/>
        </a:p>
      </xdr:txBody>
    </xdr:sp>
    <xdr:clientData/>
  </xdr:twoCellAnchor>
  <xdr:twoCellAnchor>
    <xdr:from>
      <xdr:col>28</xdr:col>
      <xdr:colOff>37152</xdr:colOff>
      <xdr:row>35</xdr:row>
      <xdr:rowOff>132342</xdr:rowOff>
    </xdr:from>
    <xdr:to>
      <xdr:col>32</xdr:col>
      <xdr:colOff>325558</xdr:colOff>
      <xdr:row>39</xdr:row>
      <xdr:rowOff>87923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94072CD-EEAC-4C56-9C9E-D4DF681C6733}"/>
            </a:ext>
          </a:extLst>
        </xdr:cNvPr>
        <xdr:cNvSpPr txBox="1"/>
      </xdr:nvSpPr>
      <xdr:spPr>
        <a:xfrm>
          <a:off x="14434556" y="6543400"/>
          <a:ext cx="1665867" cy="6882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1"/>
            <a:t>Needed p-</a:t>
          </a:r>
          <a:r>
            <a:rPr lang="en-US" sz="800" b="1" baseline="0"/>
            <a:t>equations</a:t>
          </a:r>
          <a:endParaRPr lang="en-US" sz="800" b="1"/>
        </a:p>
        <a:p>
          <a:endParaRPr lang="en-US" sz="800"/>
        </a:p>
        <a:p>
          <a:r>
            <a:rPr lang="en-US" sz="800"/>
            <a:t>To</a:t>
          </a:r>
          <a:r>
            <a:rPr lang="en-US" sz="800" baseline="0"/>
            <a:t> solve it, I need to set a ficticious objective function. Therefore, I leave 1 (out of p) equation to make it solved by the OF</a:t>
          </a:r>
          <a:endParaRPr lang="en-US" sz="800"/>
        </a:p>
      </xdr:txBody>
    </xdr:sp>
    <xdr:clientData/>
  </xdr:twoCellAnchor>
  <xdr:twoCellAnchor>
    <xdr:from>
      <xdr:col>27</xdr:col>
      <xdr:colOff>559594</xdr:colOff>
      <xdr:row>42</xdr:row>
      <xdr:rowOff>5006</xdr:rowOff>
    </xdr:from>
    <xdr:to>
      <xdr:col>33</xdr:col>
      <xdr:colOff>209702</xdr:colOff>
      <xdr:row>46</xdr:row>
      <xdr:rowOff>62768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1E0551A-E0A5-47BA-858E-12C2181E9BAF}"/>
            </a:ext>
          </a:extLst>
        </xdr:cNvPr>
        <xdr:cNvSpPr txBox="1"/>
      </xdr:nvSpPr>
      <xdr:spPr>
        <a:xfrm>
          <a:off x="14269244" y="6161331"/>
          <a:ext cx="1971033" cy="7816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1"/>
            <a:t>Check</a:t>
          </a:r>
        </a:p>
        <a:p>
          <a:endParaRPr lang="en-US" sz="800"/>
        </a:p>
        <a:p>
          <a:r>
            <a:rPr lang="en-US" sz="800"/>
            <a:t>If</a:t>
          </a:r>
          <a:r>
            <a:rPr lang="en-US" sz="800" baseline="0"/>
            <a:t> the problem is consistent, I'm expecting these equations to release always "zero" (without constraining them)</a:t>
          </a:r>
          <a:endParaRPr lang="en-US" sz="800"/>
        </a:p>
      </xdr:txBody>
    </xdr:sp>
    <xdr:clientData/>
  </xdr:twoCellAnchor>
  <xdr:twoCellAnchor>
    <xdr:from>
      <xdr:col>27</xdr:col>
      <xdr:colOff>266943</xdr:colOff>
      <xdr:row>38</xdr:row>
      <xdr:rowOff>7326</xdr:rowOff>
    </xdr:from>
    <xdr:to>
      <xdr:col>28</xdr:col>
      <xdr:colOff>37152</xdr:colOff>
      <xdr:row>38</xdr:row>
      <xdr:rowOff>16959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34931B4-3915-4992-8B0F-167E06E4D989}"/>
            </a:ext>
          </a:extLst>
        </xdr:cNvPr>
        <xdr:cNvCxnSpPr>
          <a:stCxn id="9" idx="1"/>
        </xdr:cNvCxnSpPr>
      </xdr:nvCxnSpPr>
      <xdr:spPr>
        <a:xfrm flipH="1" flipV="1">
          <a:off x="14056212" y="6967903"/>
          <a:ext cx="378344" cy="96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142386</xdr:colOff>
      <xdr:row>44</xdr:row>
      <xdr:rowOff>33887</xdr:rowOff>
    </xdr:from>
    <xdr:to>
      <xdr:col>27</xdr:col>
      <xdr:colOff>562769</xdr:colOff>
      <xdr:row>44</xdr:row>
      <xdr:rowOff>47137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2FF32BEA-AEE1-4284-90D1-A7FE83379617}"/>
            </a:ext>
          </a:extLst>
        </xdr:cNvPr>
        <xdr:cNvCxnSpPr>
          <a:stCxn id="10" idx="1"/>
        </xdr:cNvCxnSpPr>
      </xdr:nvCxnSpPr>
      <xdr:spPr>
        <a:xfrm flipH="1">
          <a:off x="13852036" y="6545812"/>
          <a:ext cx="414033" cy="19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168519</xdr:colOff>
      <xdr:row>0</xdr:row>
      <xdr:rowOff>102577</xdr:rowOff>
    </xdr:from>
    <xdr:to>
      <xdr:col>28</xdr:col>
      <xdr:colOff>235438</xdr:colOff>
      <xdr:row>3</xdr:row>
      <xdr:rowOff>14654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98F3199-A07C-4818-9FED-18F9201D2562}"/>
            </a:ext>
          </a:extLst>
        </xdr:cNvPr>
        <xdr:cNvSpPr txBox="1"/>
      </xdr:nvSpPr>
      <xdr:spPr>
        <a:xfrm>
          <a:off x="3685442" y="102577"/>
          <a:ext cx="10947400" cy="4615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/>
            <a:t>Optimization</a:t>
          </a:r>
          <a:r>
            <a:rPr lang="en-US" sz="1000" b="1" baseline="0"/>
            <a:t> Model</a:t>
          </a:r>
          <a:r>
            <a:rPr lang="en-US" sz="1000" baseline="0"/>
            <a:t>: there is competition among technologies, once the total final demand is set to be conisistent. There are potentially infinite solutions available, once the final total demand values are such in a way that the model turns out feasible! ==&gt; for this reason, the objective function is needed to guide the solution towards teh "optimal" according to the objective!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426357</xdr:colOff>
      <xdr:row>20</xdr:row>
      <xdr:rowOff>22054</xdr:rowOff>
    </xdr:from>
    <xdr:to>
      <xdr:col>28</xdr:col>
      <xdr:colOff>54429</xdr:colOff>
      <xdr:row>33</xdr:row>
      <xdr:rowOff>121621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38D206F-BD81-AFF8-9770-3ABAFB3AD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72786" y="3650625"/>
          <a:ext cx="5098143" cy="2458139"/>
        </a:xfrm>
        <a:prstGeom prst="rect">
          <a:avLst/>
        </a:prstGeom>
      </xdr:spPr>
    </xdr:pic>
    <xdr:clientData/>
  </xdr:twoCellAnchor>
  <xdr:twoCellAnchor>
    <xdr:from>
      <xdr:col>20</xdr:col>
      <xdr:colOff>0</xdr:colOff>
      <xdr:row>35</xdr:row>
      <xdr:rowOff>84364</xdr:rowOff>
    </xdr:from>
    <xdr:to>
      <xdr:col>26</xdr:col>
      <xdr:colOff>226786</xdr:colOff>
      <xdr:row>50</xdr:row>
      <xdr:rowOff>106135</xdr:rowOff>
    </xdr:to>
    <xdr:graphicFrame macro="">
      <xdr:nvGraphicFramePr>
        <xdr:cNvPr id="79" name="Chart 78">
          <a:extLst>
            <a:ext uri="{FF2B5EF4-FFF2-40B4-BE49-F238E27FC236}">
              <a16:creationId xmlns:a16="http://schemas.microsoft.com/office/drawing/2014/main" id="{86FDAE8D-F9FE-F204-2D94-E5BA909CC0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23</xdr:row>
      <xdr:rowOff>0</xdr:rowOff>
    </xdr:from>
    <xdr:to>
      <xdr:col>18</xdr:col>
      <xdr:colOff>0</xdr:colOff>
      <xdr:row>33</xdr:row>
      <xdr:rowOff>0</xdr:rowOff>
    </xdr:to>
    <xdr:sp macro="" textlink="">
      <xdr:nvSpPr>
        <xdr:cNvPr id="104" name="OpenSolver1">
          <a:extLst>
            <a:ext uri="{FF2B5EF4-FFF2-40B4-BE49-F238E27FC236}">
              <a16:creationId xmlns:a16="http://schemas.microsoft.com/office/drawing/2014/main" id="{4062422F-7B68-633A-0617-53184017F98A}"/>
            </a:ext>
          </a:extLst>
        </xdr:cNvPr>
        <xdr:cNvSpPr/>
      </xdr:nvSpPr>
      <xdr:spPr>
        <a:xfrm>
          <a:off x="8255000" y="4235450"/>
          <a:ext cx="2819400" cy="184150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14</xdr:col>
      <xdr:colOff>0</xdr:colOff>
      <xdr:row>63</xdr:row>
      <xdr:rowOff>0</xdr:rowOff>
    </xdr:from>
    <xdr:to>
      <xdr:col>18</xdr:col>
      <xdr:colOff>0</xdr:colOff>
      <xdr:row>73</xdr:row>
      <xdr:rowOff>0</xdr:rowOff>
    </xdr:to>
    <xdr:sp macro="" textlink="">
      <xdr:nvSpPr>
        <xdr:cNvPr id="105" name="OpenSolver2">
          <a:extLst>
            <a:ext uri="{FF2B5EF4-FFF2-40B4-BE49-F238E27FC236}">
              <a16:creationId xmlns:a16="http://schemas.microsoft.com/office/drawing/2014/main" id="{CA2BA75D-39EF-A6BC-18FA-D4385C98A7C9}"/>
            </a:ext>
          </a:extLst>
        </xdr:cNvPr>
        <xdr:cNvSpPr/>
      </xdr:nvSpPr>
      <xdr:spPr>
        <a:xfrm>
          <a:off x="8255000" y="11601450"/>
          <a:ext cx="2819400" cy="184150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20</xdr:col>
      <xdr:colOff>0</xdr:colOff>
      <xdr:row>21</xdr:row>
      <xdr:rowOff>0</xdr:rowOff>
    </xdr:to>
    <xdr:sp macro="" textlink="">
      <xdr:nvSpPr>
        <xdr:cNvPr id="106" name="OpenSolver3">
          <a:extLst>
            <a:ext uri="{FF2B5EF4-FFF2-40B4-BE49-F238E27FC236}">
              <a16:creationId xmlns:a16="http://schemas.microsoft.com/office/drawing/2014/main" id="{8DAD6915-ABCD-936D-E900-FF67422F099C}"/>
            </a:ext>
          </a:extLst>
        </xdr:cNvPr>
        <xdr:cNvSpPr/>
      </xdr:nvSpPr>
      <xdr:spPr>
        <a:xfrm>
          <a:off x="11684000" y="3683000"/>
          <a:ext cx="596900" cy="18415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18</xdr:col>
      <xdr:colOff>596900</xdr:colOff>
      <xdr:row>19</xdr:row>
      <xdr:rowOff>107950</xdr:rowOff>
    </xdr:from>
    <xdr:to>
      <xdr:col>19</xdr:col>
      <xdr:colOff>218389</xdr:colOff>
      <xdr:row>20</xdr:row>
      <xdr:rowOff>50800</xdr:rowOff>
    </xdr:to>
    <xdr:sp macro="" textlink="">
      <xdr:nvSpPr>
        <xdr:cNvPr id="107" name="OpenSolver4">
          <a:extLst>
            <a:ext uri="{FF2B5EF4-FFF2-40B4-BE49-F238E27FC236}">
              <a16:creationId xmlns:a16="http://schemas.microsoft.com/office/drawing/2014/main" id="{31324E07-21FE-C6A1-F73E-B7173DD49DC3}"/>
            </a:ext>
          </a:extLst>
        </xdr:cNvPr>
        <xdr:cNvSpPr/>
      </xdr:nvSpPr>
      <xdr:spPr>
        <a:xfrm>
          <a:off x="11671300" y="3606800"/>
          <a:ext cx="231089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min </a:t>
          </a:r>
        </a:p>
      </xdr:txBody>
    </xdr:sp>
    <xdr:clientData/>
  </xdr:twoCellAnchor>
  <xdr:twoCellAnchor>
    <xdr:from>
      <xdr:col>30</xdr:col>
      <xdr:colOff>0</xdr:colOff>
      <xdr:row>9</xdr:row>
      <xdr:rowOff>0</xdr:rowOff>
    </xdr:from>
    <xdr:to>
      <xdr:col>40</xdr:col>
      <xdr:colOff>0</xdr:colOff>
      <xdr:row>12</xdr:row>
      <xdr:rowOff>0</xdr:rowOff>
    </xdr:to>
    <xdr:sp macro="" textlink="">
      <xdr:nvSpPr>
        <xdr:cNvPr id="108" name="OpenSolverAE10:AN12">
          <a:extLst>
            <a:ext uri="{FF2B5EF4-FFF2-40B4-BE49-F238E27FC236}">
              <a16:creationId xmlns:a16="http://schemas.microsoft.com/office/drawing/2014/main" id="{4A3465F5-7882-0B8C-1B68-7BBC7F42FD35}"/>
            </a:ext>
          </a:extLst>
        </xdr:cNvPr>
        <xdr:cNvSpPr/>
      </xdr:nvSpPr>
      <xdr:spPr>
        <a:xfrm>
          <a:off x="19062700" y="1657350"/>
          <a:ext cx="4533900" cy="55245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0=</a:t>
          </a:r>
        </a:p>
      </xdr:txBody>
    </xdr:sp>
    <xdr:clientData/>
  </xdr:twoCellAnchor>
  <xdr:twoCellAnchor>
    <xdr:from>
      <xdr:col>30</xdr:col>
      <xdr:colOff>0</xdr:colOff>
      <xdr:row>23</xdr:row>
      <xdr:rowOff>0</xdr:rowOff>
    </xdr:from>
    <xdr:to>
      <xdr:col>34</xdr:col>
      <xdr:colOff>0</xdr:colOff>
      <xdr:row>33</xdr:row>
      <xdr:rowOff>0</xdr:rowOff>
    </xdr:to>
    <xdr:sp macro="" textlink="">
      <xdr:nvSpPr>
        <xdr:cNvPr id="109" name="OpenSolverAE24:AH33">
          <a:extLst>
            <a:ext uri="{FF2B5EF4-FFF2-40B4-BE49-F238E27FC236}">
              <a16:creationId xmlns:a16="http://schemas.microsoft.com/office/drawing/2014/main" id="{D29D73E0-5DB4-C53A-0DE4-4F9404F822E0}"/>
            </a:ext>
          </a:extLst>
        </xdr:cNvPr>
        <xdr:cNvSpPr/>
      </xdr:nvSpPr>
      <xdr:spPr>
        <a:xfrm>
          <a:off x="19062700" y="4235450"/>
          <a:ext cx="2444750" cy="1841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0≥</a:t>
          </a:r>
        </a:p>
      </xdr:txBody>
    </xdr:sp>
    <xdr:clientData/>
  </xdr:twoCellAnchor>
  <xdr:twoCellAnchor>
    <xdr:from>
      <xdr:col>30</xdr:col>
      <xdr:colOff>0</xdr:colOff>
      <xdr:row>35</xdr:row>
      <xdr:rowOff>0</xdr:rowOff>
    </xdr:from>
    <xdr:to>
      <xdr:col>34</xdr:col>
      <xdr:colOff>0</xdr:colOff>
      <xdr:row>45</xdr:row>
      <xdr:rowOff>0</xdr:rowOff>
    </xdr:to>
    <xdr:sp macro="" textlink="">
      <xdr:nvSpPr>
        <xdr:cNvPr id="110" name="OpenSolverAE36:AH45">
          <a:extLst>
            <a:ext uri="{FF2B5EF4-FFF2-40B4-BE49-F238E27FC236}">
              <a16:creationId xmlns:a16="http://schemas.microsoft.com/office/drawing/2014/main" id="{AA337DE7-873D-935A-8393-66232E80D440}"/>
            </a:ext>
          </a:extLst>
        </xdr:cNvPr>
        <xdr:cNvSpPr/>
      </xdr:nvSpPr>
      <xdr:spPr>
        <a:xfrm>
          <a:off x="19062700" y="6445250"/>
          <a:ext cx="2444750" cy="18415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0≥</a:t>
          </a:r>
        </a:p>
      </xdr:txBody>
    </xdr:sp>
    <xdr:clientData/>
  </xdr:twoCellAnchor>
  <xdr:twoCellAnchor>
    <xdr:from>
      <xdr:col>1</xdr:col>
      <xdr:colOff>371928</xdr:colOff>
      <xdr:row>20</xdr:row>
      <xdr:rowOff>172358</xdr:rowOff>
    </xdr:from>
    <xdr:to>
      <xdr:col>4</xdr:col>
      <xdr:colOff>36285</xdr:colOff>
      <xdr:row>29</xdr:row>
      <xdr:rowOff>45357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331112A0-8645-CE92-8D0C-2E2D57648378}"/>
            </a:ext>
          </a:extLst>
        </xdr:cNvPr>
        <xdr:cNvSpPr txBox="1"/>
      </xdr:nvSpPr>
      <xdr:spPr>
        <a:xfrm>
          <a:off x="979714" y="3800929"/>
          <a:ext cx="2667000" cy="15058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AGGIUNGERE UNA NG</a:t>
          </a:r>
          <a:r>
            <a:rPr lang="en-US" sz="2800" baseline="0"/>
            <a:t> SUPPLY per FUEL B</a:t>
          </a:r>
          <a:endParaRPr lang="en-US" sz="28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mmaso Zacconi" id="{3DE56473-E309-4175-9E04-2A2F2A45446E}" userId="S::10608230@polimi.it::a10af20d-9ac8-484e-be87-e7ff8a17278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8" dT="2025-10-23T13:31:05.00" personId="{3DE56473-E309-4175-9E04-2A2F2A45446E}" id="{526EF239-DE95-4DEB-BFEA-0FE06398BBB2}">
    <text>(6,5)</text>
  </threadedComment>
  <threadedComment ref="AQ8" dT="2025-10-23T14:02:34.48" personId="{3DE56473-E309-4175-9E04-2A2F2A45446E}" id="{1474A65B-F6FA-4D60-8AD3-6C1E565D0962}">
    <text>HP: product-based
--&gt; product-mix matrix (c’)</text>
  </threadedComment>
  <threadedComment ref="D11" dT="2025-10-23T13:21:49.26" personId="{3DE56473-E309-4175-9E04-2A2F2A45446E}" id="{1BE59145-22A2-4074-BDF6-C2FB4DB6CC31}">
    <text>HP: heat is the main product for CHP
--&gt; electricity is therefore a by-product for CHP, since there is electricity from PV produced as main, single product.
--&gt; heat by BOILER is a main, single product. 
There is no need to distinguish between heat_CHP and heat_BOILER since both of them are considered as main products</text>
  </threadedComment>
  <threadedComment ref="D13" dT="2025-10-23T13:23:32.17" personId="{3DE56473-E309-4175-9E04-2A2F2A45446E}" id="{B45F9B41-B8DB-4C7F-A9A6-47B397D8816A}">
    <text>HP: electricity = main_prod + by-prod
--&gt; to distinguish the different nature between the two flows, I need to separate them. Thanks to this, I can define different assumptions on them</text>
  </threadedComment>
  <threadedComment ref="G16" dT="2025-10-23T13:31:16.33" personId="{3DE56473-E309-4175-9E04-2A2F2A45446E}" id="{052CDC5A-53C4-4A1C-A7A4-02DED377478D}">
    <text>(5,6)</text>
  </threadedComment>
  <threadedComment ref="AC16" dT="2025-10-23T14:02:18.23" personId="{3DE56473-E309-4175-9E04-2A2F2A45446E}" id="{32FF2F35-0289-4407-9D6F-AFD05387A17E}">
    <text>HP: Industry-based 
--&gt; Market-share matrix (d)</text>
  </threadedComment>
  <threadedComment ref="D19" dT="2025-10-23T15:08:17.57" personId="{3DE56473-E309-4175-9E04-2A2F2A45446E}" id="{3F7E5E09-F5BA-42AA-9489-90EF79D3FAD8}">
    <text>In reality, it works under product-based assumption (per unit of activity, it works with fixed carrier-ratios)
--&gt; for this reason, I need to separate electricity_CHP from electricity_other</text>
  </threadedComment>
  <threadedComment ref="W26" dT="2025-10-24T09:40:08.46" personId="{3DE56473-E309-4175-9E04-2A2F2A45446E}" id="{7CCC46CF-1057-4212-AF08-E43237C0EF54}">
    <text>PLEASE NOTE:
By changing the first guess, I could get a different solution!</text>
  </threadedComment>
  <threadedComment ref="D29" dT="2025-10-23T13:21:49.26" personId="{3DE56473-E309-4175-9E04-2A2F2A45446E}" id="{234F9614-C0C2-414C-9940-875D65FC32A9}">
    <text>HP: heat is the main product for CHP
--&gt; electricity is therefore a by-product for CHP, since there is electricity from PV produced as main, single product.
--&gt; heat by BOILER is a main, single product. 
There is no need to distinguish between heat_CHP and heat_BOILER since both of them are considered as main products</text>
  </threadedComment>
  <threadedComment ref="D31" dT="2025-10-23T13:23:32.17" personId="{3DE56473-E309-4175-9E04-2A2F2A45446E}" id="{8D869B35-4F78-4346-880E-E8017FBDC1C1}">
    <text>HP: electricity = main_prod + by-prod
--&gt; to distinguish the different nature between the two flows, I need to separate them. Thanks to this, I can define different assumptions on them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O8" dT="2025-10-23T13:31:05.00" personId="{3DE56473-E309-4175-9E04-2A2F2A45446E}" id="{E8AA27AC-6BF4-4353-B329-1FFB824A5766}">
    <text>(6,5)</text>
  </threadedComment>
  <threadedComment ref="AQ8" dT="2025-10-23T14:02:34.48" personId="{3DE56473-E309-4175-9E04-2A2F2A45446E}" id="{B967F269-43ED-4C27-A19F-1AB32D270829}">
    <text>HP: product-based
--&gt; product-mix matrix (c’)</text>
  </threadedComment>
  <threadedComment ref="D11" dT="2025-10-23T13:21:49.26" personId="{3DE56473-E309-4175-9E04-2A2F2A45446E}" id="{4F21BC6B-08A0-491E-9048-6880A7C803C9}">
    <text>HP: heat is the main product for CHP
--&gt; electricity is therefore a by-product for CHP, since there is electricity from PV produced as main, single product.
--&gt; heat by BOILER is a main, single product. 
There is no need to distinguish between heat_CHP and heat_BOILER since both of them are considered as main products</text>
  </threadedComment>
  <threadedComment ref="D13" dT="2025-10-23T13:23:32.17" personId="{3DE56473-E309-4175-9E04-2A2F2A45446E}" id="{9118A93E-EE42-4DEC-9C43-F132CDD957EE}">
    <text>HP: electricity = main_prod + by-prod
--&gt; to distinguish the different nature between the two flows, I need to separate them. Thanks to this, I can define different assumptions on them</text>
  </threadedComment>
  <threadedComment ref="G16" dT="2025-10-23T13:31:16.33" personId="{3DE56473-E309-4175-9E04-2A2F2A45446E}" id="{743637DD-ECF7-4AB1-ABA8-25A970F4F4D9}">
    <text>(5,6)</text>
  </threadedComment>
  <threadedComment ref="AC16" dT="2025-10-23T14:02:18.23" personId="{3DE56473-E309-4175-9E04-2A2F2A45446E}" id="{163173D1-3F42-43DE-B7E9-A81A4921DAC4}">
    <text>HP: Industry-based 
--&gt; Market-share matrix (d)</text>
  </threadedComment>
  <threadedComment ref="D19" dT="2025-10-23T15:08:17.57" personId="{3DE56473-E309-4175-9E04-2A2F2A45446E}" id="{6C249F3A-14CF-4509-84FC-B138E53D3981}">
    <text>In reality, it works under product-based assumption (per unit of activity, it works with fixed carrier-ratios)
--&gt; for this reason, I need to separate electricity_CHP from electricity_other</text>
  </threadedComment>
  <threadedComment ref="W35" dT="2025-10-24T09:40:08.46" personId="{3DE56473-E309-4175-9E04-2A2F2A45446E}" id="{D6685514-3955-44ED-95E9-471C08B06EE4}">
    <text>PLEASE NOTE:
By changing the level of the final demand of products, I could get a different solution!
NOTE that this time, I don’t need a specific guess to get a feasible solution!  The system will adjust itself (there is flexibility now, there is no demand for EE by one source or another) to make it work.
Moreover, for a given set of demand, there could be more solutions! It depends on where the OF brings you!</text>
  </threadedComment>
  <threadedComment ref="W35" dT="2025-10-24T16:35:40.06" personId="{3DE56473-E309-4175-9E04-2A2F2A45446E}" id="{399820FA-BE81-4FFE-8A66-DE4C56AAED53}" parentId="{D6685514-3955-44ED-95E9-471C08B06EE4}">
    <text>For instance, if you change MIN/MAX, the OF should bring you to a different solution. If it does not happen, it’s due to the weakness of the Excel Solver (indeed, by changing the first guess for the decision variables, the solution changes!)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1"/>
  <sheetViews>
    <sheetView zoomScale="130" zoomScaleNormal="130" workbookViewId="0">
      <pane xSplit="5" ySplit="7" topLeftCell="F23" activePane="bottomRight" state="frozen"/>
      <selection pane="topRight" activeCell="F1" sqref="F1"/>
      <selection pane="bottomLeft" activeCell="A6" sqref="A6"/>
      <selection pane="bottomRight" activeCell="Z54" sqref="Z54"/>
    </sheetView>
  </sheetViews>
  <sheetFormatPr defaultRowHeight="14.5" x14ac:dyDescent="0.35"/>
  <cols>
    <col min="1" max="1" width="11.1796875" bestFit="1" customWidth="1"/>
    <col min="2" max="2" width="6" bestFit="1" customWidth="1"/>
    <col min="3" max="3" width="5.81640625" bestFit="1" customWidth="1"/>
    <col min="4" max="4" width="13.26953125" bestFit="1" customWidth="1"/>
    <col min="5" max="5" width="5.54296875" bestFit="1" customWidth="1"/>
    <col min="7" max="7" width="13.81640625" bestFit="1" customWidth="1"/>
    <col min="8" max="10" width="6.54296875" bestFit="1" customWidth="1"/>
    <col min="11" max="11" width="8.54296875" customWidth="1"/>
    <col min="12" max="12" width="5.81640625" bestFit="1" customWidth="1"/>
    <col min="13" max="13" width="4.81640625" bestFit="1" customWidth="1"/>
    <col min="14" max="14" width="3.81640625" customWidth="1"/>
    <col min="15" max="17" width="6.54296875" bestFit="1" customWidth="1"/>
    <col min="18" max="18" width="4.54296875" bestFit="1" customWidth="1"/>
    <col min="19" max="19" width="6.54296875" bestFit="1" customWidth="1"/>
    <col min="20" max="20" width="3.54296875" customWidth="1"/>
    <col min="21" max="21" width="4.453125" bestFit="1" customWidth="1"/>
    <col min="22" max="22" width="4.453125" customWidth="1"/>
    <col min="23" max="23" width="9" bestFit="1" customWidth="1"/>
    <col min="24" max="24" width="5.54296875" bestFit="1" customWidth="1"/>
    <col min="25" max="25" width="9.54296875" bestFit="1" customWidth="1"/>
    <col min="26" max="26" width="14.1796875" customWidth="1"/>
    <col min="29" max="35" width="4.81640625" bestFit="1" customWidth="1"/>
    <col min="37" max="37" width="8.1796875" bestFit="1" customWidth="1"/>
    <col min="38" max="39" width="6" bestFit="1" customWidth="1"/>
    <col min="40" max="40" width="5" bestFit="1" customWidth="1"/>
    <col min="41" max="41" width="6" bestFit="1" customWidth="1"/>
    <col min="43" max="47" width="6" style="3" bestFit="1" customWidth="1"/>
  </cols>
  <sheetData>
    <row r="1" spans="1:47" x14ac:dyDescent="0.35">
      <c r="A1" t="s">
        <v>56</v>
      </c>
      <c r="C1" s="52" t="s">
        <v>57</v>
      </c>
      <c r="D1" s="52"/>
    </row>
    <row r="2" spans="1:47" x14ac:dyDescent="0.35">
      <c r="C2" s="74" t="s">
        <v>58</v>
      </c>
      <c r="D2" s="74"/>
    </row>
    <row r="3" spans="1:47" x14ac:dyDescent="0.35">
      <c r="C3" s="75" t="s">
        <v>59</v>
      </c>
      <c r="D3" s="75"/>
    </row>
    <row r="4" spans="1:47" x14ac:dyDescent="0.35">
      <c r="A4" s="1" t="s">
        <v>37</v>
      </c>
    </row>
    <row r="5" spans="1:47" x14ac:dyDescent="0.35">
      <c r="B5" s="1" t="s">
        <v>1</v>
      </c>
      <c r="C5" s="1"/>
      <c r="D5" s="1"/>
      <c r="E5" s="1"/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AC5" t="s">
        <v>12</v>
      </c>
      <c r="AD5" t="s">
        <v>13</v>
      </c>
      <c r="AE5" t="s">
        <v>14</v>
      </c>
      <c r="AF5" t="s">
        <v>15</v>
      </c>
      <c r="AG5" t="s">
        <v>16</v>
      </c>
      <c r="AH5" t="s">
        <v>17</v>
      </c>
      <c r="AI5" t="s">
        <v>18</v>
      </c>
    </row>
    <row r="6" spans="1:47" x14ac:dyDescent="0.35">
      <c r="B6" s="1"/>
      <c r="C6" s="1" t="s">
        <v>0</v>
      </c>
      <c r="D6" s="1"/>
      <c r="E6" s="1"/>
      <c r="O6" t="s">
        <v>24</v>
      </c>
      <c r="P6" t="s">
        <v>25</v>
      </c>
      <c r="Q6" t="s">
        <v>26</v>
      </c>
      <c r="R6" t="s">
        <v>27</v>
      </c>
      <c r="S6" t="s">
        <v>28</v>
      </c>
      <c r="U6" t="s">
        <v>33</v>
      </c>
      <c r="W6" s="36" t="s">
        <v>44</v>
      </c>
      <c r="AK6" t="s">
        <v>24</v>
      </c>
      <c r="AL6" t="s">
        <v>25</v>
      </c>
      <c r="AM6" t="s">
        <v>26</v>
      </c>
      <c r="AN6" t="s">
        <v>27</v>
      </c>
      <c r="AO6" t="s">
        <v>28</v>
      </c>
      <c r="AQ6" s="3" t="s">
        <v>24</v>
      </c>
      <c r="AR6" s="3" t="s">
        <v>25</v>
      </c>
      <c r="AS6" s="3" t="s">
        <v>26</v>
      </c>
      <c r="AT6" s="3" t="s">
        <v>27</v>
      </c>
      <c r="AU6" s="3" t="s">
        <v>28</v>
      </c>
    </row>
    <row r="7" spans="1:47" x14ac:dyDescent="0.35">
      <c r="B7" s="1"/>
      <c r="C7" s="1"/>
      <c r="D7" s="1" t="s">
        <v>2</v>
      </c>
      <c r="E7" s="1" t="s">
        <v>3</v>
      </c>
    </row>
    <row r="8" spans="1:47" x14ac:dyDescent="0.35">
      <c r="O8" t="s">
        <v>32</v>
      </c>
      <c r="U8" t="s">
        <v>34</v>
      </c>
      <c r="Y8" t="s">
        <v>35</v>
      </c>
      <c r="AC8" s="23"/>
      <c r="AD8" s="23"/>
      <c r="AE8" s="23"/>
      <c r="AF8" s="23"/>
      <c r="AG8" s="23"/>
      <c r="AH8" s="23"/>
      <c r="AI8" s="23"/>
      <c r="AJ8" s="23"/>
      <c r="AK8" s="23" t="s">
        <v>41</v>
      </c>
      <c r="AL8" s="23"/>
      <c r="AM8" s="23"/>
      <c r="AN8" s="23"/>
      <c r="AO8" s="23"/>
      <c r="AP8" s="23"/>
      <c r="AQ8" s="44" t="s">
        <v>46</v>
      </c>
      <c r="AR8" s="44"/>
      <c r="AS8" s="44"/>
    </row>
    <row r="9" spans="1:47" x14ac:dyDescent="0.35">
      <c r="B9" t="s">
        <v>12</v>
      </c>
      <c r="D9" t="s">
        <v>4</v>
      </c>
      <c r="E9" t="s">
        <v>29</v>
      </c>
      <c r="G9" s="5"/>
      <c r="H9" s="5"/>
      <c r="I9" s="5"/>
      <c r="J9" s="5"/>
      <c r="K9" s="5"/>
      <c r="L9" s="5"/>
      <c r="M9" s="5"/>
      <c r="N9" s="5"/>
      <c r="O9" s="6">
        <v>0</v>
      </c>
      <c r="P9" s="7">
        <v>50</v>
      </c>
      <c r="Q9" s="7">
        <v>100</v>
      </c>
      <c r="R9" s="7">
        <v>0</v>
      </c>
      <c r="S9" s="8">
        <v>0</v>
      </c>
      <c r="T9" s="5"/>
      <c r="U9" s="9">
        <v>0</v>
      </c>
      <c r="V9" s="11"/>
      <c r="W9" s="5"/>
      <c r="Y9" s="9">
        <f t="shared" ref="Y9:Y15" si="0">SUM(O9:S9,U9)</f>
        <v>150</v>
      </c>
      <c r="AC9" s="23"/>
      <c r="AD9" s="23"/>
      <c r="AE9" s="23"/>
      <c r="AF9" s="23"/>
      <c r="AG9" s="23"/>
      <c r="AH9" s="23"/>
      <c r="AI9" s="23"/>
      <c r="AJ9" s="23"/>
      <c r="AK9" s="24" cm="1">
        <f t="array" ref="AK9:AO15">MMULT(O9:S15,MINVERSE(Y17:Y21*_xlfn.MUNIT(COUNTA(Y17:Y21))))</f>
        <v>0</v>
      </c>
      <c r="AL9" s="25">
        <v>1.25</v>
      </c>
      <c r="AM9" s="25">
        <v>2</v>
      </c>
      <c r="AN9" s="25">
        <v>0</v>
      </c>
      <c r="AO9" s="26">
        <v>0</v>
      </c>
      <c r="AP9" s="23"/>
      <c r="AQ9" s="24" cm="1">
        <f t="array" ref="AQ9:AU15">MMULT(TRANSPOSE(G17:M21),MINVERSE(Y17:Y21*_xlfn.MUNIT(COUNTA(Y17:Y21))))</f>
        <v>0.88235294117647056</v>
      </c>
      <c r="AR9" s="25">
        <v>0</v>
      </c>
      <c r="AS9" s="26">
        <v>0</v>
      </c>
      <c r="AT9" s="25">
        <v>0</v>
      </c>
      <c r="AU9" s="26">
        <v>0</v>
      </c>
    </row>
    <row r="10" spans="1:47" x14ac:dyDescent="0.35">
      <c r="B10" t="s">
        <v>13</v>
      </c>
      <c r="D10" t="s">
        <v>5</v>
      </c>
      <c r="E10" t="s">
        <v>29</v>
      </c>
      <c r="G10" s="5"/>
      <c r="H10" s="5"/>
      <c r="I10" s="5"/>
      <c r="J10" s="5"/>
      <c r="K10" s="5"/>
      <c r="L10" s="5"/>
      <c r="M10" s="5"/>
      <c r="N10" s="5"/>
      <c r="O10" s="10">
        <v>0</v>
      </c>
      <c r="P10" s="11">
        <v>0</v>
      </c>
      <c r="Q10" s="11">
        <v>0</v>
      </c>
      <c r="R10" s="12">
        <v>0</v>
      </c>
      <c r="S10" s="13">
        <v>0</v>
      </c>
      <c r="T10" s="5"/>
      <c r="U10" s="14">
        <v>20</v>
      </c>
      <c r="V10" s="11"/>
      <c r="W10" s="5"/>
      <c r="Y10" s="14">
        <f t="shared" si="0"/>
        <v>20</v>
      </c>
      <c r="AC10" s="23"/>
      <c r="AD10" s="23"/>
      <c r="AE10" s="23"/>
      <c r="AF10" s="23"/>
      <c r="AG10" s="23"/>
      <c r="AH10" s="23"/>
      <c r="AI10" s="23"/>
      <c r="AJ10" s="23"/>
      <c r="AK10" s="27">
        <v>0</v>
      </c>
      <c r="AL10" s="28">
        <v>0</v>
      </c>
      <c r="AM10" s="28">
        <v>0</v>
      </c>
      <c r="AN10" s="28">
        <v>0</v>
      </c>
      <c r="AO10" s="29">
        <v>0</v>
      </c>
      <c r="AP10" s="23"/>
      <c r="AQ10" s="27">
        <v>0.11764705882352941</v>
      </c>
      <c r="AR10" s="28">
        <v>0</v>
      </c>
      <c r="AS10" s="29">
        <v>0</v>
      </c>
      <c r="AT10" s="28">
        <v>0</v>
      </c>
      <c r="AU10" s="29">
        <v>0</v>
      </c>
    </row>
    <row r="11" spans="1:47" x14ac:dyDescent="0.35">
      <c r="B11" t="s">
        <v>14</v>
      </c>
      <c r="D11" t="s">
        <v>6</v>
      </c>
      <c r="E11" t="s">
        <v>29</v>
      </c>
      <c r="G11" s="5"/>
      <c r="H11" s="5"/>
      <c r="I11" s="5"/>
      <c r="J11" s="5"/>
      <c r="K11" s="5"/>
      <c r="L11" s="5"/>
      <c r="M11" s="5"/>
      <c r="N11" s="5"/>
      <c r="O11" s="10">
        <v>0</v>
      </c>
      <c r="P11" s="11">
        <v>0</v>
      </c>
      <c r="Q11" s="11">
        <v>0</v>
      </c>
      <c r="R11" s="12">
        <v>0</v>
      </c>
      <c r="S11" s="13">
        <v>0</v>
      </c>
      <c r="T11" s="5"/>
      <c r="U11" s="14">
        <v>50</v>
      </c>
      <c r="V11" s="11"/>
      <c r="W11" s="5"/>
      <c r="Y11" s="14">
        <f t="shared" si="0"/>
        <v>50</v>
      </c>
      <c r="AC11" s="23"/>
      <c r="AD11" s="23"/>
      <c r="AE11" s="23"/>
      <c r="AF11" s="23"/>
      <c r="AG11" s="23"/>
      <c r="AH11" s="23"/>
      <c r="AI11" s="23"/>
      <c r="AJ11" s="23"/>
      <c r="AK11" s="27">
        <v>0</v>
      </c>
      <c r="AL11" s="28">
        <v>0</v>
      </c>
      <c r="AM11" s="28">
        <v>0</v>
      </c>
      <c r="AN11" s="28">
        <v>0</v>
      </c>
      <c r="AO11" s="29">
        <v>0</v>
      </c>
      <c r="AP11" s="23"/>
      <c r="AQ11" s="27">
        <v>0</v>
      </c>
      <c r="AR11" s="28">
        <v>1</v>
      </c>
      <c r="AS11" s="29">
        <v>0.2</v>
      </c>
      <c r="AT11" s="28">
        <v>0</v>
      </c>
      <c r="AU11" s="29">
        <v>0</v>
      </c>
    </row>
    <row r="12" spans="1:47" x14ac:dyDescent="0.35">
      <c r="B12" t="s">
        <v>15</v>
      </c>
      <c r="D12" t="s">
        <v>9</v>
      </c>
      <c r="E12" t="s">
        <v>29</v>
      </c>
      <c r="G12" s="5"/>
      <c r="H12" s="5"/>
      <c r="I12" s="5"/>
      <c r="J12" s="5"/>
      <c r="K12" s="5"/>
      <c r="L12" s="5"/>
      <c r="M12" s="5"/>
      <c r="N12" s="5"/>
      <c r="O12" s="10">
        <v>0</v>
      </c>
      <c r="P12" s="12">
        <v>0</v>
      </c>
      <c r="Q12" s="12">
        <v>0</v>
      </c>
      <c r="R12" s="12">
        <v>0</v>
      </c>
      <c r="S12" s="13">
        <v>40</v>
      </c>
      <c r="T12" s="5"/>
      <c r="U12" s="14">
        <v>0</v>
      </c>
      <c r="V12" s="11"/>
      <c r="W12" s="5"/>
      <c r="Y12" s="14">
        <f t="shared" si="0"/>
        <v>40</v>
      </c>
      <c r="AC12" s="23"/>
      <c r="AD12" s="23"/>
      <c r="AE12" s="23"/>
      <c r="AF12" s="23"/>
      <c r="AG12" s="23"/>
      <c r="AH12" s="23"/>
      <c r="AI12" s="23"/>
      <c r="AJ12" s="23"/>
      <c r="AK12" s="27">
        <v>0</v>
      </c>
      <c r="AL12" s="28">
        <v>0</v>
      </c>
      <c r="AM12" s="28">
        <v>0</v>
      </c>
      <c r="AN12" s="28">
        <v>0</v>
      </c>
      <c r="AO12" s="29">
        <v>2</v>
      </c>
      <c r="AP12" s="23"/>
      <c r="AQ12" s="30">
        <v>0</v>
      </c>
      <c r="AR12" s="31">
        <v>0</v>
      </c>
      <c r="AS12" s="32">
        <v>0.8</v>
      </c>
      <c r="AT12" s="28">
        <v>0</v>
      </c>
      <c r="AU12" s="29">
        <v>0</v>
      </c>
    </row>
    <row r="13" spans="1:47" x14ac:dyDescent="0.35">
      <c r="B13" t="s">
        <v>16</v>
      </c>
      <c r="D13" t="s">
        <v>8</v>
      </c>
      <c r="E13" t="s">
        <v>29</v>
      </c>
      <c r="G13" s="5"/>
      <c r="H13" s="5"/>
      <c r="I13" s="5"/>
      <c r="J13" s="5"/>
      <c r="K13" s="5"/>
      <c r="L13" s="5"/>
      <c r="M13" s="5"/>
      <c r="N13" s="5"/>
      <c r="O13" s="10">
        <v>0</v>
      </c>
      <c r="P13" s="12">
        <v>0</v>
      </c>
      <c r="Q13" s="12">
        <v>0</v>
      </c>
      <c r="R13" s="12">
        <v>0</v>
      </c>
      <c r="S13" s="13">
        <v>30</v>
      </c>
      <c r="T13" s="5"/>
      <c r="U13" s="14">
        <v>0</v>
      </c>
      <c r="V13" s="11"/>
      <c r="W13" s="5"/>
      <c r="Y13" s="14">
        <f t="shared" si="0"/>
        <v>30</v>
      </c>
      <c r="AC13" s="23"/>
      <c r="AD13" s="23"/>
      <c r="AE13" s="23"/>
      <c r="AF13" s="23"/>
      <c r="AG13" s="23"/>
      <c r="AH13" s="23"/>
      <c r="AI13" s="23"/>
      <c r="AJ13" s="23"/>
      <c r="AK13" s="27">
        <v>0</v>
      </c>
      <c r="AL13" s="28">
        <v>0</v>
      </c>
      <c r="AM13" s="28">
        <v>0</v>
      </c>
      <c r="AN13" s="28">
        <v>0</v>
      </c>
      <c r="AO13" s="29">
        <v>1.5</v>
      </c>
      <c r="AP13" s="23"/>
      <c r="AQ13" s="27">
        <v>0</v>
      </c>
      <c r="AR13" s="28">
        <v>0</v>
      </c>
      <c r="AS13" s="28">
        <v>0</v>
      </c>
      <c r="AT13" s="28">
        <v>1</v>
      </c>
      <c r="AU13" s="29">
        <v>0</v>
      </c>
    </row>
    <row r="14" spans="1:47" x14ac:dyDescent="0.35">
      <c r="B14" t="s">
        <v>17</v>
      </c>
      <c r="D14" t="s">
        <v>10</v>
      </c>
      <c r="E14" t="s">
        <v>30</v>
      </c>
      <c r="G14" s="5"/>
      <c r="H14" s="5"/>
      <c r="I14" s="5"/>
      <c r="J14" s="5"/>
      <c r="K14" s="5"/>
      <c r="L14" s="5"/>
      <c r="M14" s="5"/>
      <c r="N14" s="5"/>
      <c r="O14" s="10">
        <v>0</v>
      </c>
      <c r="P14" s="12">
        <v>0</v>
      </c>
      <c r="Q14" s="12">
        <v>0</v>
      </c>
      <c r="R14" s="12">
        <v>0</v>
      </c>
      <c r="S14" s="13">
        <v>0</v>
      </c>
      <c r="T14" s="5"/>
      <c r="U14" s="14">
        <v>15</v>
      </c>
      <c r="V14" s="11"/>
      <c r="W14" s="5"/>
      <c r="Y14" s="14">
        <f t="shared" si="0"/>
        <v>15</v>
      </c>
      <c r="AC14" s="23"/>
      <c r="AD14" s="23"/>
      <c r="AE14" s="23"/>
      <c r="AF14" s="23"/>
      <c r="AG14" s="23"/>
      <c r="AH14" s="23"/>
      <c r="AI14" s="23"/>
      <c r="AJ14" s="23"/>
      <c r="AK14" s="27">
        <v>0</v>
      </c>
      <c r="AL14" s="28">
        <v>0</v>
      </c>
      <c r="AM14" s="28">
        <v>0</v>
      </c>
      <c r="AN14" s="28">
        <v>0</v>
      </c>
      <c r="AO14" s="29">
        <v>0</v>
      </c>
      <c r="AP14" s="23"/>
      <c r="AQ14" s="27">
        <v>0</v>
      </c>
      <c r="AR14" s="28">
        <v>0</v>
      </c>
      <c r="AS14" s="28">
        <v>0</v>
      </c>
      <c r="AT14" s="28">
        <v>0</v>
      </c>
      <c r="AU14" s="29">
        <v>0.75</v>
      </c>
    </row>
    <row r="15" spans="1:47" x14ac:dyDescent="0.35">
      <c r="B15" t="s">
        <v>18</v>
      </c>
      <c r="D15" t="s">
        <v>11</v>
      </c>
      <c r="E15" t="s">
        <v>30</v>
      </c>
      <c r="G15" s="5"/>
      <c r="H15" s="5"/>
      <c r="I15" s="5"/>
      <c r="J15" s="5"/>
      <c r="K15" s="5"/>
      <c r="L15" s="5"/>
      <c r="M15" s="5"/>
      <c r="N15" s="5"/>
      <c r="O15" s="15">
        <v>0</v>
      </c>
      <c r="P15" s="16">
        <v>0</v>
      </c>
      <c r="Q15" s="16">
        <v>0</v>
      </c>
      <c r="R15" s="16">
        <v>0</v>
      </c>
      <c r="S15" s="17">
        <v>0</v>
      </c>
      <c r="T15" s="5"/>
      <c r="U15" s="18">
        <v>5</v>
      </c>
      <c r="V15" s="11"/>
      <c r="W15" s="5"/>
      <c r="Y15" s="18">
        <f t="shared" si="0"/>
        <v>5</v>
      </c>
      <c r="AC15" s="23"/>
      <c r="AD15" s="23"/>
      <c r="AE15" s="23"/>
      <c r="AF15" s="23"/>
      <c r="AG15" s="23"/>
      <c r="AH15" s="23"/>
      <c r="AI15" s="23"/>
      <c r="AJ15" s="23"/>
      <c r="AK15" s="30">
        <v>0</v>
      </c>
      <c r="AL15" s="31">
        <v>0</v>
      </c>
      <c r="AM15" s="31">
        <v>0</v>
      </c>
      <c r="AN15" s="31">
        <v>0</v>
      </c>
      <c r="AO15" s="32">
        <v>0</v>
      </c>
      <c r="AP15" s="23"/>
      <c r="AQ15" s="30">
        <v>0</v>
      </c>
      <c r="AR15" s="31">
        <v>0</v>
      </c>
      <c r="AS15" s="31">
        <v>0</v>
      </c>
      <c r="AT15" s="31">
        <v>0</v>
      </c>
      <c r="AU15" s="32">
        <v>0.25</v>
      </c>
    </row>
    <row r="16" spans="1:47" x14ac:dyDescent="0.35">
      <c r="G16" s="5" t="s">
        <v>31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Y16" s="5" t="s">
        <v>36</v>
      </c>
      <c r="AC16" s="43" t="s">
        <v>42</v>
      </c>
      <c r="AD16" s="43"/>
      <c r="AE16" s="43"/>
      <c r="AF16" s="43"/>
      <c r="AG16" s="23"/>
      <c r="AH16" s="23"/>
      <c r="AI16" s="23"/>
      <c r="AJ16" s="23"/>
      <c r="AK16" s="23"/>
      <c r="AL16" s="23"/>
      <c r="AM16" s="23"/>
      <c r="AN16" s="23"/>
      <c r="AO16" s="23"/>
      <c r="AP16" s="23"/>
    </row>
    <row r="17" spans="2:47" x14ac:dyDescent="0.35">
      <c r="C17" t="s">
        <v>24</v>
      </c>
      <c r="D17" s="37" t="s">
        <v>19</v>
      </c>
      <c r="E17" t="s">
        <v>29</v>
      </c>
      <c r="G17" s="38">
        <v>150</v>
      </c>
      <c r="H17" s="39">
        <v>20</v>
      </c>
      <c r="I17" s="7">
        <v>0</v>
      </c>
      <c r="J17" s="8">
        <v>0</v>
      </c>
      <c r="K17" s="7">
        <v>0</v>
      </c>
      <c r="L17" s="7">
        <v>0</v>
      </c>
      <c r="M17" s="8">
        <v>0</v>
      </c>
      <c r="N17" s="5"/>
      <c r="O17" s="5"/>
      <c r="P17" s="5"/>
      <c r="Q17" s="5"/>
      <c r="R17" s="5"/>
      <c r="S17" s="5"/>
      <c r="T17" s="5"/>
      <c r="U17" s="5"/>
      <c r="V17" s="5"/>
      <c r="W17" s="5"/>
      <c r="Y17" s="9">
        <f>SUM(G17:M17)</f>
        <v>170</v>
      </c>
      <c r="AC17" s="24" cm="1">
        <f t="array" ref="AC17:AI21">MMULT(G17:M21,MINVERSE(Y9:Y15*_xlfn.MUNIT(COUNTA(Y9:Y15))))</f>
        <v>1</v>
      </c>
      <c r="AD17" s="25">
        <v>1</v>
      </c>
      <c r="AE17" s="25">
        <v>0</v>
      </c>
      <c r="AF17" s="25">
        <v>0</v>
      </c>
      <c r="AG17" s="25">
        <v>0</v>
      </c>
      <c r="AH17" s="25">
        <v>0</v>
      </c>
      <c r="AI17" s="26">
        <v>0</v>
      </c>
      <c r="AJ17" s="23"/>
      <c r="AK17" s="23"/>
      <c r="AL17" s="23"/>
      <c r="AM17" s="23"/>
      <c r="AN17" s="23"/>
      <c r="AO17" s="23"/>
      <c r="AP17" s="23"/>
    </row>
    <row r="18" spans="2:47" x14ac:dyDescent="0.35">
      <c r="C18" t="s">
        <v>25</v>
      </c>
      <c r="D18" t="s">
        <v>20</v>
      </c>
      <c r="E18" t="s">
        <v>29</v>
      </c>
      <c r="G18" s="10">
        <v>0</v>
      </c>
      <c r="H18" s="11">
        <v>0</v>
      </c>
      <c r="I18" s="11">
        <v>40</v>
      </c>
      <c r="J18" s="46">
        <v>0</v>
      </c>
      <c r="K18" s="12">
        <v>0</v>
      </c>
      <c r="L18" s="12">
        <v>0</v>
      </c>
      <c r="M18" s="13">
        <v>0</v>
      </c>
      <c r="N18" s="5"/>
      <c r="O18" s="5"/>
      <c r="P18" s="5"/>
      <c r="Q18" s="5"/>
      <c r="R18" s="5"/>
      <c r="S18" s="5"/>
      <c r="T18" s="5"/>
      <c r="U18" s="5"/>
      <c r="V18" s="5"/>
      <c r="W18" s="5"/>
      <c r="Y18" s="14">
        <f>SUM(G18:M18)</f>
        <v>40</v>
      </c>
      <c r="AC18" s="27">
        <v>0</v>
      </c>
      <c r="AD18" s="28">
        <v>0</v>
      </c>
      <c r="AE18" s="28">
        <v>0.8</v>
      </c>
      <c r="AF18" s="28">
        <v>0</v>
      </c>
      <c r="AG18" s="28">
        <v>0</v>
      </c>
      <c r="AH18" s="28">
        <v>0</v>
      </c>
      <c r="AI18" s="29">
        <v>0</v>
      </c>
      <c r="AJ18" s="23"/>
      <c r="AK18" s="23"/>
      <c r="AL18" s="23"/>
      <c r="AM18" s="23"/>
      <c r="AN18" s="23"/>
      <c r="AO18" s="23"/>
      <c r="AP18" s="23"/>
    </row>
    <row r="19" spans="2:47" x14ac:dyDescent="0.35">
      <c r="C19" t="s">
        <v>26</v>
      </c>
      <c r="D19" s="37" t="s">
        <v>21</v>
      </c>
      <c r="E19" t="s">
        <v>29</v>
      </c>
      <c r="G19" s="15">
        <v>0</v>
      </c>
      <c r="H19" s="16">
        <v>0</v>
      </c>
      <c r="I19" s="47">
        <v>10</v>
      </c>
      <c r="J19" s="48">
        <v>40</v>
      </c>
      <c r="K19" s="12">
        <v>0</v>
      </c>
      <c r="L19" s="12">
        <v>0</v>
      </c>
      <c r="M19" s="13">
        <v>0</v>
      </c>
      <c r="N19" s="5"/>
      <c r="O19" s="5"/>
      <c r="P19" s="5"/>
      <c r="Q19" s="5"/>
      <c r="R19" s="5"/>
      <c r="S19" s="5"/>
      <c r="T19" s="5"/>
      <c r="U19" s="5"/>
      <c r="V19" s="5"/>
      <c r="W19" s="5"/>
      <c r="Y19" s="14">
        <f>SUM(G19:M19)</f>
        <v>50</v>
      </c>
      <c r="AC19" s="27">
        <v>0</v>
      </c>
      <c r="AD19" s="28">
        <v>0</v>
      </c>
      <c r="AE19" s="28">
        <v>0.2</v>
      </c>
      <c r="AF19" s="28">
        <v>1</v>
      </c>
      <c r="AG19" s="28">
        <v>0</v>
      </c>
      <c r="AH19" s="28">
        <v>0</v>
      </c>
      <c r="AI19" s="29">
        <v>0</v>
      </c>
      <c r="AJ19" s="23"/>
      <c r="AK19" s="23"/>
      <c r="AL19" s="23"/>
      <c r="AM19" s="23"/>
      <c r="AN19" s="23"/>
      <c r="AO19" s="23"/>
      <c r="AP19" s="23"/>
    </row>
    <row r="20" spans="2:47" x14ac:dyDescent="0.35">
      <c r="C20" t="s">
        <v>27</v>
      </c>
      <c r="D20" t="s">
        <v>22</v>
      </c>
      <c r="E20" t="s">
        <v>29</v>
      </c>
      <c r="G20" s="10">
        <v>0</v>
      </c>
      <c r="H20" s="12">
        <v>0</v>
      </c>
      <c r="I20" s="12">
        <v>0</v>
      </c>
      <c r="J20" s="12">
        <v>0</v>
      </c>
      <c r="K20" s="6">
        <v>30</v>
      </c>
      <c r="L20" s="45">
        <v>0</v>
      </c>
      <c r="M20" s="8">
        <v>0</v>
      </c>
      <c r="N20" s="5"/>
      <c r="O20" s="5"/>
      <c r="P20" s="5"/>
      <c r="Q20" s="5"/>
      <c r="R20" s="5"/>
      <c r="S20" s="5"/>
      <c r="T20" s="5"/>
      <c r="U20" s="5"/>
      <c r="V20" s="5"/>
      <c r="W20" s="5"/>
      <c r="Y20" s="14">
        <f>SUM(G20:M20)</f>
        <v>30</v>
      </c>
      <c r="AC20" s="27">
        <v>0</v>
      </c>
      <c r="AD20" s="28">
        <v>0</v>
      </c>
      <c r="AE20" s="28">
        <v>0</v>
      </c>
      <c r="AF20" s="28">
        <v>0</v>
      </c>
      <c r="AG20" s="24">
        <v>1</v>
      </c>
      <c r="AH20" s="25">
        <v>0</v>
      </c>
      <c r="AI20" s="26">
        <v>0</v>
      </c>
      <c r="AJ20" s="23"/>
      <c r="AK20" s="23"/>
      <c r="AL20" s="23"/>
      <c r="AM20" s="23"/>
      <c r="AN20" s="23"/>
      <c r="AO20" s="23"/>
      <c r="AP20" s="23"/>
    </row>
    <row r="21" spans="2:47" x14ac:dyDescent="0.35">
      <c r="C21" t="s">
        <v>28</v>
      </c>
      <c r="D21" s="42" t="s">
        <v>23</v>
      </c>
      <c r="E21" t="s">
        <v>30</v>
      </c>
      <c r="G21" s="19">
        <v>0</v>
      </c>
      <c r="H21" s="16">
        <v>0</v>
      </c>
      <c r="I21" s="16">
        <v>0</v>
      </c>
      <c r="J21" s="16">
        <v>0</v>
      </c>
      <c r="K21" s="15">
        <v>0</v>
      </c>
      <c r="L21" s="40">
        <v>15</v>
      </c>
      <c r="M21" s="41">
        <v>5</v>
      </c>
      <c r="N21" s="5"/>
      <c r="O21" s="5"/>
      <c r="P21" s="5"/>
      <c r="Q21" s="5"/>
      <c r="R21" s="5"/>
      <c r="S21" s="5"/>
      <c r="T21" s="5"/>
      <c r="U21" s="5"/>
      <c r="V21" s="5"/>
      <c r="W21" s="5"/>
      <c r="Y21" s="18">
        <f>SUM(G21:M21)</f>
        <v>20</v>
      </c>
      <c r="AC21" s="30">
        <v>0</v>
      </c>
      <c r="AD21" s="31">
        <v>0</v>
      </c>
      <c r="AE21" s="31">
        <v>0</v>
      </c>
      <c r="AF21" s="31">
        <v>0</v>
      </c>
      <c r="AG21" s="30">
        <v>0</v>
      </c>
      <c r="AH21" s="31">
        <v>1</v>
      </c>
      <c r="AI21" s="32">
        <v>1</v>
      </c>
      <c r="AJ21" s="23"/>
      <c r="AK21" s="23"/>
      <c r="AL21" s="23"/>
      <c r="AM21" s="23"/>
      <c r="AN21" s="23"/>
      <c r="AO21" s="23"/>
      <c r="AP21" s="23"/>
    </row>
    <row r="22" spans="2:47" x14ac:dyDescent="0.35">
      <c r="G22" s="5"/>
      <c r="H22" s="5"/>
      <c r="I22" s="5"/>
      <c r="J22" s="5"/>
      <c r="K22" s="5"/>
      <c r="L22" s="5"/>
      <c r="M22" s="5"/>
      <c r="N22" s="5"/>
      <c r="O22" s="5" t="s">
        <v>40</v>
      </c>
      <c r="P22" s="5"/>
      <c r="Q22" s="5"/>
      <c r="R22" s="5"/>
      <c r="S22" s="5"/>
      <c r="T22" s="5"/>
      <c r="U22" s="5"/>
      <c r="V22" s="5"/>
      <c r="W22" s="5"/>
      <c r="X22" s="5"/>
      <c r="AC22" s="23"/>
      <c r="AD22" s="23"/>
      <c r="AE22" s="23"/>
      <c r="AF22" s="23"/>
      <c r="AG22" s="23"/>
      <c r="AH22" s="23"/>
      <c r="AI22" s="23"/>
      <c r="AJ22" s="23"/>
      <c r="AK22" s="23" t="s">
        <v>43</v>
      </c>
      <c r="AL22" s="23"/>
      <c r="AM22" s="23"/>
      <c r="AN22" s="23"/>
      <c r="AO22" s="23"/>
      <c r="AP22" s="23"/>
    </row>
    <row r="23" spans="2:47" x14ac:dyDescent="0.35">
      <c r="D23" t="s">
        <v>38</v>
      </c>
      <c r="E23" t="s">
        <v>39</v>
      </c>
      <c r="G23" s="5"/>
      <c r="H23" s="5"/>
      <c r="I23" s="5"/>
      <c r="J23" s="5"/>
      <c r="K23" s="5"/>
      <c r="L23" s="5"/>
      <c r="M23" s="5"/>
      <c r="N23" s="5"/>
      <c r="O23" s="20">
        <v>15</v>
      </c>
      <c r="P23" s="21">
        <v>7</v>
      </c>
      <c r="Q23" s="21">
        <v>12</v>
      </c>
      <c r="R23" s="21">
        <v>0</v>
      </c>
      <c r="S23" s="22">
        <v>10</v>
      </c>
      <c r="T23" s="5"/>
      <c r="U23" s="5"/>
      <c r="V23" s="5"/>
      <c r="W23" s="5"/>
      <c r="X23" s="5"/>
      <c r="AC23" s="23"/>
      <c r="AD23" s="23"/>
      <c r="AE23" s="23"/>
      <c r="AF23" s="23"/>
      <c r="AG23" s="23"/>
      <c r="AH23" s="23"/>
      <c r="AI23" s="23"/>
      <c r="AJ23" s="23"/>
      <c r="AK23" s="33" cm="1">
        <f t="array" ref="AK23:AO23">MMULT(O23:S23, MINVERSE(Y17:Y21*_xlfn.MUNIT(COUNTA(Y17:Y21))))</f>
        <v>8.8235294117647051E-2</v>
      </c>
      <c r="AL23" s="34">
        <v>0.17500000000000002</v>
      </c>
      <c r="AM23" s="34">
        <v>0.24</v>
      </c>
      <c r="AN23" s="34">
        <v>0</v>
      </c>
      <c r="AO23" s="35">
        <v>0.5</v>
      </c>
      <c r="AP23" s="23"/>
    </row>
    <row r="24" spans="2:47" x14ac:dyDescent="0.35"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X24" s="5"/>
      <c r="Y24" s="5"/>
      <c r="Z24" s="5"/>
    </row>
    <row r="25" spans="2:47" x14ac:dyDescent="0.35">
      <c r="B25" s="2"/>
      <c r="C25" s="2"/>
      <c r="D25" s="2"/>
      <c r="E25" s="2"/>
      <c r="F25" s="2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4"/>
      <c r="AR25" s="4"/>
      <c r="AS25" s="4"/>
      <c r="AT25" s="4"/>
      <c r="AU25" s="4"/>
    </row>
    <row r="26" spans="2:47" x14ac:dyDescent="0.35">
      <c r="G26" s="5"/>
      <c r="H26" s="5"/>
      <c r="I26" s="5"/>
      <c r="J26" s="5"/>
      <c r="K26" s="5"/>
      <c r="L26" s="5"/>
      <c r="M26" s="5"/>
      <c r="N26" s="5"/>
      <c r="O26" t="s">
        <v>49</v>
      </c>
      <c r="P26" s="5"/>
      <c r="Q26" s="5"/>
      <c r="R26" s="5"/>
      <c r="S26" s="5"/>
      <c r="T26" s="5"/>
      <c r="U26" t="s">
        <v>34</v>
      </c>
      <c r="V26" s="5"/>
      <c r="W26" t="s">
        <v>45</v>
      </c>
      <c r="X26" s="5"/>
      <c r="Y26" t="s">
        <v>47</v>
      </c>
      <c r="AA26" t="s">
        <v>54</v>
      </c>
    </row>
    <row r="27" spans="2:47" ht="14.5" customHeight="1" x14ac:dyDescent="0.35">
      <c r="B27" t="s">
        <v>12</v>
      </c>
      <c r="D27" t="s">
        <v>4</v>
      </c>
      <c r="E27" t="s">
        <v>29</v>
      </c>
      <c r="G27" s="23"/>
      <c r="H27" s="23"/>
      <c r="I27" s="23"/>
      <c r="J27" s="23"/>
      <c r="K27" s="23"/>
      <c r="L27" s="23"/>
      <c r="M27" s="23"/>
      <c r="N27" s="23"/>
      <c r="O27" s="24" cm="1">
        <f t="array" ref="O27:S33">MMULT(AK9:AO15,Y35:Y39*_xlfn.MUNIT(COUNTA(Y35:Y39)))</f>
        <v>0</v>
      </c>
      <c r="P27" s="25">
        <v>53.731929757799065</v>
      </c>
      <c r="Q27" s="25">
        <v>100.00000004602163</v>
      </c>
      <c r="R27" s="25">
        <v>0</v>
      </c>
      <c r="S27" s="26">
        <v>0</v>
      </c>
      <c r="T27" s="23"/>
      <c r="U27" s="9">
        <v>0</v>
      </c>
      <c r="V27" s="28"/>
      <c r="W27" s="49">
        <v>19.648467336668677</v>
      </c>
      <c r="X27" s="23"/>
      <c r="Y27" s="77" cm="1">
        <f t="array" ref="Y27:Y30">MMULT(AQ9:AS12,Y35:Y37)</f>
        <v>173.38039714048935</v>
      </c>
      <c r="AA27" s="70">
        <f xml:space="preserve"> SUM(O27:S27,U27,W27) - Y27</f>
        <v>0</v>
      </c>
      <c r="AB27" s="94"/>
    </row>
    <row r="28" spans="2:47" x14ac:dyDescent="0.35">
      <c r="B28" t="s">
        <v>13</v>
      </c>
      <c r="D28" t="s">
        <v>5</v>
      </c>
      <c r="E28" t="s">
        <v>29</v>
      </c>
      <c r="G28" s="23"/>
      <c r="H28" s="23"/>
      <c r="I28" s="23"/>
      <c r="J28" s="23"/>
      <c r="K28" s="23"/>
      <c r="L28" s="23"/>
      <c r="M28" s="23"/>
      <c r="N28" s="23"/>
      <c r="O28" s="27">
        <v>0</v>
      </c>
      <c r="P28" s="28">
        <v>0</v>
      </c>
      <c r="Q28" s="28">
        <v>0</v>
      </c>
      <c r="R28" s="28">
        <v>0</v>
      </c>
      <c r="S28" s="29">
        <v>0</v>
      </c>
      <c r="T28" s="23"/>
      <c r="U28" s="14">
        <v>20</v>
      </c>
      <c r="V28" s="28"/>
      <c r="W28" s="50">
        <v>3.1173862853985828</v>
      </c>
      <c r="X28" s="23"/>
      <c r="Y28" s="78">
        <v>23.117386285398581</v>
      </c>
      <c r="Z28" s="76"/>
      <c r="AA28" s="69">
        <f t="shared" ref="AA28:AA33" si="1" xml:space="preserve"> SUM(O28:S28,U28,W28) - Y28</f>
        <v>0</v>
      </c>
      <c r="AB28" s="94"/>
    </row>
    <row r="29" spans="2:47" x14ac:dyDescent="0.35">
      <c r="B29" t="s">
        <v>14</v>
      </c>
      <c r="D29" t="s">
        <v>6</v>
      </c>
      <c r="E29" t="s">
        <v>29</v>
      </c>
      <c r="G29" s="23"/>
      <c r="H29" s="23"/>
      <c r="I29" s="23"/>
      <c r="J29" s="23"/>
      <c r="K29" s="23"/>
      <c r="L29" s="23"/>
      <c r="M29" s="23"/>
      <c r="N29" s="23"/>
      <c r="O29" s="27">
        <v>0</v>
      </c>
      <c r="P29" s="28">
        <v>0</v>
      </c>
      <c r="Q29" s="28">
        <v>0</v>
      </c>
      <c r="R29" s="28">
        <v>0</v>
      </c>
      <c r="S29" s="29">
        <v>0</v>
      </c>
      <c r="T29" s="23"/>
      <c r="U29" s="14">
        <v>50</v>
      </c>
      <c r="V29" s="28"/>
      <c r="W29" s="50">
        <v>2.9855438108414125</v>
      </c>
      <c r="X29" s="23"/>
      <c r="Y29" s="78">
        <v>52.985543810841413</v>
      </c>
      <c r="Z29" s="76"/>
      <c r="AA29" s="69">
        <f t="shared" si="1"/>
        <v>0</v>
      </c>
      <c r="AB29" s="94"/>
    </row>
    <row r="30" spans="2:47" x14ac:dyDescent="0.35">
      <c r="B30" t="s">
        <v>15</v>
      </c>
      <c r="D30" t="s">
        <v>9</v>
      </c>
      <c r="E30" t="s">
        <v>29</v>
      </c>
      <c r="G30" s="23"/>
      <c r="H30" s="23"/>
      <c r="I30" s="23"/>
      <c r="J30" s="23"/>
      <c r="K30" s="23"/>
      <c r="L30" s="23"/>
      <c r="M30" s="23"/>
      <c r="N30" s="23"/>
      <c r="O30" s="27">
        <v>0</v>
      </c>
      <c r="P30" s="28">
        <v>0</v>
      </c>
      <c r="Q30" s="28">
        <v>0</v>
      </c>
      <c r="R30" s="28">
        <v>0</v>
      </c>
      <c r="S30" s="29">
        <v>40.000000018408642</v>
      </c>
      <c r="T30" s="23"/>
      <c r="U30" s="14">
        <v>0</v>
      </c>
      <c r="V30" s="28"/>
      <c r="W30" s="50">
        <v>0</v>
      </c>
      <c r="X30" s="23"/>
      <c r="Y30" s="79">
        <v>40.000000018408656</v>
      </c>
      <c r="Z30" s="80" t="s">
        <v>53</v>
      </c>
      <c r="AA30" s="71">
        <f t="shared" si="1"/>
        <v>0</v>
      </c>
      <c r="AB30" s="94"/>
    </row>
    <row r="31" spans="2:47" x14ac:dyDescent="0.35">
      <c r="B31" t="s">
        <v>16</v>
      </c>
      <c r="D31" t="s">
        <v>8</v>
      </c>
      <c r="E31" t="s">
        <v>29</v>
      </c>
      <c r="G31" s="23"/>
      <c r="H31" s="23"/>
      <c r="I31" s="23"/>
      <c r="J31" s="23"/>
      <c r="K31" s="23"/>
      <c r="L31" s="23"/>
      <c r="M31" s="23"/>
      <c r="N31" s="23"/>
      <c r="O31" s="27">
        <v>0</v>
      </c>
      <c r="P31" s="28">
        <v>0</v>
      </c>
      <c r="Q31" s="28">
        <v>0</v>
      </c>
      <c r="R31" s="28">
        <v>0</v>
      </c>
      <c r="S31" s="29">
        <v>30.000000013806481</v>
      </c>
      <c r="T31" s="23"/>
      <c r="U31" s="14">
        <v>0</v>
      </c>
      <c r="V31" s="28"/>
      <c r="W31" s="50">
        <v>985.00918147579841</v>
      </c>
      <c r="X31" s="23"/>
      <c r="Y31" s="50">
        <v>1015.0091814896049</v>
      </c>
      <c r="Z31" s="28"/>
      <c r="AA31" s="69">
        <f t="shared" si="1"/>
        <v>0</v>
      </c>
      <c r="AB31" s="94"/>
    </row>
    <row r="32" spans="2:47" x14ac:dyDescent="0.35">
      <c r="B32" t="s">
        <v>17</v>
      </c>
      <c r="D32" t="s">
        <v>10</v>
      </c>
      <c r="E32" t="s">
        <v>30</v>
      </c>
      <c r="G32" s="23"/>
      <c r="H32" s="23"/>
      <c r="I32" s="23"/>
      <c r="J32" s="23"/>
      <c r="K32" s="23"/>
      <c r="L32" s="23"/>
      <c r="M32" s="23"/>
      <c r="N32" s="23"/>
      <c r="O32" s="27">
        <v>0</v>
      </c>
      <c r="P32" s="28">
        <v>0</v>
      </c>
      <c r="Q32" s="28">
        <v>0</v>
      </c>
      <c r="R32" s="28">
        <v>0</v>
      </c>
      <c r="S32" s="29">
        <v>0</v>
      </c>
      <c r="T32" s="23"/>
      <c r="U32" s="14">
        <v>15</v>
      </c>
      <c r="V32" s="28"/>
      <c r="W32" s="50">
        <v>0</v>
      </c>
      <c r="X32" s="23"/>
      <c r="Y32" s="50">
        <v>14.999999999999998</v>
      </c>
      <c r="Z32" s="28"/>
      <c r="AA32" s="68">
        <f t="shared" si="1"/>
        <v>0</v>
      </c>
      <c r="AB32" s="94"/>
    </row>
    <row r="33" spans="2:28" x14ac:dyDescent="0.35">
      <c r="B33" t="s">
        <v>18</v>
      </c>
      <c r="D33" t="s">
        <v>11</v>
      </c>
      <c r="E33" t="s">
        <v>30</v>
      </c>
      <c r="G33" s="23"/>
      <c r="H33" s="23"/>
      <c r="I33" s="23"/>
      <c r="J33" s="23"/>
      <c r="K33" s="23"/>
      <c r="L33" s="23"/>
      <c r="M33" s="23"/>
      <c r="N33" s="23"/>
      <c r="O33" s="30">
        <v>0</v>
      </c>
      <c r="P33" s="31">
        <v>0</v>
      </c>
      <c r="Q33" s="31">
        <v>0</v>
      </c>
      <c r="R33" s="31">
        <v>0</v>
      </c>
      <c r="S33" s="32">
        <v>0</v>
      </c>
      <c r="T33" s="23"/>
      <c r="U33" s="18">
        <v>5</v>
      </c>
      <c r="V33" s="28"/>
      <c r="W33" s="51">
        <v>0</v>
      </c>
      <c r="X33" s="23"/>
      <c r="Y33" s="51">
        <v>5.0000000092043226</v>
      </c>
      <c r="Z33" s="28"/>
      <c r="AA33" s="73">
        <f t="shared" si="1"/>
        <v>-9.204322637401674E-9</v>
      </c>
      <c r="AB33" s="94"/>
    </row>
    <row r="34" spans="2:28" x14ac:dyDescent="0.35">
      <c r="G34" t="s">
        <v>50</v>
      </c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 t="s">
        <v>48</v>
      </c>
      <c r="Z34" s="23"/>
      <c r="AA34" t="s">
        <v>55</v>
      </c>
    </row>
    <row r="35" spans="2:28" x14ac:dyDescent="0.35">
      <c r="C35" t="s">
        <v>24</v>
      </c>
      <c r="D35" t="s">
        <v>19</v>
      </c>
      <c r="E35" t="s">
        <v>29</v>
      </c>
      <c r="G35" s="59" cm="1">
        <f t="array" ref="G35:J37">TRANSPOSE(MMULT(AQ9:AS12,Y35:Y37*_xlfn.MUNIT(COUNTA(Y35:Y37))))</f>
        <v>173.38039714048935</v>
      </c>
      <c r="H35" s="60">
        <v>23.117386285398581</v>
      </c>
      <c r="I35" s="60">
        <v>0</v>
      </c>
      <c r="J35" s="61">
        <v>0</v>
      </c>
      <c r="K35" s="84">
        <v>0</v>
      </c>
      <c r="L35" s="84">
        <v>0</v>
      </c>
      <c r="M35" s="85">
        <v>0</v>
      </c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49">
        <v>196.49778342588795</v>
      </c>
      <c r="Z35" s="28"/>
      <c r="AA35" s="91">
        <f xml:space="preserve"> SUM(G35:M35) - Y35</f>
        <v>0</v>
      </c>
      <c r="AB35" s="94"/>
    </row>
    <row r="36" spans="2:28" x14ac:dyDescent="0.35">
      <c r="C36" t="s">
        <v>25</v>
      </c>
      <c r="D36" t="s">
        <v>20</v>
      </c>
      <c r="E36" t="s">
        <v>29</v>
      </c>
      <c r="G36" s="62">
        <v>0</v>
      </c>
      <c r="H36" s="63">
        <v>0</v>
      </c>
      <c r="I36" s="63">
        <v>42.985543806239249</v>
      </c>
      <c r="J36" s="64">
        <v>0</v>
      </c>
      <c r="K36" s="86">
        <v>0</v>
      </c>
      <c r="L36" s="86">
        <v>0</v>
      </c>
      <c r="M36" s="87">
        <v>0</v>
      </c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50">
        <v>42.985543806239249</v>
      </c>
      <c r="Z36" s="28"/>
      <c r="AA36" s="92">
        <f xml:space="preserve"> SUM(G36:M36) - Y36</f>
        <v>0</v>
      </c>
      <c r="AB36" s="94"/>
    </row>
    <row r="37" spans="2:28" x14ac:dyDescent="0.35">
      <c r="C37" t="s">
        <v>26</v>
      </c>
      <c r="D37" t="s">
        <v>21</v>
      </c>
      <c r="E37" t="s">
        <v>29</v>
      </c>
      <c r="G37" s="65">
        <v>0</v>
      </c>
      <c r="H37" s="66">
        <v>0</v>
      </c>
      <c r="I37" s="66">
        <v>10.000000004602164</v>
      </c>
      <c r="J37" s="67">
        <v>40.000000018408656</v>
      </c>
      <c r="K37" s="86">
        <v>0</v>
      </c>
      <c r="L37" s="86">
        <v>0</v>
      </c>
      <c r="M37" s="87">
        <v>0</v>
      </c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50">
        <v>50.000000023010813</v>
      </c>
      <c r="Z37" s="28"/>
      <c r="AA37" s="93">
        <f xml:space="preserve"> SUM(G37:M37) - Y37</f>
        <v>0</v>
      </c>
      <c r="AB37" s="94"/>
    </row>
    <row r="38" spans="2:28" ht="14.5" customHeight="1" x14ac:dyDescent="0.35">
      <c r="C38" t="s">
        <v>27</v>
      </c>
      <c r="D38" t="s">
        <v>22</v>
      </c>
      <c r="E38" t="s">
        <v>29</v>
      </c>
      <c r="G38" s="88">
        <v>0</v>
      </c>
      <c r="H38" s="86">
        <v>0</v>
      </c>
      <c r="I38" s="86">
        <v>0</v>
      </c>
      <c r="J38" s="86">
        <v>0</v>
      </c>
      <c r="K38" s="53" cm="1">
        <f t="array" ref="K38:M39">MMULT(AG20:AI21,Y31:Y33*_xlfn.MUNIT(COUNTA(Y31:Y33)))</f>
        <v>1015.0091814896049</v>
      </c>
      <c r="L38" s="54">
        <v>0</v>
      </c>
      <c r="M38" s="55">
        <v>0</v>
      </c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81" cm="1">
        <f t="array" ref="Y38:Y39">MMULT(AG20:AI21,Y31:Y33)</f>
        <v>1015.0091814896049</v>
      </c>
      <c r="AA38" s="92">
        <f t="shared" ref="AA38:AA39" si="2" xml:space="preserve"> SUM(G38:M38) - Y38</f>
        <v>0</v>
      </c>
      <c r="AB38" s="94"/>
    </row>
    <row r="39" spans="2:28" x14ac:dyDescent="0.35">
      <c r="C39" t="s">
        <v>28</v>
      </c>
      <c r="D39" t="s">
        <v>23</v>
      </c>
      <c r="E39" t="s">
        <v>30</v>
      </c>
      <c r="G39" s="89">
        <v>0</v>
      </c>
      <c r="H39" s="90">
        <v>0</v>
      </c>
      <c r="I39" s="90">
        <v>0</v>
      </c>
      <c r="J39" s="90">
        <v>0</v>
      </c>
      <c r="K39" s="56">
        <v>0</v>
      </c>
      <c r="L39" s="57">
        <v>14.999999999999998</v>
      </c>
      <c r="M39" s="58">
        <v>5.0000000092043226</v>
      </c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82">
        <v>20.000000009204321</v>
      </c>
      <c r="Z39" s="83" t="s">
        <v>52</v>
      </c>
      <c r="AA39" s="93">
        <f t="shared" si="2"/>
        <v>0</v>
      </c>
      <c r="AB39" s="94"/>
    </row>
    <row r="40" spans="2:28" x14ac:dyDescent="0.35">
      <c r="G40" s="23"/>
      <c r="H40" s="23"/>
      <c r="I40" s="23"/>
      <c r="J40" s="23"/>
      <c r="K40" s="23"/>
      <c r="L40" s="23"/>
      <c r="M40" s="23"/>
      <c r="N40" s="23"/>
      <c r="O40" s="23" t="s">
        <v>51</v>
      </c>
      <c r="P40" s="23"/>
      <c r="Q40" s="23"/>
      <c r="R40" s="23"/>
      <c r="S40" s="23"/>
      <c r="T40" s="23"/>
      <c r="U40" s="23"/>
      <c r="V40" s="23"/>
      <c r="W40" s="23" t="s">
        <v>60</v>
      </c>
      <c r="X40" s="23"/>
      <c r="Y40" s="23"/>
      <c r="Z40" s="23"/>
    </row>
    <row r="41" spans="2:28" x14ac:dyDescent="0.35">
      <c r="D41" t="s">
        <v>38</v>
      </c>
      <c r="E41" t="s">
        <v>39</v>
      </c>
      <c r="G41" s="23"/>
      <c r="H41" s="23"/>
      <c r="I41" s="23"/>
      <c r="J41" s="23"/>
      <c r="K41" s="23"/>
      <c r="L41" s="23"/>
      <c r="M41" s="23"/>
      <c r="N41" s="23"/>
      <c r="O41" s="33" cm="1">
        <f t="array" ref="O41:S41">MMULT(AK23:AO23,Y35:Y39*_xlfn.MUNIT(COUNTA(Y35:Y39)))</f>
        <v>17.338039714048936</v>
      </c>
      <c r="P41" s="34">
        <v>7.5224701660918694</v>
      </c>
      <c r="Q41" s="34">
        <v>12.000000005522594</v>
      </c>
      <c r="R41" s="34">
        <v>0</v>
      </c>
      <c r="S41" s="35">
        <v>10.00000000460216</v>
      </c>
      <c r="T41" s="23"/>
      <c r="U41" s="23"/>
      <c r="V41" s="23"/>
      <c r="W41" s="95" cm="1">
        <f t="array" ref="W41">MMULT(O41:S41, Y35:Y39)</f>
        <v>4530.2438443526471</v>
      </c>
      <c r="X41" s="23"/>
      <c r="Y41" s="23"/>
      <c r="Z41" s="23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E315C-344D-47D8-827F-77492C2364D5}">
  <dimension ref="A1:AU51"/>
  <sheetViews>
    <sheetView zoomScale="85" zoomScaleNormal="85" workbookViewId="0">
      <pane xSplit="5" ySplit="7" topLeftCell="F20" activePane="bottomRight" state="frozen"/>
      <selection pane="topRight" activeCell="F1" sqref="F1"/>
      <selection pane="bottomLeft" activeCell="A6" sqref="A6"/>
      <selection pane="bottomRight" activeCell="Z41" sqref="Z41"/>
    </sheetView>
  </sheetViews>
  <sheetFormatPr defaultRowHeight="14.5" x14ac:dyDescent="0.35"/>
  <cols>
    <col min="1" max="1" width="11.1796875" bestFit="1" customWidth="1"/>
    <col min="2" max="2" width="6" bestFit="1" customWidth="1"/>
    <col min="3" max="3" width="5.81640625" bestFit="1" customWidth="1"/>
    <col min="4" max="4" width="13.26953125" bestFit="1" customWidth="1"/>
    <col min="5" max="5" width="5.54296875" bestFit="1" customWidth="1"/>
    <col min="7" max="7" width="10" customWidth="1"/>
    <col min="8" max="8" width="7.7265625" customWidth="1"/>
    <col min="9" max="9" width="7.54296875" customWidth="1"/>
    <col min="10" max="10" width="8.453125" bestFit="1" customWidth="1"/>
    <col min="11" max="11" width="8.54296875" customWidth="1"/>
    <col min="12" max="12" width="7.54296875" customWidth="1"/>
    <col min="13" max="13" width="9" bestFit="1" customWidth="1"/>
    <col min="14" max="14" width="3.81640625" customWidth="1"/>
    <col min="15" max="15" width="7.26953125" bestFit="1" customWidth="1"/>
    <col min="16" max="16" width="9" bestFit="1" customWidth="1"/>
    <col min="17" max="18" width="7.26953125" bestFit="1" customWidth="1"/>
    <col min="19" max="19" width="9" bestFit="1" customWidth="1"/>
    <col min="20" max="20" width="3.54296875" customWidth="1"/>
    <col min="21" max="21" width="4.453125" bestFit="1" customWidth="1"/>
    <col min="22" max="22" width="4.453125" customWidth="1"/>
    <col min="23" max="23" width="11.26953125" customWidth="1"/>
    <col min="24" max="24" width="5.54296875" bestFit="1" customWidth="1"/>
    <col min="26" max="26" width="14.1796875" customWidth="1"/>
    <col min="29" max="35" width="4.81640625" bestFit="1" customWidth="1"/>
    <col min="37" max="37" width="8.1796875" bestFit="1" customWidth="1"/>
    <col min="38" max="39" width="6" bestFit="1" customWidth="1"/>
    <col min="40" max="40" width="5" bestFit="1" customWidth="1"/>
    <col min="41" max="41" width="6" bestFit="1" customWidth="1"/>
    <col min="43" max="47" width="6" style="3" bestFit="1" customWidth="1"/>
  </cols>
  <sheetData>
    <row r="1" spans="1:47" x14ac:dyDescent="0.35">
      <c r="A1" t="s">
        <v>56</v>
      </c>
      <c r="C1" s="52" t="s">
        <v>57</v>
      </c>
      <c r="D1" s="52"/>
    </row>
    <row r="2" spans="1:47" x14ac:dyDescent="0.35">
      <c r="C2" s="74" t="s">
        <v>58</v>
      </c>
      <c r="D2" s="74"/>
    </row>
    <row r="3" spans="1:47" x14ac:dyDescent="0.35">
      <c r="C3" s="75" t="s">
        <v>59</v>
      </c>
      <c r="D3" s="75"/>
    </row>
    <row r="4" spans="1:47" x14ac:dyDescent="0.35">
      <c r="A4" s="1" t="s">
        <v>37</v>
      </c>
    </row>
    <row r="5" spans="1:47" x14ac:dyDescent="0.35">
      <c r="B5" s="1" t="s">
        <v>1</v>
      </c>
      <c r="C5" s="1"/>
      <c r="D5" s="1"/>
      <c r="E5" s="1"/>
      <c r="G5" t="s">
        <v>12</v>
      </c>
      <c r="H5" t="s">
        <v>13</v>
      </c>
      <c r="I5" t="s">
        <v>14</v>
      </c>
      <c r="J5" s="96" t="s">
        <v>15</v>
      </c>
      <c r="K5" s="96" t="s">
        <v>16</v>
      </c>
      <c r="L5" t="s">
        <v>17</v>
      </c>
      <c r="M5" t="s">
        <v>18</v>
      </c>
      <c r="AC5" t="s">
        <v>12</v>
      </c>
      <c r="AD5" t="s">
        <v>13</v>
      </c>
      <c r="AE5" t="s">
        <v>14</v>
      </c>
      <c r="AF5" t="s">
        <v>15</v>
      </c>
      <c r="AG5" t="s">
        <v>16</v>
      </c>
      <c r="AH5" t="s">
        <v>17</v>
      </c>
      <c r="AI5" t="s">
        <v>18</v>
      </c>
    </row>
    <row r="6" spans="1:47" x14ac:dyDescent="0.35">
      <c r="B6" s="1"/>
      <c r="C6" s="1" t="s">
        <v>0</v>
      </c>
      <c r="D6" s="1"/>
      <c r="E6" s="1"/>
      <c r="O6" t="s">
        <v>24</v>
      </c>
      <c r="P6" t="s">
        <v>25</v>
      </c>
      <c r="Q6" t="s">
        <v>26</v>
      </c>
      <c r="R6" t="s">
        <v>27</v>
      </c>
      <c r="S6" t="s">
        <v>28</v>
      </c>
      <c r="U6" t="s">
        <v>33</v>
      </c>
      <c r="W6" s="36" t="s">
        <v>44</v>
      </c>
      <c r="AK6" t="s">
        <v>24</v>
      </c>
      <c r="AL6" t="s">
        <v>25</v>
      </c>
      <c r="AM6" t="s">
        <v>26</v>
      </c>
      <c r="AN6" t="s">
        <v>27</v>
      </c>
      <c r="AO6" t="s">
        <v>28</v>
      </c>
      <c r="AQ6" s="3" t="s">
        <v>24</v>
      </c>
      <c r="AR6" s="3" t="s">
        <v>25</v>
      </c>
      <c r="AS6" s="3" t="s">
        <v>26</v>
      </c>
      <c r="AT6" s="3" t="s">
        <v>27</v>
      </c>
      <c r="AU6" s="3" t="s">
        <v>28</v>
      </c>
    </row>
    <row r="7" spans="1:47" x14ac:dyDescent="0.35">
      <c r="B7" s="1"/>
      <c r="C7" s="1"/>
      <c r="D7" s="1" t="s">
        <v>2</v>
      </c>
      <c r="E7" s="1" t="s">
        <v>3</v>
      </c>
    </row>
    <row r="8" spans="1:47" x14ac:dyDescent="0.35">
      <c r="O8" t="s">
        <v>32</v>
      </c>
      <c r="U8" t="s">
        <v>34</v>
      </c>
      <c r="Y8" t="s">
        <v>35</v>
      </c>
      <c r="AC8" s="23"/>
      <c r="AD8" s="23"/>
      <c r="AE8" s="23"/>
      <c r="AF8" s="23"/>
      <c r="AG8" s="23"/>
      <c r="AH8" s="23"/>
      <c r="AI8" s="23"/>
      <c r="AJ8" s="23"/>
      <c r="AK8" s="23" t="s">
        <v>41</v>
      </c>
      <c r="AL8" s="23"/>
      <c r="AM8" s="23"/>
      <c r="AN8" s="23"/>
      <c r="AO8" s="23"/>
      <c r="AP8" s="23"/>
      <c r="AQ8" s="44" t="s">
        <v>46</v>
      </c>
      <c r="AR8" s="44"/>
      <c r="AS8" s="44"/>
    </row>
    <row r="9" spans="1:47" x14ac:dyDescent="0.35">
      <c r="B9" t="s">
        <v>12</v>
      </c>
      <c r="D9" t="s">
        <v>4</v>
      </c>
      <c r="E9" t="s">
        <v>29</v>
      </c>
      <c r="G9" s="5"/>
      <c r="H9" s="5"/>
      <c r="I9" s="5"/>
      <c r="J9" s="5"/>
      <c r="K9" s="5"/>
      <c r="L9" s="5"/>
      <c r="M9" s="5"/>
      <c r="N9" s="5"/>
      <c r="O9" s="6">
        <v>0</v>
      </c>
      <c r="P9" s="7">
        <v>50</v>
      </c>
      <c r="Q9" s="7">
        <v>100</v>
      </c>
      <c r="R9" s="7">
        <v>0</v>
      </c>
      <c r="S9" s="8">
        <v>0</v>
      </c>
      <c r="T9" s="5"/>
      <c r="U9" s="9">
        <v>0</v>
      </c>
      <c r="V9" s="11"/>
      <c r="W9" s="5"/>
      <c r="Y9" s="9">
        <f t="shared" ref="Y9:Y15" si="0">SUM(O9:S9,U9)</f>
        <v>150</v>
      </c>
      <c r="AC9" s="23"/>
      <c r="AD9" s="23"/>
      <c r="AE9" s="23"/>
      <c r="AF9" s="23"/>
      <c r="AG9" s="23"/>
      <c r="AH9" s="23"/>
      <c r="AI9" s="23"/>
      <c r="AJ9" s="23"/>
      <c r="AK9" s="24" cm="1">
        <f t="array" ref="AK9:AO15">MMULT(O9:S15,MINVERSE(Y17:Y21*_xlfn.MUNIT(COUNTA(Y17:Y21))))</f>
        <v>0</v>
      </c>
      <c r="AL9" s="25">
        <v>1.25</v>
      </c>
      <c r="AM9" s="25">
        <v>2</v>
      </c>
      <c r="AN9" s="25">
        <v>0</v>
      </c>
      <c r="AO9" s="26">
        <v>0</v>
      </c>
      <c r="AP9" s="23"/>
      <c r="AQ9" s="24" cm="1">
        <f t="array" ref="AQ9:AU15">MMULT(TRANSPOSE(G17:M21),MINVERSE(Y17:Y21*_xlfn.MUNIT(COUNTA(Y17:Y21))))</f>
        <v>0.88235294117647056</v>
      </c>
      <c r="AR9" s="25">
        <v>0</v>
      </c>
      <c r="AS9" s="26">
        <v>0</v>
      </c>
      <c r="AT9" s="25">
        <v>0</v>
      </c>
      <c r="AU9" s="26">
        <v>0</v>
      </c>
    </row>
    <row r="10" spans="1:47" x14ac:dyDescent="0.35">
      <c r="B10" t="s">
        <v>13</v>
      </c>
      <c r="D10" t="s">
        <v>5</v>
      </c>
      <c r="E10" t="s">
        <v>29</v>
      </c>
      <c r="G10" s="5"/>
      <c r="H10" s="5"/>
      <c r="I10" s="5"/>
      <c r="J10" s="5"/>
      <c r="K10" s="5"/>
      <c r="L10" s="5"/>
      <c r="M10" s="5"/>
      <c r="N10" s="5"/>
      <c r="O10" s="10">
        <v>0</v>
      </c>
      <c r="P10" s="11">
        <v>0</v>
      </c>
      <c r="Q10" s="11">
        <v>0</v>
      </c>
      <c r="R10" s="12">
        <v>0</v>
      </c>
      <c r="S10" s="13">
        <v>0</v>
      </c>
      <c r="T10" s="5"/>
      <c r="U10" s="14">
        <v>20</v>
      </c>
      <c r="V10" s="11"/>
      <c r="W10" s="5"/>
      <c r="Y10" s="14">
        <f t="shared" si="0"/>
        <v>20</v>
      </c>
      <c r="AC10" s="23"/>
      <c r="AD10" s="23"/>
      <c r="AE10" s="23"/>
      <c r="AF10" s="23"/>
      <c r="AG10" s="23"/>
      <c r="AH10" s="23"/>
      <c r="AI10" s="23"/>
      <c r="AJ10" s="23"/>
      <c r="AK10" s="27">
        <v>0</v>
      </c>
      <c r="AL10" s="28">
        <v>0</v>
      </c>
      <c r="AM10" s="28">
        <v>0</v>
      </c>
      <c r="AN10" s="28">
        <v>0</v>
      </c>
      <c r="AO10" s="29">
        <v>0</v>
      </c>
      <c r="AP10" s="23"/>
      <c r="AQ10" s="27">
        <v>0.11764705882352941</v>
      </c>
      <c r="AR10" s="28">
        <v>0</v>
      </c>
      <c r="AS10" s="29">
        <v>0</v>
      </c>
      <c r="AT10" s="28">
        <v>0</v>
      </c>
      <c r="AU10" s="29">
        <v>0</v>
      </c>
    </row>
    <row r="11" spans="1:47" x14ac:dyDescent="0.35">
      <c r="B11" t="s">
        <v>14</v>
      </c>
      <c r="D11" t="s">
        <v>6</v>
      </c>
      <c r="E11" t="s">
        <v>29</v>
      </c>
      <c r="G11" s="5"/>
      <c r="H11" s="5"/>
      <c r="I11" s="5"/>
      <c r="J11" s="5"/>
      <c r="K11" s="5"/>
      <c r="L11" s="5"/>
      <c r="M11" s="5"/>
      <c r="N11" s="5"/>
      <c r="O11" s="10">
        <v>0</v>
      </c>
      <c r="P11" s="11">
        <v>0</v>
      </c>
      <c r="Q11" s="11">
        <v>0</v>
      </c>
      <c r="R11" s="12">
        <v>0</v>
      </c>
      <c r="S11" s="13">
        <v>0</v>
      </c>
      <c r="T11" s="5"/>
      <c r="U11" s="14">
        <v>50</v>
      </c>
      <c r="V11" s="11"/>
      <c r="W11" s="5"/>
      <c r="Y11" s="14">
        <f t="shared" si="0"/>
        <v>50</v>
      </c>
      <c r="AC11" s="23"/>
      <c r="AD11" s="23"/>
      <c r="AE11" s="23"/>
      <c r="AF11" s="23"/>
      <c r="AG11" s="23"/>
      <c r="AH11" s="23"/>
      <c r="AI11" s="23"/>
      <c r="AJ11" s="23"/>
      <c r="AK11" s="27">
        <v>0</v>
      </c>
      <c r="AL11" s="28">
        <v>0</v>
      </c>
      <c r="AM11" s="28">
        <v>0</v>
      </c>
      <c r="AN11" s="28">
        <v>0</v>
      </c>
      <c r="AO11" s="29">
        <v>0</v>
      </c>
      <c r="AP11" s="23"/>
      <c r="AQ11" s="27">
        <v>0</v>
      </c>
      <c r="AR11" s="28">
        <v>1</v>
      </c>
      <c r="AS11" s="29">
        <v>0.2</v>
      </c>
      <c r="AT11" s="28">
        <v>0</v>
      </c>
      <c r="AU11" s="29">
        <v>0</v>
      </c>
    </row>
    <row r="12" spans="1:47" x14ac:dyDescent="0.35">
      <c r="B12" t="s">
        <v>15</v>
      </c>
      <c r="D12" t="s">
        <v>9</v>
      </c>
      <c r="E12" t="s">
        <v>29</v>
      </c>
      <c r="G12" s="5"/>
      <c r="H12" s="5"/>
      <c r="I12" s="5"/>
      <c r="J12" s="5"/>
      <c r="K12" s="5"/>
      <c r="L12" s="5"/>
      <c r="M12" s="5"/>
      <c r="N12" s="5"/>
      <c r="O12" s="10">
        <v>0</v>
      </c>
      <c r="P12" s="12">
        <v>0</v>
      </c>
      <c r="Q12" s="12">
        <v>0</v>
      </c>
      <c r="R12" s="12">
        <v>0</v>
      </c>
      <c r="S12" s="13">
        <v>40</v>
      </c>
      <c r="T12" s="5"/>
      <c r="U12" s="14">
        <v>0</v>
      </c>
      <c r="V12" s="11"/>
      <c r="W12" s="5"/>
      <c r="Y12" s="14">
        <f t="shared" si="0"/>
        <v>40</v>
      </c>
      <c r="AC12" s="23"/>
      <c r="AD12" s="23"/>
      <c r="AE12" s="23"/>
      <c r="AF12" s="23"/>
      <c r="AG12" s="23"/>
      <c r="AH12" s="23"/>
      <c r="AI12" s="23"/>
      <c r="AJ12" s="23"/>
      <c r="AK12" s="27">
        <v>0</v>
      </c>
      <c r="AL12" s="28">
        <v>0</v>
      </c>
      <c r="AM12" s="28">
        <v>0</v>
      </c>
      <c r="AN12" s="28">
        <v>0</v>
      </c>
      <c r="AO12" s="29">
        <v>2</v>
      </c>
      <c r="AP12" s="23"/>
      <c r="AQ12" s="30">
        <v>0</v>
      </c>
      <c r="AR12" s="31">
        <v>0</v>
      </c>
      <c r="AS12" s="32">
        <v>0.8</v>
      </c>
      <c r="AT12" s="28">
        <v>0</v>
      </c>
      <c r="AU12" s="29">
        <v>0</v>
      </c>
    </row>
    <row r="13" spans="1:47" x14ac:dyDescent="0.35">
      <c r="B13" t="s">
        <v>16</v>
      </c>
      <c r="D13" t="s">
        <v>8</v>
      </c>
      <c r="E13" t="s">
        <v>29</v>
      </c>
      <c r="G13" s="5"/>
      <c r="H13" s="5"/>
      <c r="I13" s="5"/>
      <c r="J13" s="5"/>
      <c r="K13" s="5"/>
      <c r="L13" s="5"/>
      <c r="M13" s="5"/>
      <c r="N13" s="5"/>
      <c r="O13" s="10">
        <v>0</v>
      </c>
      <c r="P13" s="12">
        <v>0</v>
      </c>
      <c r="Q13" s="12">
        <v>0</v>
      </c>
      <c r="R13" s="12">
        <v>0</v>
      </c>
      <c r="S13" s="13">
        <v>30</v>
      </c>
      <c r="T13" s="5"/>
      <c r="U13" s="14">
        <v>0</v>
      </c>
      <c r="V13" s="11"/>
      <c r="W13" s="5"/>
      <c r="Y13" s="14">
        <f t="shared" si="0"/>
        <v>30</v>
      </c>
      <c r="AC13" s="23"/>
      <c r="AD13" s="23"/>
      <c r="AE13" s="23"/>
      <c r="AF13" s="23"/>
      <c r="AG13" s="23"/>
      <c r="AH13" s="23"/>
      <c r="AI13" s="23"/>
      <c r="AJ13" s="23"/>
      <c r="AK13" s="27">
        <v>0</v>
      </c>
      <c r="AL13" s="28">
        <v>0</v>
      </c>
      <c r="AM13" s="28">
        <v>0</v>
      </c>
      <c r="AN13" s="28">
        <v>0</v>
      </c>
      <c r="AO13" s="29">
        <v>1.5</v>
      </c>
      <c r="AP13" s="23"/>
      <c r="AQ13" s="27">
        <v>0</v>
      </c>
      <c r="AR13" s="28">
        <v>0</v>
      </c>
      <c r="AS13" s="28">
        <v>0</v>
      </c>
      <c r="AT13" s="28">
        <v>1</v>
      </c>
      <c r="AU13" s="29">
        <v>0</v>
      </c>
    </row>
    <row r="14" spans="1:47" x14ac:dyDescent="0.35">
      <c r="B14" t="s">
        <v>17</v>
      </c>
      <c r="D14" t="s">
        <v>10</v>
      </c>
      <c r="E14" t="s">
        <v>30</v>
      </c>
      <c r="G14" s="5"/>
      <c r="H14" s="5"/>
      <c r="I14" s="5"/>
      <c r="J14" s="5"/>
      <c r="K14" s="5"/>
      <c r="L14" s="5"/>
      <c r="M14" s="5"/>
      <c r="N14" s="5"/>
      <c r="O14" s="10">
        <v>0</v>
      </c>
      <c r="P14" s="12">
        <v>0</v>
      </c>
      <c r="Q14" s="12">
        <v>0</v>
      </c>
      <c r="R14" s="12">
        <v>0</v>
      </c>
      <c r="S14" s="13">
        <v>0</v>
      </c>
      <c r="T14" s="5"/>
      <c r="U14" s="14">
        <v>15</v>
      </c>
      <c r="V14" s="11"/>
      <c r="W14" s="5"/>
      <c r="Y14" s="14">
        <f t="shared" si="0"/>
        <v>15</v>
      </c>
      <c r="AC14" s="23"/>
      <c r="AD14" s="23"/>
      <c r="AE14" s="23"/>
      <c r="AF14" s="23"/>
      <c r="AG14" s="23"/>
      <c r="AH14" s="23"/>
      <c r="AI14" s="23"/>
      <c r="AJ14" s="23"/>
      <c r="AK14" s="27">
        <v>0</v>
      </c>
      <c r="AL14" s="28">
        <v>0</v>
      </c>
      <c r="AM14" s="28">
        <v>0</v>
      </c>
      <c r="AN14" s="28">
        <v>0</v>
      </c>
      <c r="AO14" s="29">
        <v>0</v>
      </c>
      <c r="AP14" s="23"/>
      <c r="AQ14" s="27">
        <v>0</v>
      </c>
      <c r="AR14" s="28">
        <v>0</v>
      </c>
      <c r="AS14" s="28">
        <v>0</v>
      </c>
      <c r="AT14" s="28">
        <v>0</v>
      </c>
      <c r="AU14" s="29">
        <v>0.75</v>
      </c>
    </row>
    <row r="15" spans="1:47" x14ac:dyDescent="0.35">
      <c r="B15" t="s">
        <v>18</v>
      </c>
      <c r="D15" t="s">
        <v>11</v>
      </c>
      <c r="E15" t="s">
        <v>30</v>
      </c>
      <c r="G15" s="5"/>
      <c r="H15" s="5"/>
      <c r="I15" s="5"/>
      <c r="J15" s="5"/>
      <c r="K15" s="5"/>
      <c r="L15" s="5"/>
      <c r="M15" s="5"/>
      <c r="N15" s="5"/>
      <c r="O15" s="15">
        <v>0</v>
      </c>
      <c r="P15" s="16">
        <v>0</v>
      </c>
      <c r="Q15" s="16">
        <v>0</v>
      </c>
      <c r="R15" s="16">
        <v>0</v>
      </c>
      <c r="S15" s="17">
        <v>0</v>
      </c>
      <c r="T15" s="5"/>
      <c r="U15" s="18">
        <v>5</v>
      </c>
      <c r="V15" s="11"/>
      <c r="W15" s="5"/>
      <c r="Y15" s="18">
        <f t="shared" si="0"/>
        <v>5</v>
      </c>
      <c r="AC15" s="23"/>
      <c r="AD15" s="23"/>
      <c r="AE15" s="23"/>
      <c r="AF15" s="23"/>
      <c r="AG15" s="23"/>
      <c r="AH15" s="23"/>
      <c r="AI15" s="23"/>
      <c r="AJ15" s="23"/>
      <c r="AK15" s="30">
        <v>0</v>
      </c>
      <c r="AL15" s="31">
        <v>0</v>
      </c>
      <c r="AM15" s="31">
        <v>0</v>
      </c>
      <c r="AN15" s="31">
        <v>0</v>
      </c>
      <c r="AO15" s="32">
        <v>0</v>
      </c>
      <c r="AP15" s="23"/>
      <c r="AQ15" s="30">
        <v>0</v>
      </c>
      <c r="AR15" s="31">
        <v>0</v>
      </c>
      <c r="AS15" s="31">
        <v>0</v>
      </c>
      <c r="AT15" s="31">
        <v>0</v>
      </c>
      <c r="AU15" s="32">
        <v>0.25</v>
      </c>
    </row>
    <row r="16" spans="1:47" x14ac:dyDescent="0.35">
      <c r="G16" s="5" t="s">
        <v>31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Y16" s="5" t="s">
        <v>36</v>
      </c>
      <c r="AC16" s="43" t="s">
        <v>42</v>
      </c>
      <c r="AD16" s="43"/>
      <c r="AE16" s="43"/>
      <c r="AF16" s="43"/>
      <c r="AG16" s="23"/>
      <c r="AH16" s="23"/>
      <c r="AI16" s="23"/>
      <c r="AJ16" s="23"/>
      <c r="AK16" s="23"/>
      <c r="AL16" s="23"/>
      <c r="AM16" s="23"/>
      <c r="AN16" s="23"/>
      <c r="AO16" s="23"/>
      <c r="AP16" s="23"/>
    </row>
    <row r="17" spans="2:47" x14ac:dyDescent="0.35">
      <c r="C17" t="s">
        <v>24</v>
      </c>
      <c r="D17" s="37" t="s">
        <v>19</v>
      </c>
      <c r="E17" t="s">
        <v>29</v>
      </c>
      <c r="G17" s="38">
        <v>150</v>
      </c>
      <c r="H17" s="39">
        <v>20</v>
      </c>
      <c r="I17" s="7">
        <v>0</v>
      </c>
      <c r="J17" s="8">
        <v>0</v>
      </c>
      <c r="K17" s="7">
        <v>0</v>
      </c>
      <c r="L17" s="7">
        <v>0</v>
      </c>
      <c r="M17" s="8">
        <v>0</v>
      </c>
      <c r="N17" s="5"/>
      <c r="O17" s="5"/>
      <c r="P17" s="5"/>
      <c r="Q17" s="5"/>
      <c r="R17" s="5"/>
      <c r="S17" s="5"/>
      <c r="T17" s="5"/>
      <c r="U17" s="5"/>
      <c r="V17" s="5"/>
      <c r="W17" s="5"/>
      <c r="Y17" s="9">
        <f>SUM(G17:M17)</f>
        <v>170</v>
      </c>
      <c r="AC17" s="24" cm="1">
        <f t="array" ref="AC17:AI21">MMULT(G17:M21,MINVERSE(Y9:Y15*_xlfn.MUNIT(COUNTA(Y9:Y15))))</f>
        <v>1</v>
      </c>
      <c r="AD17" s="25">
        <v>1</v>
      </c>
      <c r="AE17" s="25">
        <v>0</v>
      </c>
      <c r="AF17" s="25">
        <v>0</v>
      </c>
      <c r="AG17" s="25">
        <v>0</v>
      </c>
      <c r="AH17" s="25">
        <v>0</v>
      </c>
      <c r="AI17" s="26">
        <v>0</v>
      </c>
      <c r="AJ17" s="23"/>
      <c r="AK17" s="23"/>
      <c r="AL17" s="23"/>
      <c r="AM17" s="23"/>
      <c r="AN17" s="23"/>
      <c r="AO17" s="23"/>
      <c r="AP17" s="23"/>
    </row>
    <row r="18" spans="2:47" x14ac:dyDescent="0.35">
      <c r="C18" t="s">
        <v>25</v>
      </c>
      <c r="D18" t="s">
        <v>20</v>
      </c>
      <c r="E18" t="s">
        <v>29</v>
      </c>
      <c r="G18" s="10">
        <v>0</v>
      </c>
      <c r="H18" s="11">
        <v>0</v>
      </c>
      <c r="I18" s="11">
        <v>40</v>
      </c>
      <c r="J18" s="46">
        <v>0</v>
      </c>
      <c r="K18" s="12">
        <v>0</v>
      </c>
      <c r="L18" s="12">
        <v>0</v>
      </c>
      <c r="M18" s="13">
        <v>0</v>
      </c>
      <c r="N18" s="5"/>
      <c r="O18" s="5"/>
      <c r="P18" s="5"/>
      <c r="Q18" s="5"/>
      <c r="R18" s="5"/>
      <c r="S18" s="5"/>
      <c r="T18" s="5"/>
      <c r="U18" s="5"/>
      <c r="V18" s="5"/>
      <c r="W18" s="5"/>
      <c r="Y18" s="14">
        <f>SUM(G18:M18)</f>
        <v>40</v>
      </c>
      <c r="AC18" s="27">
        <v>0</v>
      </c>
      <c r="AD18" s="28">
        <v>0</v>
      </c>
      <c r="AE18" s="28">
        <v>0.8</v>
      </c>
      <c r="AF18" s="28">
        <v>0</v>
      </c>
      <c r="AG18" s="28">
        <v>0</v>
      </c>
      <c r="AH18" s="28">
        <v>0</v>
      </c>
      <c r="AI18" s="29">
        <v>0</v>
      </c>
      <c r="AJ18" s="23"/>
      <c r="AK18" s="23"/>
      <c r="AL18" s="23"/>
      <c r="AM18" s="23"/>
      <c r="AN18" s="23"/>
      <c r="AO18" s="23"/>
      <c r="AP18" s="23"/>
    </row>
    <row r="19" spans="2:47" x14ac:dyDescent="0.35">
      <c r="C19" t="s">
        <v>26</v>
      </c>
      <c r="D19" s="37" t="s">
        <v>21</v>
      </c>
      <c r="E19" t="s">
        <v>29</v>
      </c>
      <c r="G19" s="15">
        <v>0</v>
      </c>
      <c r="H19" s="16">
        <v>0</v>
      </c>
      <c r="I19" s="47">
        <v>10</v>
      </c>
      <c r="J19" s="48">
        <v>40</v>
      </c>
      <c r="K19" s="12">
        <v>0</v>
      </c>
      <c r="L19" s="12">
        <v>0</v>
      </c>
      <c r="M19" s="13">
        <v>0</v>
      </c>
      <c r="N19" s="5"/>
      <c r="O19" s="5"/>
      <c r="P19" s="5"/>
      <c r="Q19" s="5"/>
      <c r="R19" s="5"/>
      <c r="S19" s="5"/>
      <c r="T19" s="5"/>
      <c r="U19" s="5"/>
      <c r="V19" s="5"/>
      <c r="W19" s="5"/>
      <c r="Y19" s="14">
        <f>SUM(G19:M19)</f>
        <v>50</v>
      </c>
      <c r="AC19" s="27">
        <v>0</v>
      </c>
      <c r="AD19" s="28">
        <v>0</v>
      </c>
      <c r="AE19" s="28">
        <v>0.2</v>
      </c>
      <c r="AF19" s="28">
        <v>1</v>
      </c>
      <c r="AG19" s="28">
        <v>0</v>
      </c>
      <c r="AH19" s="28">
        <v>0</v>
      </c>
      <c r="AI19" s="29">
        <v>0</v>
      </c>
      <c r="AJ19" s="23"/>
      <c r="AK19" s="23"/>
      <c r="AL19" s="23"/>
      <c r="AM19" s="23"/>
      <c r="AN19" s="23"/>
      <c r="AO19" s="23"/>
      <c r="AP19" s="23"/>
    </row>
    <row r="20" spans="2:47" x14ac:dyDescent="0.35">
      <c r="C20" t="s">
        <v>27</v>
      </c>
      <c r="D20" t="s">
        <v>22</v>
      </c>
      <c r="E20" t="s">
        <v>29</v>
      </c>
      <c r="G20" s="10">
        <v>0</v>
      </c>
      <c r="H20" s="12">
        <v>0</v>
      </c>
      <c r="I20" s="12">
        <v>0</v>
      </c>
      <c r="J20" s="12">
        <v>0</v>
      </c>
      <c r="K20" s="6">
        <v>30</v>
      </c>
      <c r="L20" s="45">
        <v>0</v>
      </c>
      <c r="M20" s="8">
        <v>0</v>
      </c>
      <c r="N20" s="5"/>
      <c r="O20" s="5"/>
      <c r="P20" s="5"/>
      <c r="Q20" s="5"/>
      <c r="R20" s="5"/>
      <c r="S20" s="5"/>
      <c r="T20" s="5"/>
      <c r="U20" s="5"/>
      <c r="V20" s="5"/>
      <c r="W20" s="5"/>
      <c r="Y20" s="14">
        <f>SUM(G20:M20)</f>
        <v>30</v>
      </c>
      <c r="AC20" s="27">
        <v>0</v>
      </c>
      <c r="AD20" s="28">
        <v>0</v>
      </c>
      <c r="AE20" s="28">
        <v>0</v>
      </c>
      <c r="AF20" s="28">
        <v>0</v>
      </c>
      <c r="AG20" s="24">
        <v>1</v>
      </c>
      <c r="AH20" s="25">
        <v>0</v>
      </c>
      <c r="AI20" s="26">
        <v>0</v>
      </c>
      <c r="AJ20" s="23"/>
      <c r="AK20" s="23"/>
      <c r="AL20" s="23"/>
      <c r="AM20" s="23"/>
      <c r="AN20" s="23"/>
      <c r="AO20" s="23"/>
      <c r="AP20" s="23"/>
    </row>
    <row r="21" spans="2:47" x14ac:dyDescent="0.35">
      <c r="C21" t="s">
        <v>28</v>
      </c>
      <c r="D21" s="42" t="s">
        <v>23</v>
      </c>
      <c r="E21" t="s">
        <v>30</v>
      </c>
      <c r="G21" s="19">
        <v>0</v>
      </c>
      <c r="H21" s="16">
        <v>0</v>
      </c>
      <c r="I21" s="16">
        <v>0</v>
      </c>
      <c r="J21" s="16">
        <v>0</v>
      </c>
      <c r="K21" s="15">
        <v>0</v>
      </c>
      <c r="L21" s="40">
        <v>15</v>
      </c>
      <c r="M21" s="41">
        <v>5</v>
      </c>
      <c r="N21" s="5"/>
      <c r="O21" s="5"/>
      <c r="P21" s="5"/>
      <c r="Q21" s="5"/>
      <c r="R21" s="5"/>
      <c r="S21" s="5"/>
      <c r="T21" s="5"/>
      <c r="U21" s="5"/>
      <c r="V21" s="5"/>
      <c r="W21" s="5"/>
      <c r="Y21" s="18">
        <f>SUM(G21:M21)</f>
        <v>20</v>
      </c>
      <c r="AC21" s="30">
        <v>0</v>
      </c>
      <c r="AD21" s="31">
        <v>0</v>
      </c>
      <c r="AE21" s="31">
        <v>0</v>
      </c>
      <c r="AF21" s="31">
        <v>0</v>
      </c>
      <c r="AG21" s="30">
        <v>0</v>
      </c>
      <c r="AH21" s="31">
        <v>1</v>
      </c>
      <c r="AI21" s="32">
        <v>1</v>
      </c>
      <c r="AJ21" s="23"/>
      <c r="AK21" s="23"/>
      <c r="AL21" s="23"/>
      <c r="AM21" s="23"/>
      <c r="AN21" s="23"/>
      <c r="AO21" s="23"/>
      <c r="AP21" s="23"/>
    </row>
    <row r="22" spans="2:47" x14ac:dyDescent="0.35">
      <c r="G22" s="5"/>
      <c r="H22" s="5"/>
      <c r="I22" s="5"/>
      <c r="J22" s="5"/>
      <c r="K22" s="5"/>
      <c r="L22" s="5"/>
      <c r="M22" s="5"/>
      <c r="N22" s="5"/>
      <c r="O22" s="5" t="s">
        <v>40</v>
      </c>
      <c r="P22" s="5"/>
      <c r="Q22" s="5"/>
      <c r="R22" s="5"/>
      <c r="S22" s="5"/>
      <c r="T22" s="5"/>
      <c r="U22" s="5"/>
      <c r="V22" s="5"/>
      <c r="W22" s="5"/>
      <c r="X22" s="5"/>
      <c r="AC22" s="23"/>
      <c r="AD22" s="23"/>
      <c r="AE22" s="23"/>
      <c r="AF22" s="23"/>
      <c r="AG22" s="23"/>
      <c r="AH22" s="23"/>
      <c r="AI22" s="23"/>
      <c r="AJ22" s="23"/>
      <c r="AK22" s="23" t="s">
        <v>43</v>
      </c>
      <c r="AL22" s="23"/>
      <c r="AM22" s="23"/>
      <c r="AN22" s="23"/>
      <c r="AO22" s="23"/>
      <c r="AP22" s="23"/>
    </row>
    <row r="23" spans="2:47" x14ac:dyDescent="0.35">
      <c r="D23" t="s">
        <v>38</v>
      </c>
      <c r="E23" t="s">
        <v>39</v>
      </c>
      <c r="G23" s="5"/>
      <c r="H23" s="5"/>
      <c r="I23" s="5"/>
      <c r="J23" s="5"/>
      <c r="K23" s="5"/>
      <c r="L23" s="5"/>
      <c r="M23" s="5"/>
      <c r="N23" s="5"/>
      <c r="O23" s="20">
        <v>15</v>
      </c>
      <c r="P23" s="21">
        <v>7</v>
      </c>
      <c r="Q23" s="21">
        <v>12</v>
      </c>
      <c r="R23" s="21">
        <v>8</v>
      </c>
      <c r="S23" s="22">
        <v>10</v>
      </c>
      <c r="T23" s="5"/>
      <c r="U23" s="5"/>
      <c r="V23" s="5"/>
      <c r="W23" s="5"/>
      <c r="X23" s="5"/>
      <c r="AC23" s="23"/>
      <c r="AD23" s="23"/>
      <c r="AE23" s="23"/>
      <c r="AF23" s="23"/>
      <c r="AG23" s="23"/>
      <c r="AH23" s="23"/>
      <c r="AI23" s="23"/>
      <c r="AJ23" s="23"/>
      <c r="AK23" s="33" cm="1">
        <f t="array" ref="AK23:AO23">MMULT(O23:S23, MINVERSE(Y17:Y21*_xlfn.MUNIT(COUNTA(Y17:Y21))))</f>
        <v>8.8235294117647051E-2</v>
      </c>
      <c r="AL23" s="34">
        <v>0.17500000000000002</v>
      </c>
      <c r="AM23" s="34">
        <v>0.24</v>
      </c>
      <c r="AN23" s="34">
        <v>0.26666666666666666</v>
      </c>
      <c r="AO23" s="35">
        <v>0.5</v>
      </c>
      <c r="AP23" s="23"/>
    </row>
    <row r="24" spans="2:47" x14ac:dyDescent="0.35"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X24" s="5"/>
      <c r="Y24" s="5"/>
      <c r="Z24" s="5"/>
    </row>
    <row r="25" spans="2:47" x14ac:dyDescent="0.35">
      <c r="B25" s="2"/>
      <c r="C25" s="2"/>
      <c r="D25" s="2"/>
      <c r="E25" s="2"/>
      <c r="F25" s="2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4"/>
      <c r="AR25" s="4"/>
      <c r="AS25" s="4"/>
      <c r="AT25" s="4"/>
      <c r="AU25" s="4"/>
    </row>
    <row r="26" spans="2:47" x14ac:dyDescent="0.35">
      <c r="N26" s="5"/>
      <c r="AC26" s="5" t="s">
        <v>62</v>
      </c>
      <c r="AD26" s="5"/>
      <c r="AE26" s="5"/>
      <c r="AF26" s="5"/>
      <c r="AG26" s="5"/>
      <c r="AH26" s="5"/>
      <c r="AI26" s="5"/>
      <c r="AK26" s="23" t="s">
        <v>63</v>
      </c>
      <c r="AL26" s="23"/>
      <c r="AM26" s="23"/>
      <c r="AN26" s="23"/>
      <c r="AO26" s="23"/>
    </row>
    <row r="27" spans="2:47" ht="14.5" customHeight="1" x14ac:dyDescent="0.35">
      <c r="B27" t="s">
        <v>12</v>
      </c>
      <c r="D27" t="s">
        <v>4</v>
      </c>
      <c r="E27" t="s">
        <v>29</v>
      </c>
      <c r="N27" s="23"/>
      <c r="AB27" s="94"/>
      <c r="AC27" s="24">
        <v>1</v>
      </c>
      <c r="AD27" s="25">
        <v>0</v>
      </c>
      <c r="AE27" s="25">
        <v>0</v>
      </c>
      <c r="AF27" s="25">
        <v>0</v>
      </c>
      <c r="AG27" s="25">
        <v>0</v>
      </c>
      <c r="AH27" s="25">
        <v>0</v>
      </c>
      <c r="AI27" s="26">
        <v>0</v>
      </c>
      <c r="AK27" s="24" cm="1">
        <f t="array" ref="AK27:AO32">MMULT(AC27:AI32,AK9:AO15)</f>
        <v>0</v>
      </c>
      <c r="AL27" s="25">
        <v>1.25</v>
      </c>
      <c r="AM27" s="25">
        <v>2</v>
      </c>
      <c r="AN27" s="25">
        <v>0</v>
      </c>
      <c r="AO27" s="26">
        <v>0</v>
      </c>
    </row>
    <row r="28" spans="2:47" x14ac:dyDescent="0.35">
      <c r="B28" t="s">
        <v>13</v>
      </c>
      <c r="D28" t="s">
        <v>5</v>
      </c>
      <c r="E28" t="s">
        <v>29</v>
      </c>
      <c r="N28" s="23"/>
      <c r="AB28" s="94"/>
      <c r="AC28" s="27">
        <v>0</v>
      </c>
      <c r="AD28" s="28">
        <v>1</v>
      </c>
      <c r="AE28" s="28">
        <v>0</v>
      </c>
      <c r="AF28" s="28">
        <v>0</v>
      </c>
      <c r="AG28" s="28">
        <v>0</v>
      </c>
      <c r="AH28" s="28">
        <v>0</v>
      </c>
      <c r="AI28" s="29">
        <v>0</v>
      </c>
      <c r="AK28" s="27">
        <v>0</v>
      </c>
      <c r="AL28" s="28">
        <v>0</v>
      </c>
      <c r="AM28" s="28">
        <v>0</v>
      </c>
      <c r="AN28" s="28">
        <v>0</v>
      </c>
      <c r="AO28" s="29">
        <v>0</v>
      </c>
    </row>
    <row r="29" spans="2:47" x14ac:dyDescent="0.35">
      <c r="B29" t="s">
        <v>14</v>
      </c>
      <c r="D29" t="s">
        <v>6</v>
      </c>
      <c r="E29" t="s">
        <v>29</v>
      </c>
      <c r="N29" s="23"/>
      <c r="AB29" s="94"/>
      <c r="AC29" s="27">
        <v>0</v>
      </c>
      <c r="AD29" s="28">
        <v>0</v>
      </c>
      <c r="AE29" s="28">
        <v>1</v>
      </c>
      <c r="AF29" s="28">
        <v>0</v>
      </c>
      <c r="AG29" s="28">
        <v>0</v>
      </c>
      <c r="AH29" s="28">
        <v>0</v>
      </c>
      <c r="AI29" s="29">
        <v>0</v>
      </c>
      <c r="AK29" s="27">
        <v>0</v>
      </c>
      <c r="AL29" s="28">
        <v>0</v>
      </c>
      <c r="AM29" s="28">
        <v>0</v>
      </c>
      <c r="AN29" s="28">
        <v>0</v>
      </c>
      <c r="AO29" s="29">
        <v>0</v>
      </c>
    </row>
    <row r="30" spans="2:47" x14ac:dyDescent="0.35">
      <c r="B30" s="96" t="s">
        <v>61</v>
      </c>
      <c r="D30" s="96" t="s">
        <v>7</v>
      </c>
      <c r="E30" t="s">
        <v>29</v>
      </c>
      <c r="N30" s="23"/>
      <c r="AB30" s="94"/>
      <c r="AC30" s="27">
        <v>0</v>
      </c>
      <c r="AD30" s="28">
        <v>0</v>
      </c>
      <c r="AE30" s="28">
        <v>0</v>
      </c>
      <c r="AF30" s="28">
        <v>1</v>
      </c>
      <c r="AG30" s="28">
        <v>1</v>
      </c>
      <c r="AH30" s="28">
        <v>0</v>
      </c>
      <c r="AI30" s="29">
        <v>0</v>
      </c>
      <c r="AK30" s="27">
        <v>0</v>
      </c>
      <c r="AL30" s="28">
        <v>0</v>
      </c>
      <c r="AM30" s="28">
        <v>0</v>
      </c>
      <c r="AN30" s="28">
        <v>0</v>
      </c>
      <c r="AO30" s="29">
        <v>3.5</v>
      </c>
    </row>
    <row r="31" spans="2:47" x14ac:dyDescent="0.35">
      <c r="B31" t="s">
        <v>17</v>
      </c>
      <c r="D31" t="s">
        <v>10</v>
      </c>
      <c r="E31" t="s">
        <v>30</v>
      </c>
      <c r="N31" s="23"/>
      <c r="AB31" s="94"/>
      <c r="AC31" s="27">
        <v>0</v>
      </c>
      <c r="AD31" s="28">
        <v>0</v>
      </c>
      <c r="AE31" s="28">
        <v>0</v>
      </c>
      <c r="AF31" s="28">
        <v>0</v>
      </c>
      <c r="AG31" s="28">
        <v>0</v>
      </c>
      <c r="AH31" s="28">
        <v>1</v>
      </c>
      <c r="AI31" s="29">
        <v>0</v>
      </c>
      <c r="AK31" s="27">
        <v>0</v>
      </c>
      <c r="AL31" s="28">
        <v>0</v>
      </c>
      <c r="AM31" s="28">
        <v>0</v>
      </c>
      <c r="AN31" s="28">
        <v>0</v>
      </c>
      <c r="AO31" s="29">
        <v>0</v>
      </c>
    </row>
    <row r="32" spans="2:47" x14ac:dyDescent="0.35">
      <c r="B32" t="s">
        <v>18</v>
      </c>
      <c r="D32" t="s">
        <v>11</v>
      </c>
      <c r="E32" t="s">
        <v>30</v>
      </c>
      <c r="N32" s="23"/>
      <c r="AB32" s="94"/>
      <c r="AC32" s="30">
        <v>0</v>
      </c>
      <c r="AD32" s="31">
        <v>0</v>
      </c>
      <c r="AE32" s="31">
        <v>0</v>
      </c>
      <c r="AF32" s="31">
        <v>0</v>
      </c>
      <c r="AG32" s="31">
        <v>0</v>
      </c>
      <c r="AH32" s="31">
        <v>0</v>
      </c>
      <c r="AI32" s="32">
        <v>1</v>
      </c>
      <c r="AK32" s="30">
        <v>0</v>
      </c>
      <c r="AL32" s="31">
        <v>0</v>
      </c>
      <c r="AM32" s="31">
        <v>0</v>
      </c>
      <c r="AN32" s="31">
        <v>0</v>
      </c>
      <c r="AO32" s="32">
        <v>0</v>
      </c>
    </row>
    <row r="33" spans="2:41" x14ac:dyDescent="0.35">
      <c r="G33" s="28"/>
      <c r="H33" s="28"/>
      <c r="I33" s="28"/>
      <c r="J33" s="28"/>
      <c r="K33" s="28"/>
      <c r="L33" s="28"/>
      <c r="M33" s="28"/>
      <c r="N33" s="23"/>
      <c r="O33" s="28"/>
      <c r="P33" s="28"/>
      <c r="Q33" s="28"/>
      <c r="R33" s="28"/>
      <c r="S33" s="28"/>
      <c r="T33" s="23"/>
      <c r="U33" s="11"/>
      <c r="V33" s="28"/>
      <c r="W33" s="86"/>
      <c r="X33" s="72"/>
      <c r="Y33" s="86"/>
      <c r="Z33" s="28"/>
      <c r="AA33" s="94"/>
      <c r="AB33" s="94"/>
      <c r="AK33" s="28"/>
      <c r="AL33" s="28"/>
      <c r="AM33" s="28"/>
      <c r="AN33" s="28"/>
      <c r="AO33" s="28"/>
    </row>
    <row r="34" spans="2:41" x14ac:dyDescent="0.35">
      <c r="G34" s="28"/>
      <c r="H34" s="28"/>
      <c r="I34" s="28"/>
      <c r="J34" s="28"/>
      <c r="K34" s="28"/>
      <c r="L34" s="28"/>
      <c r="M34" s="28"/>
      <c r="N34" s="23"/>
      <c r="O34" s="28"/>
      <c r="P34" s="28"/>
      <c r="Q34" s="28"/>
      <c r="R34" s="28"/>
      <c r="S34" s="28"/>
      <c r="T34" s="23"/>
      <c r="U34" s="11"/>
      <c r="V34" s="28"/>
      <c r="W34" s="86"/>
      <c r="X34" s="72"/>
      <c r="Y34" s="86"/>
      <c r="Z34" s="28"/>
      <c r="AA34" s="94"/>
      <c r="AB34" s="94"/>
    </row>
    <row r="35" spans="2:41" x14ac:dyDescent="0.35">
      <c r="G35" s="28"/>
      <c r="H35" s="28"/>
      <c r="I35" s="28"/>
      <c r="J35" s="28"/>
      <c r="K35" s="28"/>
      <c r="L35" s="28"/>
      <c r="M35" s="28"/>
      <c r="N35" s="23"/>
      <c r="O35" t="s">
        <v>64</v>
      </c>
      <c r="P35" s="5"/>
      <c r="Q35" s="5"/>
      <c r="R35" s="5"/>
      <c r="S35" s="5"/>
      <c r="T35" s="5"/>
      <c r="U35" t="s">
        <v>34</v>
      </c>
      <c r="V35" s="5"/>
      <c r="W35" t="s">
        <v>45</v>
      </c>
      <c r="X35" s="97"/>
      <c r="Y35" t="s">
        <v>65</v>
      </c>
      <c r="AA35" t="s">
        <v>54</v>
      </c>
      <c r="AB35" s="94"/>
    </row>
    <row r="36" spans="2:41" x14ac:dyDescent="0.35">
      <c r="B36" t="s">
        <v>12</v>
      </c>
      <c r="D36" t="s">
        <v>4</v>
      </c>
      <c r="E36" t="s">
        <v>29</v>
      </c>
      <c r="G36" s="28"/>
      <c r="H36" s="28"/>
      <c r="I36" s="28"/>
      <c r="J36" s="28"/>
      <c r="K36" s="28"/>
      <c r="L36" s="28"/>
      <c r="M36" s="28"/>
      <c r="N36" s="23"/>
      <c r="O36" s="24" cm="1">
        <f t="array" ref="O36:S41">MMULT(_xlfn.ANCHORARRAY(AK27),Y43:Y47*_xlfn.MUNIT(COUNTA(Y43:Y47)))</f>
        <v>0</v>
      </c>
      <c r="P36" s="25">
        <v>50.500000000002352</v>
      </c>
      <c r="Q36" s="25">
        <v>106.0000000000375</v>
      </c>
      <c r="R36" s="25">
        <v>0</v>
      </c>
      <c r="S36" s="26">
        <v>0</v>
      </c>
      <c r="T36" s="23"/>
      <c r="U36" s="9">
        <v>0</v>
      </c>
      <c r="V36" s="28"/>
      <c r="W36" s="111">
        <v>1</v>
      </c>
      <c r="X36" s="23"/>
      <c r="Y36" s="104" cm="1">
        <f t="array" ref="Y36:Y41">MMULT(AC27:AI32,TRANSPOSE(G51:M51))</f>
        <v>157.50000000003502</v>
      </c>
      <c r="AA36" s="70">
        <f xml:space="preserve"> SUM(O36:S36,U36,W36) - Y36</f>
        <v>4.8316906031686813E-12</v>
      </c>
      <c r="AB36" s="94"/>
    </row>
    <row r="37" spans="2:41" x14ac:dyDescent="0.35">
      <c r="B37" t="s">
        <v>13</v>
      </c>
      <c r="D37" t="s">
        <v>5</v>
      </c>
      <c r="E37" t="s">
        <v>29</v>
      </c>
      <c r="G37" s="28"/>
      <c r="H37" s="28"/>
      <c r="I37" s="28"/>
      <c r="J37" s="28"/>
      <c r="K37" s="28"/>
      <c r="L37" s="28"/>
      <c r="M37" s="28"/>
      <c r="N37" s="23"/>
      <c r="O37" s="27">
        <v>0</v>
      </c>
      <c r="P37" s="28">
        <v>0</v>
      </c>
      <c r="Q37" s="28">
        <v>0</v>
      </c>
      <c r="R37" s="28">
        <v>0</v>
      </c>
      <c r="S37" s="29">
        <v>0</v>
      </c>
      <c r="T37" s="23"/>
      <c r="U37" s="14">
        <v>20</v>
      </c>
      <c r="V37" s="28"/>
      <c r="W37" s="102">
        <v>1</v>
      </c>
      <c r="X37" s="23"/>
      <c r="Y37" s="105">
        <v>21.000000000004668</v>
      </c>
      <c r="Z37" s="107"/>
      <c r="AA37" s="69">
        <f t="shared" ref="AA37:AA41" si="1" xml:space="preserve"> SUM(O37:S37,U37,W37) - Y37</f>
        <v>-4.6682657739438582E-12</v>
      </c>
      <c r="AB37" s="94"/>
    </row>
    <row r="38" spans="2:41" x14ac:dyDescent="0.35">
      <c r="B38" t="s">
        <v>14</v>
      </c>
      <c r="D38" t="s">
        <v>6</v>
      </c>
      <c r="E38" t="s">
        <v>29</v>
      </c>
      <c r="G38" s="28"/>
      <c r="H38" s="28"/>
      <c r="I38" s="28"/>
      <c r="J38" s="28"/>
      <c r="K38" s="28"/>
      <c r="L38" s="28"/>
      <c r="M38" s="28"/>
      <c r="N38" s="23"/>
      <c r="O38" s="27">
        <v>0</v>
      </c>
      <c r="P38" s="28">
        <v>0</v>
      </c>
      <c r="Q38" s="28">
        <v>0</v>
      </c>
      <c r="R38" s="28">
        <v>0</v>
      </c>
      <c r="S38" s="29">
        <v>0</v>
      </c>
      <c r="T38" s="23"/>
      <c r="U38" s="14">
        <v>50</v>
      </c>
      <c r="V38" s="28"/>
      <c r="W38" s="102">
        <v>1</v>
      </c>
      <c r="X38" s="23"/>
      <c r="Y38" s="105">
        <v>51.000000000005635</v>
      </c>
      <c r="AA38" s="69">
        <f t="shared" si="1"/>
        <v>-5.6346038945775945E-12</v>
      </c>
      <c r="AB38" s="94"/>
    </row>
    <row r="39" spans="2:41" x14ac:dyDescent="0.35">
      <c r="B39" s="96" t="s">
        <v>61</v>
      </c>
      <c r="D39" s="96" t="s">
        <v>7</v>
      </c>
      <c r="E39" t="s">
        <v>29</v>
      </c>
      <c r="G39" s="28"/>
      <c r="H39" s="28"/>
      <c r="I39" s="28"/>
      <c r="J39" s="28"/>
      <c r="K39" s="28"/>
      <c r="L39" s="28"/>
      <c r="M39" s="28"/>
      <c r="N39" s="23"/>
      <c r="O39" s="27">
        <v>0</v>
      </c>
      <c r="P39" s="28">
        <v>0</v>
      </c>
      <c r="Q39" s="28">
        <v>0</v>
      </c>
      <c r="R39" s="28">
        <v>0</v>
      </c>
      <c r="S39" s="29">
        <v>76.993077000000014</v>
      </c>
      <c r="T39" s="23"/>
      <c r="U39" s="14">
        <v>0</v>
      </c>
      <c r="V39" s="28"/>
      <c r="W39" s="102">
        <v>1</v>
      </c>
      <c r="X39" s="23"/>
      <c r="Y39" s="105">
        <v>77.993025576419313</v>
      </c>
      <c r="AA39" s="69">
        <f t="shared" si="1"/>
        <v>5.1423580700316052E-5</v>
      </c>
      <c r="AB39" s="94"/>
    </row>
    <row r="40" spans="2:41" x14ac:dyDescent="0.35">
      <c r="B40" t="s">
        <v>17</v>
      </c>
      <c r="D40" t="s">
        <v>10</v>
      </c>
      <c r="E40" t="s">
        <v>30</v>
      </c>
      <c r="G40" s="28"/>
      <c r="H40" s="28"/>
      <c r="I40" s="28"/>
      <c r="J40" s="28"/>
      <c r="K40" s="28"/>
      <c r="L40" s="28"/>
      <c r="M40" s="28"/>
      <c r="N40" s="23"/>
      <c r="O40" s="27">
        <v>0</v>
      </c>
      <c r="P40" s="28">
        <v>0</v>
      </c>
      <c r="Q40" s="28">
        <v>0</v>
      </c>
      <c r="R40" s="28">
        <v>0</v>
      </c>
      <c r="S40" s="29">
        <v>0</v>
      </c>
      <c r="T40" s="23"/>
      <c r="U40" s="14">
        <v>15</v>
      </c>
      <c r="V40" s="28"/>
      <c r="W40" s="102">
        <v>1</v>
      </c>
      <c r="X40" s="23"/>
      <c r="Y40" s="102">
        <v>15.999016000000001</v>
      </c>
      <c r="Z40" s="28"/>
      <c r="AA40" s="68">
        <f t="shared" si="1"/>
        <v>9.8399999999898569E-4</v>
      </c>
      <c r="AB40" s="94"/>
    </row>
    <row r="41" spans="2:41" x14ac:dyDescent="0.35">
      <c r="B41" t="s">
        <v>18</v>
      </c>
      <c r="D41" t="s">
        <v>11</v>
      </c>
      <c r="E41" t="s">
        <v>30</v>
      </c>
      <c r="G41" s="28"/>
      <c r="H41" s="28"/>
      <c r="I41" s="28"/>
      <c r="J41" s="28"/>
      <c r="K41" s="28"/>
      <c r="L41" s="28"/>
      <c r="M41" s="28"/>
      <c r="N41" s="23"/>
      <c r="O41" s="30">
        <v>0</v>
      </c>
      <c r="P41" s="31">
        <v>0</v>
      </c>
      <c r="Q41" s="31">
        <v>0</v>
      </c>
      <c r="R41" s="31">
        <v>0</v>
      </c>
      <c r="S41" s="32">
        <v>0</v>
      </c>
      <c r="T41" s="23"/>
      <c r="U41" s="18">
        <v>5</v>
      </c>
      <c r="V41" s="28"/>
      <c r="W41" s="103">
        <v>1</v>
      </c>
      <c r="X41" s="23"/>
      <c r="Y41" s="103">
        <v>5.9990060000000005</v>
      </c>
      <c r="Z41" s="28"/>
      <c r="AA41" s="71">
        <f t="shared" si="1"/>
        <v>9.9399999999949529E-4</v>
      </c>
      <c r="AB41" s="94"/>
    </row>
    <row r="42" spans="2:41" x14ac:dyDescent="0.35">
      <c r="G42" t="s">
        <v>50</v>
      </c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 t="s">
        <v>48</v>
      </c>
      <c r="Z42" s="23"/>
      <c r="AA42" t="s">
        <v>55</v>
      </c>
    </row>
    <row r="43" spans="2:41" x14ac:dyDescent="0.35">
      <c r="C43" t="s">
        <v>24</v>
      </c>
      <c r="D43" t="s">
        <v>19</v>
      </c>
      <c r="E43" t="s">
        <v>29</v>
      </c>
      <c r="G43" s="59" cm="1">
        <f t="array" ref="G43:J45">TRANSPOSE(MMULT(AQ9:AS12,Y43:Y45*_xlfn.MUNIT(COUNTA(Y43:Y45))))</f>
        <v>157.50000000003502</v>
      </c>
      <c r="H43" s="60">
        <v>21.000000000004668</v>
      </c>
      <c r="I43" s="60">
        <v>0</v>
      </c>
      <c r="J43" s="61">
        <v>0</v>
      </c>
      <c r="K43" s="84">
        <v>0</v>
      </c>
      <c r="L43" s="84">
        <v>0</v>
      </c>
      <c r="M43" s="85">
        <v>0</v>
      </c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49">
        <v>178.50000000003968</v>
      </c>
      <c r="Z43" s="28"/>
      <c r="AA43" s="91">
        <f xml:space="preserve"> SUM(G43:M43) - Y43</f>
        <v>0</v>
      </c>
      <c r="AB43" s="94"/>
    </row>
    <row r="44" spans="2:41" x14ac:dyDescent="0.35">
      <c r="C44" t="s">
        <v>25</v>
      </c>
      <c r="D44" t="s">
        <v>20</v>
      </c>
      <c r="E44" t="s">
        <v>29</v>
      </c>
      <c r="G44" s="62">
        <v>0</v>
      </c>
      <c r="H44" s="63">
        <v>0</v>
      </c>
      <c r="I44" s="63">
        <v>40.400000000001882</v>
      </c>
      <c r="J44" s="64">
        <v>0</v>
      </c>
      <c r="K44" s="86">
        <v>0</v>
      </c>
      <c r="L44" s="86">
        <v>0</v>
      </c>
      <c r="M44" s="87">
        <v>0</v>
      </c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50">
        <v>40.400000000001882</v>
      </c>
      <c r="Z44" s="28"/>
      <c r="AA44" s="92">
        <f xml:space="preserve"> SUM(G44:M44) - Y44</f>
        <v>0</v>
      </c>
      <c r="AB44" s="94"/>
    </row>
    <row r="45" spans="2:41" x14ac:dyDescent="0.35">
      <c r="C45" t="s">
        <v>26</v>
      </c>
      <c r="D45" t="s">
        <v>21</v>
      </c>
      <c r="E45" t="s">
        <v>29</v>
      </c>
      <c r="G45" s="65">
        <v>0</v>
      </c>
      <c r="H45" s="66">
        <v>0</v>
      </c>
      <c r="I45" s="66">
        <v>10.600000000003751</v>
      </c>
      <c r="J45" s="67">
        <v>42.400000000015005</v>
      </c>
      <c r="K45" s="86">
        <v>0</v>
      </c>
      <c r="L45" s="86">
        <v>0</v>
      </c>
      <c r="M45" s="87">
        <v>0</v>
      </c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50">
        <v>53.000000000018751</v>
      </c>
      <c r="Z45" s="28"/>
      <c r="AA45" s="93">
        <f xml:space="preserve"> SUM(G45:M45) - Y45</f>
        <v>0</v>
      </c>
      <c r="AB45" s="94"/>
    </row>
    <row r="46" spans="2:41" ht="14.5" customHeight="1" x14ac:dyDescent="0.35">
      <c r="C46" t="s">
        <v>27</v>
      </c>
      <c r="D46" t="s">
        <v>22</v>
      </c>
      <c r="E46" t="s">
        <v>29</v>
      </c>
      <c r="G46" s="88">
        <v>0</v>
      </c>
      <c r="H46" s="86">
        <v>0</v>
      </c>
      <c r="I46" s="86">
        <v>0</v>
      </c>
      <c r="J46" s="86">
        <v>0</v>
      </c>
      <c r="K46" s="53" cm="1">
        <f t="array" ref="K46:M47">MMULT(AG20:AI21,TRANSPOSE(K51:M51)*_xlfn.MUNIT(COUNTA(K51:M51)))</f>
        <v>35.593025576404315</v>
      </c>
      <c r="L46" s="54">
        <v>0</v>
      </c>
      <c r="M46" s="55">
        <v>0</v>
      </c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81" cm="1">
        <f t="array" ref="Y46:Y47">MMULT(AG20:AI21,TRANSPOSE(K51:M51))</f>
        <v>35.593025576404315</v>
      </c>
      <c r="AA46" s="92">
        <f t="shared" ref="AA46:AA47" si="2" xml:space="preserve"> SUM(G46:M46) - Y46</f>
        <v>0</v>
      </c>
      <c r="AB46" s="94"/>
    </row>
    <row r="47" spans="2:41" x14ac:dyDescent="0.35">
      <c r="C47" t="s">
        <v>28</v>
      </c>
      <c r="D47" t="s">
        <v>23</v>
      </c>
      <c r="E47" t="s">
        <v>30</v>
      </c>
      <c r="G47" s="89">
        <v>0</v>
      </c>
      <c r="H47" s="90">
        <v>0</v>
      </c>
      <c r="I47" s="90">
        <v>0</v>
      </c>
      <c r="J47" s="90">
        <v>0</v>
      </c>
      <c r="K47" s="56">
        <v>0</v>
      </c>
      <c r="L47" s="57">
        <v>15.999016000000001</v>
      </c>
      <c r="M47" s="58">
        <v>5.9990060000000005</v>
      </c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82">
        <v>21.998022000000002</v>
      </c>
      <c r="Z47" s="83" t="s">
        <v>52</v>
      </c>
      <c r="AA47" s="93">
        <f t="shared" si="2"/>
        <v>0</v>
      </c>
      <c r="AB47" s="94"/>
    </row>
    <row r="48" spans="2:41" x14ac:dyDescent="0.35">
      <c r="G48" s="23"/>
      <c r="H48" s="23"/>
      <c r="I48" s="23"/>
      <c r="J48" s="23"/>
      <c r="K48" s="23"/>
      <c r="L48" s="23"/>
      <c r="M48" s="23"/>
      <c r="N48" s="23"/>
      <c r="O48" s="23" t="s">
        <v>51</v>
      </c>
      <c r="P48" s="23"/>
      <c r="Q48" s="23"/>
      <c r="R48" s="23"/>
      <c r="S48" s="23"/>
      <c r="T48" s="23"/>
      <c r="U48" s="23"/>
      <c r="V48" s="23"/>
      <c r="W48" s="23" t="s">
        <v>60</v>
      </c>
      <c r="X48" s="23"/>
      <c r="Y48" s="23"/>
      <c r="Z48" s="23"/>
    </row>
    <row r="49" spans="4:26" x14ac:dyDescent="0.35">
      <c r="D49" t="s">
        <v>38</v>
      </c>
      <c r="E49" t="s">
        <v>39</v>
      </c>
      <c r="G49" s="23"/>
      <c r="H49" s="23"/>
      <c r="I49" s="23"/>
      <c r="J49" s="23"/>
      <c r="K49" s="23"/>
      <c r="L49" s="23"/>
      <c r="M49" s="23"/>
      <c r="N49" s="23"/>
      <c r="O49" s="33" cm="1">
        <f t="array" ref="O49:S49">MMULT(AK23:AO23,Y43:Y47*_xlfn.MUNIT(COUNTA(Y43:Y47)))</f>
        <v>15.750000000003499</v>
      </c>
      <c r="P49" s="34">
        <v>7.0700000000003298</v>
      </c>
      <c r="Q49" s="34">
        <v>12.7200000000045</v>
      </c>
      <c r="R49" s="34">
        <v>9.4914734870411515</v>
      </c>
      <c r="S49" s="35">
        <v>10.999011000000001</v>
      </c>
      <c r="T49" s="23"/>
      <c r="U49" s="23"/>
      <c r="V49" s="23"/>
      <c r="W49" s="106" cm="1">
        <f t="array" ref="W49">MMULT(O49:S49, Y43:Y47)</f>
        <v>4350.9497445400148</v>
      </c>
      <c r="X49" s="23"/>
      <c r="Y49" s="23"/>
      <c r="Z49" s="23"/>
    </row>
    <row r="50" spans="4:26" x14ac:dyDescent="0.35">
      <c r="G50" s="98" t="s">
        <v>53</v>
      </c>
    </row>
    <row r="51" spans="4:26" x14ac:dyDescent="0.35">
      <c r="G51" s="108" cm="1">
        <f t="array" ref="G51:J51">TRANSPOSE(MMULT(AQ9:AS12,Y43:Y45))</f>
        <v>157.50000000003502</v>
      </c>
      <c r="H51" s="109">
        <v>21.000000000004668</v>
      </c>
      <c r="I51" s="109">
        <v>51.000000000005635</v>
      </c>
      <c r="J51" s="110">
        <v>42.400000000015005</v>
      </c>
      <c r="K51" s="99">
        <v>35.593025576404315</v>
      </c>
      <c r="L51" s="100">
        <v>15.999016000000001</v>
      </c>
      <c r="M51" s="101">
        <v>5.9990060000000005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70724-045E-4D8F-BCCC-F25A31CADD2C}">
  <dimension ref="A1:AN119"/>
  <sheetViews>
    <sheetView tabSelected="1" zoomScale="70" zoomScaleNormal="70" workbookViewId="0">
      <pane xSplit="5" ySplit="8" topLeftCell="R9" activePane="bottomRight" state="frozen"/>
      <selection pane="topRight" activeCell="F1" sqref="F1"/>
      <selection pane="bottomLeft" activeCell="A9" sqref="A9"/>
      <selection pane="bottomRight" activeCell="AD15" sqref="AD15"/>
    </sheetView>
  </sheetViews>
  <sheetFormatPr defaultRowHeight="14.5" x14ac:dyDescent="0.35"/>
  <cols>
    <col min="1" max="2" width="8.7265625" style="127"/>
    <col min="3" max="3" width="16.26953125" style="127" bestFit="1" customWidth="1"/>
    <col min="4" max="4" width="18" style="127" customWidth="1"/>
    <col min="5" max="6" width="8.7265625" style="127"/>
    <col min="7" max="7" width="10" style="127" customWidth="1"/>
    <col min="8" max="8" width="5.7265625" style="127" customWidth="1"/>
    <col min="9" max="9" width="6.6328125" style="127" bestFit="1" customWidth="1"/>
    <col min="10" max="13" width="4.7265625" style="127" customWidth="1"/>
    <col min="14" max="14" width="8.7265625" style="127"/>
    <col min="15" max="15" width="9.1796875" style="127" bestFit="1" customWidth="1"/>
    <col min="16" max="17" width="10.1796875" style="127" customWidth="1"/>
    <col min="18" max="18" width="10.81640625" style="127" bestFit="1" customWidth="1"/>
    <col min="19" max="19" width="8.7265625" style="127"/>
    <col min="20" max="20" width="8.54296875" style="127" customWidth="1"/>
    <col min="21" max="22" width="12" style="127" customWidth="1"/>
    <col min="23" max="23" width="8.6328125" style="127" customWidth="1"/>
    <col min="24" max="25" width="8" style="127" bestFit="1" customWidth="1"/>
    <col min="26" max="26" width="13.54296875" style="127" customWidth="1"/>
    <col min="27" max="28" width="8" style="127" bestFit="1" customWidth="1"/>
    <col min="29" max="29" width="10.1796875" style="127" customWidth="1"/>
    <col min="30" max="30" width="8.7265625" style="127"/>
    <col min="31" max="31" width="9.08984375" style="127" customWidth="1"/>
    <col min="32" max="32" width="9.6328125" style="127" customWidth="1"/>
    <col min="33" max="33" width="7.90625" style="127" customWidth="1"/>
    <col min="34" max="34" width="8.36328125" style="127" customWidth="1"/>
    <col min="35" max="35" width="4.90625" style="127" bestFit="1" customWidth="1"/>
    <col min="36" max="37" width="4.7265625" style="127" bestFit="1" customWidth="1"/>
    <col min="38" max="39" width="4.90625" style="127" bestFit="1" customWidth="1"/>
    <col min="40" max="40" width="5.7265625" style="127" bestFit="1" customWidth="1"/>
    <col min="41" max="16384" width="8.7265625" style="127"/>
  </cols>
  <sheetData>
    <row r="1" spans="1:40" x14ac:dyDescent="0.35">
      <c r="A1" s="127" t="s">
        <v>56</v>
      </c>
      <c r="C1" s="128" t="s">
        <v>57</v>
      </c>
      <c r="D1" s="128"/>
    </row>
    <row r="2" spans="1:40" x14ac:dyDescent="0.35">
      <c r="C2" s="129" t="s">
        <v>58</v>
      </c>
      <c r="D2" s="129"/>
    </row>
    <row r="3" spans="1:40" x14ac:dyDescent="0.35">
      <c r="C3" s="130" t="s">
        <v>59</v>
      </c>
      <c r="D3" s="130"/>
    </row>
    <row r="4" spans="1:40" x14ac:dyDescent="0.35">
      <c r="A4" s="131" t="s">
        <v>105</v>
      </c>
      <c r="T4" s="127" t="s">
        <v>73</v>
      </c>
      <c r="U4" s="127" t="s">
        <v>74</v>
      </c>
      <c r="V4" s="127" t="s">
        <v>75</v>
      </c>
      <c r="W4" s="127" t="s">
        <v>76</v>
      </c>
      <c r="X4" s="127" t="s">
        <v>77</v>
      </c>
      <c r="Y4" s="127" t="s">
        <v>100</v>
      </c>
      <c r="Z4" s="127" t="s">
        <v>101</v>
      </c>
      <c r="AA4" s="127" t="s">
        <v>102</v>
      </c>
      <c r="AB4" s="127" t="s">
        <v>103</v>
      </c>
      <c r="AC4" s="127" t="s">
        <v>104</v>
      </c>
      <c r="AE4" s="127" t="s">
        <v>73</v>
      </c>
      <c r="AF4" s="127" t="s">
        <v>74</v>
      </c>
      <c r="AG4" s="127" t="s">
        <v>75</v>
      </c>
      <c r="AH4" s="127" t="s">
        <v>76</v>
      </c>
      <c r="AI4" s="127" t="s">
        <v>77</v>
      </c>
      <c r="AJ4" s="127" t="s">
        <v>100</v>
      </c>
      <c r="AK4" s="127" t="s">
        <v>101</v>
      </c>
      <c r="AL4" s="127" t="s">
        <v>102</v>
      </c>
      <c r="AM4" s="127" t="s">
        <v>103</v>
      </c>
      <c r="AN4" s="127" t="s">
        <v>104</v>
      </c>
    </row>
    <row r="5" spans="1:40" x14ac:dyDescent="0.35">
      <c r="B5" s="131" t="s">
        <v>1</v>
      </c>
      <c r="C5" s="131"/>
      <c r="D5" s="131"/>
      <c r="E5" s="131"/>
      <c r="G5" s="127" t="s">
        <v>12</v>
      </c>
      <c r="H5" s="127" t="s">
        <v>13</v>
      </c>
      <c r="I5" s="127" t="s">
        <v>14</v>
      </c>
    </row>
    <row r="6" spans="1:40" x14ac:dyDescent="0.35">
      <c r="B6" s="131"/>
      <c r="C6" s="131" t="s">
        <v>66</v>
      </c>
      <c r="D6" s="131"/>
      <c r="E6" s="131"/>
      <c r="J6" s="127" t="s">
        <v>24</v>
      </c>
      <c r="K6" s="127" t="s">
        <v>25</v>
      </c>
      <c r="L6" s="127" t="s">
        <v>26</v>
      </c>
      <c r="M6" s="127" t="s">
        <v>27</v>
      </c>
      <c r="O6" s="127" t="s">
        <v>24</v>
      </c>
      <c r="P6" s="127" t="s">
        <v>25</v>
      </c>
      <c r="Q6" s="127" t="s">
        <v>26</v>
      </c>
      <c r="R6" s="127" t="s">
        <v>27</v>
      </c>
    </row>
    <row r="7" spans="1:40" x14ac:dyDescent="0.35">
      <c r="B7" s="131"/>
      <c r="C7" s="131"/>
      <c r="D7" s="131" t="s">
        <v>2</v>
      </c>
      <c r="O7" s="127" t="s">
        <v>112</v>
      </c>
      <c r="P7" s="127" t="s">
        <v>70</v>
      </c>
      <c r="Q7" s="127" t="s">
        <v>71</v>
      </c>
      <c r="R7" s="127" t="s">
        <v>72</v>
      </c>
    </row>
    <row r="8" spans="1:40" x14ac:dyDescent="0.35">
      <c r="B8" s="131"/>
      <c r="C8" s="131"/>
      <c r="D8" s="131"/>
      <c r="E8" s="131" t="s">
        <v>3</v>
      </c>
      <c r="O8" s="127" t="s">
        <v>29</v>
      </c>
      <c r="P8" s="127" t="s">
        <v>29</v>
      </c>
      <c r="Q8" s="127" t="s">
        <v>29</v>
      </c>
      <c r="R8" s="127" t="s">
        <v>29</v>
      </c>
    </row>
    <row r="9" spans="1:40" x14ac:dyDescent="0.35">
      <c r="J9" s="127" t="s">
        <v>99</v>
      </c>
      <c r="O9" s="127" t="s">
        <v>96</v>
      </c>
      <c r="T9" s="127" t="s">
        <v>34</v>
      </c>
      <c r="AE9" s="127" t="s">
        <v>110</v>
      </c>
    </row>
    <row r="10" spans="1:40" x14ac:dyDescent="0.35">
      <c r="B10" s="127" t="s">
        <v>12</v>
      </c>
      <c r="D10" s="127" t="s">
        <v>4</v>
      </c>
      <c r="E10" s="127" t="s">
        <v>29</v>
      </c>
      <c r="J10" s="165">
        <v>0.7</v>
      </c>
      <c r="K10" s="133">
        <v>0</v>
      </c>
      <c r="L10" s="133">
        <v>0</v>
      </c>
      <c r="M10" s="134">
        <v>0</v>
      </c>
      <c r="O10" s="132">
        <v>0</v>
      </c>
      <c r="P10" s="133">
        <v>0</v>
      </c>
      <c r="Q10" s="133">
        <v>0</v>
      </c>
      <c r="R10" s="134">
        <v>0</v>
      </c>
      <c r="T10" s="135">
        <v>40</v>
      </c>
      <c r="U10" s="135">
        <f>T10</f>
        <v>40</v>
      </c>
      <c r="V10" s="135">
        <f t="shared" ref="V10:AC10" si="0">U10</f>
        <v>40</v>
      </c>
      <c r="W10" s="135">
        <f t="shared" si="0"/>
        <v>40</v>
      </c>
      <c r="X10" s="135">
        <f t="shared" si="0"/>
        <v>40</v>
      </c>
      <c r="Y10" s="135">
        <f t="shared" si="0"/>
        <v>40</v>
      </c>
      <c r="Z10" s="135">
        <f t="shared" si="0"/>
        <v>40</v>
      </c>
      <c r="AA10" s="135">
        <f t="shared" si="0"/>
        <v>40</v>
      </c>
      <c r="AB10" s="135">
        <f t="shared" si="0"/>
        <v>40</v>
      </c>
      <c r="AC10" s="135">
        <f t="shared" si="0"/>
        <v>40</v>
      </c>
      <c r="AE10" s="189" cm="1">
        <f t="array" ref="AE10:AN12">TRANSPOSE(G24:I33) - MMULT(O10:R12,TRANSPOSE(O24:R33)) - T10:AC12</f>
        <v>-1.0000000116860974E-7</v>
      </c>
      <c r="AF10" s="190">
        <v>-1.0000000116860974E-7</v>
      </c>
      <c r="AG10" s="190">
        <v>-1.0000000116860974E-7</v>
      </c>
      <c r="AH10" s="190">
        <v>-1.0000000116860974E-7</v>
      </c>
      <c r="AI10" s="190">
        <v>-1.0000000116860974E-7</v>
      </c>
      <c r="AJ10" s="190">
        <v>-1.0000000116860974E-7</v>
      </c>
      <c r="AK10" s="190">
        <v>-1.0000000116860974E-7</v>
      </c>
      <c r="AL10" s="190">
        <v>-1.0000000116860974E-7</v>
      </c>
      <c r="AM10" s="190">
        <v>-1.0000000116860974E-7</v>
      </c>
      <c r="AN10" s="191">
        <v>-1.0000000116860974E-7</v>
      </c>
    </row>
    <row r="11" spans="1:40" x14ac:dyDescent="0.35">
      <c r="B11" s="127" t="s">
        <v>13</v>
      </c>
      <c r="D11" s="127" t="s">
        <v>5</v>
      </c>
      <c r="E11" s="127" t="s">
        <v>29</v>
      </c>
      <c r="J11" s="124">
        <f>1-J10</f>
        <v>0.30000000000000004</v>
      </c>
      <c r="K11" s="137">
        <v>0</v>
      </c>
      <c r="L11" s="137">
        <v>0</v>
      </c>
      <c r="M11" s="138">
        <v>0</v>
      </c>
      <c r="O11" s="136">
        <v>0</v>
      </c>
      <c r="P11" s="137">
        <v>0</v>
      </c>
      <c r="Q11" s="137">
        <v>2</v>
      </c>
      <c r="R11" s="138">
        <v>0</v>
      </c>
      <c r="T11" s="139">
        <v>0</v>
      </c>
      <c r="U11" s="139">
        <v>0</v>
      </c>
      <c r="V11" s="139">
        <v>0</v>
      </c>
      <c r="W11" s="139">
        <v>0</v>
      </c>
      <c r="X11" s="139">
        <v>0</v>
      </c>
      <c r="Y11" s="139">
        <v>0</v>
      </c>
      <c r="Z11" s="139">
        <v>0</v>
      </c>
      <c r="AA11" s="139">
        <v>0</v>
      </c>
      <c r="AB11" s="139">
        <v>0</v>
      </c>
      <c r="AC11" s="139">
        <v>0</v>
      </c>
      <c r="AE11" s="192">
        <v>-9.9999997615896064E-8</v>
      </c>
      <c r="AF11" s="193">
        <v>-9.9999997615896064E-8</v>
      </c>
      <c r="AG11" s="193">
        <v>-9.9999997615896064E-8</v>
      </c>
      <c r="AH11" s="193">
        <v>-9.9999997615896064E-8</v>
      </c>
      <c r="AI11" s="193">
        <v>-9.9999997615896064E-8</v>
      </c>
      <c r="AJ11" s="193">
        <v>-9.9999997615896064E-8</v>
      </c>
      <c r="AK11" s="193">
        <v>-9.9999997615896064E-8</v>
      </c>
      <c r="AL11" s="193">
        <v>-9.9999997615896064E-8</v>
      </c>
      <c r="AM11" s="193">
        <v>-9.9999997615896064E-8</v>
      </c>
      <c r="AN11" s="194">
        <v>-9.9999997615896064E-8</v>
      </c>
    </row>
    <row r="12" spans="1:40" x14ac:dyDescent="0.35">
      <c r="B12" s="127" t="s">
        <v>14</v>
      </c>
      <c r="D12" s="127" t="s">
        <v>7</v>
      </c>
      <c r="E12" s="127" t="s">
        <v>29</v>
      </c>
      <c r="J12" s="140">
        <v>0</v>
      </c>
      <c r="K12" s="141">
        <v>1</v>
      </c>
      <c r="L12" s="141">
        <v>1</v>
      </c>
      <c r="M12" s="142">
        <v>1</v>
      </c>
      <c r="O12" s="140">
        <v>0</v>
      </c>
      <c r="P12" s="141">
        <v>0</v>
      </c>
      <c r="Q12" s="141">
        <v>0</v>
      </c>
      <c r="R12" s="112">
        <v>1E-3</v>
      </c>
      <c r="T12" s="143">
        <v>70</v>
      </c>
      <c r="U12" s="143">
        <f>T12+10</f>
        <v>80</v>
      </c>
      <c r="V12" s="143">
        <f t="shared" ref="V12:AC12" si="1">U12+10</f>
        <v>90</v>
      </c>
      <c r="W12" s="143">
        <f t="shared" si="1"/>
        <v>100</v>
      </c>
      <c r="X12" s="143">
        <f t="shared" si="1"/>
        <v>110</v>
      </c>
      <c r="Y12" s="143">
        <f t="shared" si="1"/>
        <v>120</v>
      </c>
      <c r="Z12" s="143">
        <f t="shared" si="1"/>
        <v>130</v>
      </c>
      <c r="AA12" s="143">
        <f t="shared" si="1"/>
        <v>140</v>
      </c>
      <c r="AB12" s="143">
        <f t="shared" si="1"/>
        <v>150</v>
      </c>
      <c r="AC12" s="143">
        <f t="shared" si="1"/>
        <v>160</v>
      </c>
      <c r="AE12" s="195">
        <v>-4.1600000599828491E-7</v>
      </c>
      <c r="AF12" s="196">
        <v>7.2000005957306712E-8</v>
      </c>
      <c r="AG12" s="196">
        <v>-4.0000000467443897E-7</v>
      </c>
      <c r="AH12" s="196">
        <v>-8.8799998820832116E-7</v>
      </c>
      <c r="AI12" s="196">
        <v>-8.8799998820832116E-7</v>
      </c>
      <c r="AJ12" s="196">
        <v>-3.9999999046358425E-7</v>
      </c>
      <c r="AK12" s="196">
        <v>-4.0000000467443897E-7</v>
      </c>
      <c r="AL12" s="196">
        <v>-1.4000000021496817E-6</v>
      </c>
      <c r="AM12" s="196">
        <v>-1.4000000021496817E-6</v>
      </c>
      <c r="AN12" s="197">
        <v>-1.4000000021496817E-6</v>
      </c>
    </row>
    <row r="13" spans="1:40" x14ac:dyDescent="0.35">
      <c r="G13" s="127" t="s">
        <v>97</v>
      </c>
      <c r="O13" s="127" t="s">
        <v>98</v>
      </c>
      <c r="T13" s="127" t="s">
        <v>108</v>
      </c>
    </row>
    <row r="14" spans="1:40" x14ac:dyDescent="0.35">
      <c r="C14" s="127" t="s">
        <v>24</v>
      </c>
      <c r="D14" s="127" t="s">
        <v>67</v>
      </c>
      <c r="E14" s="127" t="s">
        <v>29</v>
      </c>
      <c r="G14" s="132">
        <v>1</v>
      </c>
      <c r="H14" s="133">
        <v>1</v>
      </c>
      <c r="I14" s="134">
        <v>0</v>
      </c>
      <c r="J14" s="137"/>
      <c r="K14" s="137"/>
      <c r="L14" s="137"/>
      <c r="M14" s="137"/>
      <c r="O14" s="174">
        <v>1</v>
      </c>
      <c r="P14" s="175">
        <v>0</v>
      </c>
      <c r="Q14" s="175">
        <v>0</v>
      </c>
      <c r="R14" s="176">
        <v>0</v>
      </c>
      <c r="T14" s="114" cm="1">
        <f t="array" ref="T14:AC15">MMULT(O14:R15,TRANSPOSE(O24:R33))</f>
        <v>57.142856999999999</v>
      </c>
      <c r="U14" s="115">
        <v>57.142856999999999</v>
      </c>
      <c r="V14" s="115">
        <v>57.142856999999999</v>
      </c>
      <c r="W14" s="115">
        <v>57.142856999999999</v>
      </c>
      <c r="X14" s="115">
        <v>57.142856999999999</v>
      </c>
      <c r="Y14" s="115">
        <v>57.142856999999999</v>
      </c>
      <c r="Z14" s="115">
        <v>57.142856999999999</v>
      </c>
      <c r="AA14" s="115">
        <v>57.142856999999999</v>
      </c>
      <c r="AB14" s="115">
        <v>57.142856999999999</v>
      </c>
      <c r="AC14" s="116">
        <v>57.142856999999999</v>
      </c>
    </row>
    <row r="15" spans="1:40" x14ac:dyDescent="0.35">
      <c r="C15" s="127" t="s">
        <v>69</v>
      </c>
      <c r="D15" s="127" t="s">
        <v>68</v>
      </c>
      <c r="E15" s="127" t="s">
        <v>29</v>
      </c>
      <c r="G15" s="140">
        <v>0</v>
      </c>
      <c r="H15" s="141">
        <v>0</v>
      </c>
      <c r="I15" s="142">
        <v>1</v>
      </c>
      <c r="J15" s="137"/>
      <c r="K15" s="137"/>
      <c r="L15" s="137"/>
      <c r="M15" s="137"/>
      <c r="O15" s="177">
        <v>0</v>
      </c>
      <c r="P15" s="178">
        <v>1</v>
      </c>
      <c r="Q15" s="178">
        <v>1</v>
      </c>
      <c r="R15" s="179">
        <v>1</v>
      </c>
      <c r="T15" s="120">
        <v>70.0164446</v>
      </c>
      <c r="U15" s="121">
        <v>80.02795660000001</v>
      </c>
      <c r="V15" s="121">
        <v>90.029999599999996</v>
      </c>
      <c r="W15" s="121">
        <v>100.01848760000001</v>
      </c>
      <c r="X15" s="121">
        <v>110.01848760000001</v>
      </c>
      <c r="Y15" s="121">
        <v>120.02999960000001</v>
      </c>
      <c r="Z15" s="121">
        <v>130.0299996</v>
      </c>
      <c r="AA15" s="121">
        <v>140.0299986</v>
      </c>
      <c r="AB15" s="121">
        <v>150.0299986</v>
      </c>
      <c r="AC15" s="122">
        <v>160.0299986</v>
      </c>
    </row>
    <row r="16" spans="1:40" x14ac:dyDescent="0.35">
      <c r="U16" s="123"/>
    </row>
    <row r="17" spans="1:34" x14ac:dyDescent="0.35">
      <c r="D17" s="127" t="s">
        <v>38</v>
      </c>
      <c r="E17" s="127" t="s">
        <v>82</v>
      </c>
      <c r="O17" s="180">
        <v>30</v>
      </c>
      <c r="P17" s="181">
        <v>0</v>
      </c>
      <c r="Q17" s="181">
        <v>4</v>
      </c>
      <c r="R17" s="182">
        <v>60</v>
      </c>
      <c r="T17" s="137"/>
      <c r="U17" s="137"/>
      <c r="V17" s="137"/>
      <c r="W17" s="137"/>
      <c r="X17" s="137"/>
      <c r="Y17" s="137"/>
      <c r="Z17" s="137"/>
      <c r="AA17" s="137"/>
      <c r="AB17" s="137"/>
      <c r="AC17" s="137"/>
    </row>
    <row r="18" spans="1:34" x14ac:dyDescent="0.35">
      <c r="D18" s="127" t="s">
        <v>78</v>
      </c>
      <c r="E18" s="127" t="s">
        <v>81</v>
      </c>
      <c r="O18" s="183">
        <v>0</v>
      </c>
      <c r="P18" s="184">
        <f>P19*0.02</f>
        <v>20000</v>
      </c>
      <c r="Q18" s="184">
        <f>Q19*0.02</f>
        <v>40000</v>
      </c>
      <c r="R18" s="185">
        <v>0</v>
      </c>
    </row>
    <row r="19" spans="1:34" x14ac:dyDescent="0.35">
      <c r="D19" s="127" t="s">
        <v>79</v>
      </c>
      <c r="E19" s="127" t="s">
        <v>80</v>
      </c>
      <c r="O19" s="186">
        <v>500</v>
      </c>
      <c r="P19" s="187">
        <f>1000*10^3</f>
        <v>1000000</v>
      </c>
      <c r="Q19" s="187">
        <f>2000*10^3</f>
        <v>2000000</v>
      </c>
      <c r="R19" s="188">
        <v>0</v>
      </c>
    </row>
    <row r="20" spans="1:34" x14ac:dyDescent="0.35">
      <c r="O20" s="160"/>
      <c r="P20" s="160"/>
      <c r="Q20" s="160"/>
      <c r="R20" s="160"/>
    </row>
    <row r="21" spans="1:34" x14ac:dyDescent="0.35">
      <c r="O21" s="160"/>
      <c r="P21" s="160"/>
      <c r="Q21" s="160"/>
      <c r="R21" s="160"/>
      <c r="S21" s="127" t="s">
        <v>109</v>
      </c>
      <c r="T21" s="209">
        <f>SUM(O110:R119,T110:W119,Y110:AB119)</f>
        <v>321410337.6828568</v>
      </c>
    </row>
    <row r="22" spans="1:34" x14ac:dyDescent="0.35">
      <c r="O22" s="160"/>
      <c r="P22" s="160"/>
      <c r="Q22" s="160"/>
      <c r="R22" s="160"/>
      <c r="AE22" s="127" t="s">
        <v>24</v>
      </c>
      <c r="AF22" s="127" t="s">
        <v>25</v>
      </c>
      <c r="AG22" s="127" t="s">
        <v>26</v>
      </c>
      <c r="AH22" s="127" t="s">
        <v>27</v>
      </c>
    </row>
    <row r="23" spans="1:34" x14ac:dyDescent="0.35">
      <c r="G23" s="127" t="s">
        <v>106</v>
      </c>
      <c r="O23" s="127" t="s">
        <v>107</v>
      </c>
      <c r="AE23" s="207" t="s">
        <v>129</v>
      </c>
    </row>
    <row r="24" spans="1:34" x14ac:dyDescent="0.35">
      <c r="A24" s="127" t="s">
        <v>73</v>
      </c>
      <c r="G24" s="165" cm="1">
        <f t="array" ref="G24:I33">TRANSPOSE(MMULT(J10:M12,TRANSPOSE(O24:R33)))</f>
        <v>39.999999899999999</v>
      </c>
      <c r="H24" s="166">
        <v>17.142857100000004</v>
      </c>
      <c r="I24" s="167">
        <v>70.0164446</v>
      </c>
      <c r="O24" s="198">
        <v>57.142856999999999</v>
      </c>
      <c r="P24" s="199">
        <v>45</v>
      </c>
      <c r="Q24" s="199">
        <v>8.5714286000000008</v>
      </c>
      <c r="R24" s="200">
        <v>16.445015999999999</v>
      </c>
      <c r="AD24" s="127" t="s">
        <v>73</v>
      </c>
      <c r="AE24" s="189" cm="1">
        <f t="array" ref="AE24:AH24">O24:R24 - (O97:R97*$O$56:$R$56*$O$58:$R$58)</f>
        <v>-2.8571430000000007</v>
      </c>
      <c r="AF24" s="190">
        <v>0</v>
      </c>
      <c r="AG24" s="190">
        <v>-19.428571399999999</v>
      </c>
      <c r="AH24" s="191">
        <v>-13.554984000000001</v>
      </c>
    </row>
    <row r="25" spans="1:34" x14ac:dyDescent="0.35">
      <c r="A25" s="127" t="s">
        <v>74</v>
      </c>
      <c r="G25" s="168">
        <v>39.999999899999999</v>
      </c>
      <c r="H25" s="169">
        <v>17.142857100000004</v>
      </c>
      <c r="I25" s="170">
        <v>80.02795660000001</v>
      </c>
      <c r="O25" s="201">
        <v>57.142856999999999</v>
      </c>
      <c r="P25" s="202">
        <v>43.5</v>
      </c>
      <c r="Q25" s="202">
        <v>8.5714286000000008</v>
      </c>
      <c r="R25" s="203">
        <v>27.956527999999999</v>
      </c>
      <c r="AD25" s="127" t="s">
        <v>74</v>
      </c>
      <c r="AE25" s="192" cm="1">
        <f t="array" ref="AE25:AH25">O25:R25 - (O98:R98*$O$56:$R$56*$O$58:$R$58)</f>
        <v>-2.8571430000000007</v>
      </c>
      <c r="AF25" s="193">
        <v>0</v>
      </c>
      <c r="AG25" s="193">
        <v>-17.428571399999999</v>
      </c>
      <c r="AH25" s="194">
        <v>-2.0434720000000013</v>
      </c>
    </row>
    <row r="26" spans="1:34" x14ac:dyDescent="0.35">
      <c r="A26" s="127" t="s">
        <v>75</v>
      </c>
      <c r="G26" s="168">
        <v>39.999999899999999</v>
      </c>
      <c r="H26" s="169">
        <v>17.142857100000004</v>
      </c>
      <c r="I26" s="170">
        <v>90.029999599999996</v>
      </c>
      <c r="O26" s="201">
        <v>57.142856999999999</v>
      </c>
      <c r="P26" s="202">
        <v>51.458570999999999</v>
      </c>
      <c r="Q26" s="202">
        <v>8.5714286000000008</v>
      </c>
      <c r="R26" s="203">
        <v>30</v>
      </c>
      <c r="AD26" s="127" t="s">
        <v>75</v>
      </c>
      <c r="AE26" s="192" cm="1">
        <f t="array" ref="AE26:AH26">O26:R26 - (O99:R99*$O$56:$R$56*$O$58:$R$58)</f>
        <v>-2.8571430000000007</v>
      </c>
      <c r="AF26" s="193">
        <v>-2.9999999640040187E-7</v>
      </c>
      <c r="AG26" s="193">
        <v>-15.428571399999999</v>
      </c>
      <c r="AH26" s="194">
        <v>0</v>
      </c>
    </row>
    <row r="27" spans="1:34" x14ac:dyDescent="0.35">
      <c r="A27" s="127" t="s">
        <v>76</v>
      </c>
      <c r="G27" s="168">
        <v>39.999999899999999</v>
      </c>
      <c r="H27" s="169">
        <v>17.142857100000004</v>
      </c>
      <c r="I27" s="170">
        <v>100.01848760000001</v>
      </c>
      <c r="O27" s="201">
        <v>57.142856999999999</v>
      </c>
      <c r="P27" s="202">
        <v>72.958571000000006</v>
      </c>
      <c r="Q27" s="202">
        <v>8.5714286000000008</v>
      </c>
      <c r="R27" s="203">
        <v>18.488488</v>
      </c>
      <c r="AD27" s="127" t="s">
        <v>76</v>
      </c>
      <c r="AE27" s="192" cm="1">
        <f t="array" ref="AE27:AH27">O27:R27 - (O100:R100*$O$56:$R$56*$O$58:$R$58)</f>
        <v>-2.8571430000000007</v>
      </c>
      <c r="AF27" s="193">
        <v>-3.9999999046358425E-7</v>
      </c>
      <c r="AG27" s="193">
        <v>-13.428571399999999</v>
      </c>
      <c r="AH27" s="194">
        <v>-11.511512</v>
      </c>
    </row>
    <row r="28" spans="1:34" x14ac:dyDescent="0.35">
      <c r="A28" s="127" t="s">
        <v>77</v>
      </c>
      <c r="G28" s="168">
        <v>39.999999899999999</v>
      </c>
      <c r="H28" s="169">
        <v>17.142857100000004</v>
      </c>
      <c r="I28" s="170">
        <v>110.01848760000001</v>
      </c>
      <c r="O28" s="201">
        <v>57.142856999999999</v>
      </c>
      <c r="P28" s="202">
        <v>82.958571000000006</v>
      </c>
      <c r="Q28" s="202">
        <v>8.5714286000000008</v>
      </c>
      <c r="R28" s="203">
        <v>18.488488</v>
      </c>
      <c r="AD28" s="127" t="s">
        <v>77</v>
      </c>
      <c r="AE28" s="192" cm="1">
        <f t="array" ref="AE28:AH28">O28:R28 - (O101:R101*$O$56:$R$56*$O$58:$R$58)</f>
        <v>-2.8571430000000007</v>
      </c>
      <c r="AF28" s="193">
        <v>-2.9999999640040187E-7</v>
      </c>
      <c r="AG28" s="193">
        <v>-11.428571399999999</v>
      </c>
      <c r="AH28" s="194">
        <v>-11.511512</v>
      </c>
    </row>
    <row r="29" spans="1:34" x14ac:dyDescent="0.35">
      <c r="A29" s="127" t="s">
        <v>100</v>
      </c>
      <c r="G29" s="168">
        <v>39.999999899999999</v>
      </c>
      <c r="H29" s="169">
        <v>17.142857100000004</v>
      </c>
      <c r="I29" s="170">
        <v>120.02999960000001</v>
      </c>
      <c r="O29" s="201">
        <v>57.142856999999999</v>
      </c>
      <c r="P29" s="202">
        <v>81.458571000000006</v>
      </c>
      <c r="Q29" s="202">
        <v>8.5714286000000008</v>
      </c>
      <c r="R29" s="203">
        <v>30</v>
      </c>
      <c r="AD29" s="127" t="s">
        <v>100</v>
      </c>
      <c r="AE29" s="192" cm="1">
        <f t="array" ref="AE29:AH29">O29:R29 - (O102:R102*$O$56:$R$56*$O$58:$R$58)</f>
        <v>-2.8571430000000007</v>
      </c>
      <c r="AF29" s="193">
        <v>-2.9999999640040187E-7</v>
      </c>
      <c r="AG29" s="193">
        <v>-9.4285713999999992</v>
      </c>
      <c r="AH29" s="194">
        <v>0</v>
      </c>
    </row>
    <row r="30" spans="1:34" x14ac:dyDescent="0.35">
      <c r="A30" s="127" t="s">
        <v>101</v>
      </c>
      <c r="G30" s="168">
        <v>39.999999899999999</v>
      </c>
      <c r="H30" s="169">
        <v>17.142857100000004</v>
      </c>
      <c r="I30" s="170">
        <v>130.0299996</v>
      </c>
      <c r="O30" s="201">
        <v>57.142856999999999</v>
      </c>
      <c r="P30" s="202">
        <v>91.458571000000006</v>
      </c>
      <c r="Q30" s="202">
        <v>8.5714286000000008</v>
      </c>
      <c r="R30" s="203">
        <v>30</v>
      </c>
      <c r="AD30" s="127" t="s">
        <v>101</v>
      </c>
      <c r="AE30" s="192" cm="1">
        <f t="array" ref="AE30:AH30">O30:R30 - (O103:R103*$O$56:$R$56*$O$58:$R$58)</f>
        <v>-2.8571430000000007</v>
      </c>
      <c r="AF30" s="193">
        <v>-4.9999998452676664E-7</v>
      </c>
      <c r="AG30" s="193">
        <v>-7.4285713999999992</v>
      </c>
      <c r="AH30" s="194">
        <v>0</v>
      </c>
    </row>
    <row r="31" spans="1:34" x14ac:dyDescent="0.35">
      <c r="A31" s="127" t="s">
        <v>102</v>
      </c>
      <c r="G31" s="168">
        <v>39.999999899999999</v>
      </c>
      <c r="H31" s="169">
        <v>17.142857100000004</v>
      </c>
      <c r="I31" s="170">
        <v>140.0299986</v>
      </c>
      <c r="O31" s="201">
        <v>57.142856999999999</v>
      </c>
      <c r="P31" s="202">
        <v>101.45856999999999</v>
      </c>
      <c r="Q31" s="202">
        <v>8.5714286000000008</v>
      </c>
      <c r="R31" s="203">
        <v>30</v>
      </c>
      <c r="AD31" s="127" t="s">
        <v>102</v>
      </c>
      <c r="AE31" s="192" cm="1">
        <f t="array" ref="AE31:AH31">O31:R31 - (O104:R104*$O$56:$R$56*$O$58:$R$58)</f>
        <v>-2.8571430000000007</v>
      </c>
      <c r="AF31" s="193">
        <v>-1.399999987938827E-6</v>
      </c>
      <c r="AG31" s="193">
        <v>-5.4285713999999992</v>
      </c>
      <c r="AH31" s="194">
        <v>0</v>
      </c>
    </row>
    <row r="32" spans="1:34" x14ac:dyDescent="0.35">
      <c r="A32" s="127" t="s">
        <v>103</v>
      </c>
      <c r="G32" s="168">
        <v>39.999999899999999</v>
      </c>
      <c r="H32" s="169">
        <v>17.142857100000004</v>
      </c>
      <c r="I32" s="170">
        <v>150.0299986</v>
      </c>
      <c r="O32" s="201">
        <v>57.142856999999999</v>
      </c>
      <c r="P32" s="202">
        <v>111.45856999999999</v>
      </c>
      <c r="Q32" s="202">
        <v>8.5714286000000008</v>
      </c>
      <c r="R32" s="203">
        <v>30</v>
      </c>
      <c r="AD32" s="127" t="s">
        <v>103</v>
      </c>
      <c r="AE32" s="192" cm="1">
        <f t="array" ref="AE32:AH32">O32:R32 - (O105:R105*$O$56:$R$56*$O$58:$R$58)</f>
        <v>-2.8571430000000007</v>
      </c>
      <c r="AF32" s="193">
        <v>-1.6000000044869012E-6</v>
      </c>
      <c r="AG32" s="193">
        <v>-3.4285713999999992</v>
      </c>
      <c r="AH32" s="194">
        <v>0</v>
      </c>
    </row>
    <row r="33" spans="1:34" x14ac:dyDescent="0.35">
      <c r="A33" s="127" t="s">
        <v>104</v>
      </c>
      <c r="G33" s="171">
        <v>39.999999899999999</v>
      </c>
      <c r="H33" s="172">
        <v>17.142857100000004</v>
      </c>
      <c r="I33" s="173">
        <v>160.0299986</v>
      </c>
      <c r="O33" s="204">
        <v>57.142856999999999</v>
      </c>
      <c r="P33" s="205">
        <v>121.45856999999999</v>
      </c>
      <c r="Q33" s="205">
        <v>8.5714286000000008</v>
      </c>
      <c r="R33" s="206">
        <v>30</v>
      </c>
      <c r="AD33" s="127" t="s">
        <v>104</v>
      </c>
      <c r="AE33" s="195" cm="1">
        <f t="array" ref="AE33:AH33">O33:R33 - (O106:R106*$O$56:$R$56*$O$58:$R$58)</f>
        <v>-2.8571430000000007</v>
      </c>
      <c r="AF33" s="196">
        <v>-1.4999999962128641E-6</v>
      </c>
      <c r="AG33" s="196">
        <v>-1.4285713999999992</v>
      </c>
      <c r="AH33" s="197">
        <v>0</v>
      </c>
    </row>
    <row r="34" spans="1:34" x14ac:dyDescent="0.35">
      <c r="G34" s="169"/>
      <c r="H34" s="169"/>
      <c r="I34" s="169"/>
      <c r="O34" s="160"/>
      <c r="P34" s="160"/>
      <c r="Q34" s="160"/>
      <c r="R34" s="160"/>
      <c r="AE34" s="127" t="s">
        <v>24</v>
      </c>
      <c r="AF34" s="127" t="s">
        <v>25</v>
      </c>
      <c r="AG34" s="127" t="s">
        <v>26</v>
      </c>
      <c r="AH34" s="127" t="s">
        <v>27</v>
      </c>
    </row>
    <row r="35" spans="1:34" x14ac:dyDescent="0.35">
      <c r="O35" s="127" t="s">
        <v>90</v>
      </c>
      <c r="AE35" s="207" t="s">
        <v>128</v>
      </c>
    </row>
    <row r="36" spans="1:34" x14ac:dyDescent="0.35">
      <c r="D36" s="127" t="s">
        <v>83</v>
      </c>
      <c r="E36" s="127" t="s">
        <v>84</v>
      </c>
      <c r="N36" s="127" t="s">
        <v>73</v>
      </c>
      <c r="O36" s="132">
        <v>60</v>
      </c>
      <c r="P36" s="133">
        <v>150</v>
      </c>
      <c r="Q36" s="133">
        <v>70</v>
      </c>
      <c r="R36" s="134">
        <v>30</v>
      </c>
      <c r="AD36" s="127" t="s">
        <v>73</v>
      </c>
      <c r="AE36" s="189" cm="1">
        <f t="array" ref="AE36:AH36" xml:space="preserve"> O97:R97 - $O$54:$R$54</f>
        <v>-99940</v>
      </c>
      <c r="AF36" s="190">
        <v>-350</v>
      </c>
      <c r="AG36" s="190">
        <v>-230</v>
      </c>
      <c r="AH36" s="191">
        <v>0</v>
      </c>
    </row>
    <row r="37" spans="1:34" x14ac:dyDescent="0.35">
      <c r="N37" s="127" t="s">
        <v>74</v>
      </c>
      <c r="O37" s="136">
        <f>O36</f>
        <v>60</v>
      </c>
      <c r="P37" s="137">
        <f>P36-5</f>
        <v>145</v>
      </c>
      <c r="Q37" s="137">
        <f>Q36-5</f>
        <v>65</v>
      </c>
      <c r="R37" s="138">
        <f>R36</f>
        <v>30</v>
      </c>
      <c r="AD37" s="127" t="s">
        <v>74</v>
      </c>
      <c r="AE37" s="192" cm="1">
        <f t="array" ref="AE37:AH37" xml:space="preserve"> O98:R98 - $O$54:$R$54</f>
        <v>-99940</v>
      </c>
      <c r="AF37" s="193">
        <v>-355</v>
      </c>
      <c r="AG37" s="193">
        <v>-235</v>
      </c>
      <c r="AH37" s="194">
        <v>0</v>
      </c>
    </row>
    <row r="38" spans="1:34" x14ac:dyDescent="0.35">
      <c r="N38" s="127" t="s">
        <v>75</v>
      </c>
      <c r="O38" s="136">
        <f t="shared" ref="O38:O45" si="2">O37</f>
        <v>60</v>
      </c>
      <c r="P38" s="137">
        <f t="shared" ref="P38:P40" si="3">P37-5</f>
        <v>140</v>
      </c>
      <c r="Q38" s="137">
        <f t="shared" ref="Q38:Q40" si="4">Q37-5</f>
        <v>60</v>
      </c>
      <c r="R38" s="138">
        <f t="shared" ref="R38:R45" si="5">R37</f>
        <v>30</v>
      </c>
      <c r="AD38" s="127" t="s">
        <v>75</v>
      </c>
      <c r="AE38" s="192" cm="1">
        <f t="array" ref="AE38:AH38" xml:space="preserve"> O99:R99 - $O$54:$R$54</f>
        <v>-99940</v>
      </c>
      <c r="AF38" s="193">
        <v>-328.471429</v>
      </c>
      <c r="AG38" s="193">
        <v>-240</v>
      </c>
      <c r="AH38" s="194">
        <v>0</v>
      </c>
    </row>
    <row r="39" spans="1:34" x14ac:dyDescent="0.35">
      <c r="N39" s="127" t="s">
        <v>76</v>
      </c>
      <c r="O39" s="136">
        <f t="shared" si="2"/>
        <v>60</v>
      </c>
      <c r="P39" s="137">
        <f t="shared" si="3"/>
        <v>135</v>
      </c>
      <c r="Q39" s="137">
        <f t="shared" si="4"/>
        <v>55</v>
      </c>
      <c r="R39" s="138">
        <f t="shared" si="5"/>
        <v>30</v>
      </c>
      <c r="AD39" s="127" t="s">
        <v>76</v>
      </c>
      <c r="AE39" s="192" cm="1">
        <f t="array" ref="AE39:AH39" xml:space="preserve"> O100:R100 - $O$54:$R$54</f>
        <v>-99940</v>
      </c>
      <c r="AF39" s="193">
        <v>-256.80476199999998</v>
      </c>
      <c r="AG39" s="193">
        <v>-245</v>
      </c>
      <c r="AH39" s="194">
        <v>0</v>
      </c>
    </row>
    <row r="40" spans="1:34" x14ac:dyDescent="0.35">
      <c r="N40" s="127" t="s">
        <v>77</v>
      </c>
      <c r="O40" s="136">
        <f t="shared" si="2"/>
        <v>60</v>
      </c>
      <c r="P40" s="137">
        <f t="shared" si="3"/>
        <v>130</v>
      </c>
      <c r="Q40" s="137">
        <f t="shared" si="4"/>
        <v>50</v>
      </c>
      <c r="R40" s="138">
        <f t="shared" si="5"/>
        <v>30</v>
      </c>
      <c r="AD40" s="127" t="s">
        <v>77</v>
      </c>
      <c r="AE40" s="192" cm="1">
        <f t="array" ref="AE40:AH40" xml:space="preserve"> O101:R101 - $O$54:$R$54</f>
        <v>-99940</v>
      </c>
      <c r="AF40" s="193">
        <v>-223.471429</v>
      </c>
      <c r="AG40" s="193">
        <v>-250</v>
      </c>
      <c r="AH40" s="194">
        <v>0</v>
      </c>
    </row>
    <row r="41" spans="1:34" x14ac:dyDescent="0.35">
      <c r="N41" s="127" t="s">
        <v>100</v>
      </c>
      <c r="O41" s="136">
        <f t="shared" si="2"/>
        <v>60</v>
      </c>
      <c r="P41" s="137">
        <f t="shared" ref="P41:P45" si="6">P40-5</f>
        <v>125</v>
      </c>
      <c r="Q41" s="137">
        <f t="shared" ref="Q41:Q45" si="7">Q40-5</f>
        <v>45</v>
      </c>
      <c r="R41" s="138">
        <f t="shared" si="5"/>
        <v>30</v>
      </c>
      <c r="AD41" s="127" t="s">
        <v>100</v>
      </c>
      <c r="AE41" s="192" cm="1">
        <f t="array" ref="AE41:AH41" xml:space="preserve"> O102:R102 - $O$54:$R$54</f>
        <v>-99940</v>
      </c>
      <c r="AF41" s="193">
        <v>-228.471429</v>
      </c>
      <c r="AG41" s="193">
        <v>-255</v>
      </c>
      <c r="AH41" s="194">
        <v>0</v>
      </c>
    </row>
    <row r="42" spans="1:34" x14ac:dyDescent="0.35">
      <c r="N42" s="127" t="s">
        <v>101</v>
      </c>
      <c r="O42" s="136">
        <f t="shared" si="2"/>
        <v>60</v>
      </c>
      <c r="P42" s="137">
        <f t="shared" si="6"/>
        <v>120</v>
      </c>
      <c r="Q42" s="137">
        <f t="shared" si="7"/>
        <v>40</v>
      </c>
      <c r="R42" s="138">
        <f t="shared" si="5"/>
        <v>30</v>
      </c>
      <c r="AD42" s="127" t="s">
        <v>101</v>
      </c>
      <c r="AE42" s="192" cm="1">
        <f t="array" ref="AE42:AH42" xml:space="preserve"> O103:R103 - $O$54:$R$54</f>
        <v>-99940</v>
      </c>
      <c r="AF42" s="193">
        <v>-195.13809500000002</v>
      </c>
      <c r="AG42" s="193">
        <v>-260</v>
      </c>
      <c r="AH42" s="194">
        <v>0</v>
      </c>
    </row>
    <row r="43" spans="1:34" x14ac:dyDescent="0.35">
      <c r="N43" s="127" t="s">
        <v>102</v>
      </c>
      <c r="O43" s="136">
        <f t="shared" si="2"/>
        <v>60</v>
      </c>
      <c r="P43" s="137">
        <f t="shared" si="6"/>
        <v>115</v>
      </c>
      <c r="Q43" s="137">
        <f t="shared" si="7"/>
        <v>35</v>
      </c>
      <c r="R43" s="138">
        <f t="shared" si="5"/>
        <v>30</v>
      </c>
      <c r="AD43" s="127" t="s">
        <v>102</v>
      </c>
      <c r="AE43" s="192" cm="1">
        <f t="array" ref="AE43:AH43" xml:space="preserve"> O104:R104 - $O$54:$R$54</f>
        <v>-99940</v>
      </c>
      <c r="AF43" s="193">
        <v>-161.80476200000004</v>
      </c>
      <c r="AG43" s="193">
        <v>-265</v>
      </c>
      <c r="AH43" s="194">
        <v>0</v>
      </c>
    </row>
    <row r="44" spans="1:34" x14ac:dyDescent="0.35">
      <c r="N44" s="127" t="s">
        <v>103</v>
      </c>
      <c r="O44" s="136">
        <f t="shared" si="2"/>
        <v>60</v>
      </c>
      <c r="P44" s="137">
        <f t="shared" si="6"/>
        <v>110</v>
      </c>
      <c r="Q44" s="137">
        <f t="shared" si="7"/>
        <v>30</v>
      </c>
      <c r="R44" s="138">
        <f t="shared" si="5"/>
        <v>30</v>
      </c>
      <c r="AD44" s="127" t="s">
        <v>103</v>
      </c>
      <c r="AE44" s="192" cm="1">
        <f t="array" ref="AE44:AH44" xml:space="preserve"> O105:R105 - $O$54:$R$54</f>
        <v>-99940</v>
      </c>
      <c r="AF44" s="193">
        <v>-128.471428</v>
      </c>
      <c r="AG44" s="193">
        <v>-270</v>
      </c>
      <c r="AH44" s="194">
        <v>0</v>
      </c>
    </row>
    <row r="45" spans="1:34" x14ac:dyDescent="0.35">
      <c r="N45" s="127" t="s">
        <v>104</v>
      </c>
      <c r="O45" s="136">
        <f t="shared" si="2"/>
        <v>60</v>
      </c>
      <c r="P45" s="141">
        <f t="shared" si="6"/>
        <v>105</v>
      </c>
      <c r="Q45" s="141">
        <f t="shared" si="7"/>
        <v>25</v>
      </c>
      <c r="R45" s="138">
        <f t="shared" si="5"/>
        <v>30</v>
      </c>
      <c r="AD45" s="127" t="s">
        <v>104</v>
      </c>
      <c r="AE45" s="195" cm="1">
        <f t="array" ref="AE45:AH45" xml:space="preserve"> O106:R106 - $O$54:$R$54</f>
        <v>-99940</v>
      </c>
      <c r="AF45" s="196">
        <v>-95.138095000000021</v>
      </c>
      <c r="AG45" s="196">
        <v>-275</v>
      </c>
      <c r="AH45" s="197">
        <v>0</v>
      </c>
    </row>
    <row r="46" spans="1:34" x14ac:dyDescent="0.35">
      <c r="O46" s="137"/>
      <c r="P46" s="137"/>
      <c r="Q46" s="137"/>
      <c r="R46" s="137"/>
      <c r="AE46" s="160"/>
      <c r="AF46" s="160"/>
      <c r="AG46" s="160"/>
      <c r="AH46" s="160"/>
    </row>
    <row r="47" spans="1:34" x14ac:dyDescent="0.35">
      <c r="O47" s="137" t="s">
        <v>135</v>
      </c>
      <c r="P47" s="137"/>
      <c r="Q47" s="137"/>
      <c r="R47" s="137"/>
      <c r="AE47" s="160"/>
      <c r="AF47" s="160"/>
      <c r="AG47" s="160"/>
      <c r="AH47" s="160"/>
    </row>
    <row r="48" spans="1:34" x14ac:dyDescent="0.35">
      <c r="D48" s="127" t="s">
        <v>130</v>
      </c>
      <c r="E48" s="127" t="s">
        <v>93</v>
      </c>
      <c r="O48" s="208">
        <v>0.03</v>
      </c>
      <c r="P48" s="137"/>
      <c r="Q48" s="137"/>
      <c r="R48" s="137"/>
      <c r="AE48" s="160"/>
      <c r="AF48" s="160"/>
      <c r="AG48" s="160"/>
      <c r="AH48" s="160"/>
    </row>
    <row r="49" spans="1:23" x14ac:dyDescent="0.35">
      <c r="O49" s="127" t="s">
        <v>88</v>
      </c>
    </row>
    <row r="50" spans="1:23" x14ac:dyDescent="0.35">
      <c r="D50" s="127" t="s">
        <v>85</v>
      </c>
      <c r="E50" s="127" t="s">
        <v>86</v>
      </c>
      <c r="O50" s="144">
        <v>1</v>
      </c>
      <c r="P50" s="145">
        <v>1</v>
      </c>
      <c r="Q50" s="145">
        <v>2</v>
      </c>
      <c r="R50" s="146">
        <v>1</v>
      </c>
    </row>
    <row r="51" spans="1:23" x14ac:dyDescent="0.35">
      <c r="O51" s="127" t="s">
        <v>89</v>
      </c>
    </row>
    <row r="52" spans="1:23" x14ac:dyDescent="0.35">
      <c r="D52" s="127" t="s">
        <v>87</v>
      </c>
      <c r="E52" s="127" t="s">
        <v>86</v>
      </c>
      <c r="O52" s="144" t="s">
        <v>118</v>
      </c>
      <c r="P52" s="145">
        <v>4</v>
      </c>
      <c r="Q52" s="145">
        <v>6</v>
      </c>
      <c r="R52" s="146" t="s">
        <v>118</v>
      </c>
    </row>
    <row r="53" spans="1:23" x14ac:dyDescent="0.35">
      <c r="O53" s="127" t="s">
        <v>95</v>
      </c>
    </row>
    <row r="54" spans="1:23" x14ac:dyDescent="0.35">
      <c r="D54" s="127" t="s">
        <v>91</v>
      </c>
      <c r="E54" s="127" t="s">
        <v>84</v>
      </c>
      <c r="O54" s="144">
        <v>100000</v>
      </c>
      <c r="P54" s="145">
        <v>500</v>
      </c>
      <c r="Q54" s="145">
        <v>300</v>
      </c>
      <c r="R54" s="145">
        <v>30</v>
      </c>
    </row>
    <row r="55" spans="1:23" x14ac:dyDescent="0.35">
      <c r="O55" s="127" t="s">
        <v>94</v>
      </c>
    </row>
    <row r="56" spans="1:23" x14ac:dyDescent="0.35">
      <c r="D56" s="127" t="s">
        <v>92</v>
      </c>
      <c r="E56" s="127" t="s">
        <v>93</v>
      </c>
      <c r="O56" s="144">
        <v>1</v>
      </c>
      <c r="P56" s="126">
        <v>0.3</v>
      </c>
      <c r="Q56" s="126">
        <v>0.4</v>
      </c>
      <c r="R56" s="146">
        <v>1</v>
      </c>
    </row>
    <row r="57" spans="1:23" x14ac:dyDescent="0.35">
      <c r="O57" s="137" t="s">
        <v>127</v>
      </c>
      <c r="P57" s="125"/>
      <c r="Q57" s="125"/>
      <c r="R57" s="137"/>
    </row>
    <row r="58" spans="1:23" x14ac:dyDescent="0.35">
      <c r="D58" s="127" t="s">
        <v>126</v>
      </c>
      <c r="E58" s="127" t="s">
        <v>93</v>
      </c>
      <c r="O58" s="144">
        <v>1</v>
      </c>
      <c r="P58" s="126">
        <v>1</v>
      </c>
      <c r="Q58" s="126">
        <v>1</v>
      </c>
      <c r="R58" s="146">
        <v>1</v>
      </c>
    </row>
    <row r="59" spans="1:23" x14ac:dyDescent="0.35">
      <c r="O59" s="137" t="s">
        <v>138</v>
      </c>
      <c r="P59" s="125"/>
      <c r="Q59" s="125"/>
      <c r="R59" s="137"/>
    </row>
    <row r="60" spans="1:23" x14ac:dyDescent="0.35">
      <c r="D60" s="127" t="s">
        <v>136</v>
      </c>
      <c r="O60" s="210">
        <v>0.9</v>
      </c>
      <c r="P60" s="125"/>
      <c r="Q60" s="125"/>
      <c r="R60" s="137"/>
    </row>
    <row r="61" spans="1:23" x14ac:dyDescent="0.35">
      <c r="D61" s="127" t="s">
        <v>137</v>
      </c>
      <c r="O61" s="210">
        <v>0.7</v>
      </c>
      <c r="P61" s="125"/>
      <c r="Q61" s="125"/>
      <c r="R61" s="137"/>
    </row>
    <row r="63" spans="1:23" x14ac:dyDescent="0.35">
      <c r="O63" s="127" t="s">
        <v>114</v>
      </c>
    </row>
    <row r="64" spans="1:23" x14ac:dyDescent="0.35">
      <c r="A64" s="127" t="s">
        <v>73</v>
      </c>
      <c r="D64" s="127" t="s">
        <v>111</v>
      </c>
      <c r="E64" s="127" t="s">
        <v>84</v>
      </c>
      <c r="N64" s="127" t="s">
        <v>73</v>
      </c>
      <c r="O64" s="147">
        <v>0</v>
      </c>
      <c r="P64" s="148">
        <v>0</v>
      </c>
      <c r="Q64" s="148">
        <v>0</v>
      </c>
      <c r="R64" s="149">
        <v>0</v>
      </c>
      <c r="T64" s="113"/>
      <c r="U64" s="113"/>
      <c r="V64" s="113"/>
      <c r="W64" s="113"/>
    </row>
    <row r="65" spans="1:40" x14ac:dyDescent="0.35">
      <c r="A65" s="127" t="s">
        <v>74</v>
      </c>
      <c r="N65" s="127" t="s">
        <v>74</v>
      </c>
      <c r="O65" s="150">
        <v>0</v>
      </c>
      <c r="P65" s="151">
        <v>31.528570999999999</v>
      </c>
      <c r="Q65" s="151">
        <v>0</v>
      </c>
      <c r="R65" s="152">
        <v>0</v>
      </c>
      <c r="T65" s="113"/>
      <c r="U65" s="113"/>
      <c r="V65" s="113"/>
      <c r="W65" s="113"/>
    </row>
    <row r="66" spans="1:40" x14ac:dyDescent="0.35">
      <c r="A66" s="127" t="s">
        <v>75</v>
      </c>
      <c r="N66" s="127" t="s">
        <v>75</v>
      </c>
      <c r="O66" s="150">
        <v>0</v>
      </c>
      <c r="P66" s="151">
        <v>76.666667000000004</v>
      </c>
      <c r="Q66" s="151">
        <v>0</v>
      </c>
      <c r="R66" s="152">
        <v>0</v>
      </c>
      <c r="T66" s="113"/>
      <c r="U66" s="113"/>
      <c r="V66" s="113"/>
      <c r="W66" s="113"/>
    </row>
    <row r="67" spans="1:40" x14ac:dyDescent="0.35">
      <c r="A67" s="127" t="s">
        <v>76</v>
      </c>
      <c r="N67" s="127" t="s">
        <v>76</v>
      </c>
      <c r="O67" s="150">
        <v>0</v>
      </c>
      <c r="P67" s="151">
        <v>38.333333000000003</v>
      </c>
      <c r="Q67" s="151">
        <v>0</v>
      </c>
      <c r="R67" s="152">
        <v>0</v>
      </c>
      <c r="T67" s="113"/>
      <c r="U67" s="113"/>
      <c r="V67" s="113"/>
      <c r="W67" s="113"/>
    </row>
    <row r="68" spans="1:40" x14ac:dyDescent="0.35">
      <c r="A68" s="127" t="s">
        <v>77</v>
      </c>
      <c r="N68" s="127" t="s">
        <v>77</v>
      </c>
      <c r="O68" s="150">
        <v>0</v>
      </c>
      <c r="P68" s="151">
        <v>0</v>
      </c>
      <c r="Q68" s="151">
        <v>0</v>
      </c>
      <c r="R68" s="152">
        <v>0</v>
      </c>
      <c r="T68" s="113"/>
      <c r="U68" s="113"/>
      <c r="V68" s="113"/>
      <c r="W68" s="113"/>
    </row>
    <row r="69" spans="1:40" x14ac:dyDescent="0.35">
      <c r="A69" s="127" t="s">
        <v>100</v>
      </c>
      <c r="N69" s="127" t="s">
        <v>100</v>
      </c>
      <c r="O69" s="150">
        <v>0</v>
      </c>
      <c r="P69" s="151">
        <v>69.861904999999993</v>
      </c>
      <c r="Q69" s="151">
        <v>0</v>
      </c>
      <c r="R69" s="152">
        <v>0</v>
      </c>
      <c r="T69" s="113"/>
      <c r="U69" s="113"/>
      <c r="V69" s="113"/>
      <c r="W69" s="113"/>
    </row>
    <row r="70" spans="1:40" x14ac:dyDescent="0.35">
      <c r="A70" s="127" t="s">
        <v>101</v>
      </c>
      <c r="N70" s="127" t="s">
        <v>101</v>
      </c>
      <c r="O70" s="150">
        <v>0</v>
      </c>
      <c r="P70" s="151">
        <v>83.471429000000001</v>
      </c>
      <c r="Q70" s="151">
        <v>0</v>
      </c>
      <c r="R70" s="152">
        <v>0</v>
      </c>
      <c r="T70" s="113"/>
      <c r="U70" s="113"/>
      <c r="V70" s="113"/>
      <c r="W70" s="113"/>
    </row>
    <row r="71" spans="1:40" x14ac:dyDescent="0.35">
      <c r="A71" s="127" t="s">
        <v>102</v>
      </c>
      <c r="N71" s="127" t="s">
        <v>102</v>
      </c>
      <c r="O71" s="150">
        <v>0</v>
      </c>
      <c r="P71" s="151">
        <v>0</v>
      </c>
      <c r="Q71" s="151">
        <v>0</v>
      </c>
      <c r="R71" s="152">
        <v>0</v>
      </c>
      <c r="T71" s="113"/>
      <c r="U71" s="113"/>
      <c r="V71" s="113"/>
      <c r="W71" s="113"/>
    </row>
    <row r="72" spans="1:40" x14ac:dyDescent="0.35">
      <c r="A72" s="127" t="s">
        <v>103</v>
      </c>
      <c r="N72" s="127" t="s">
        <v>103</v>
      </c>
      <c r="O72" s="150">
        <v>0</v>
      </c>
      <c r="P72" s="151">
        <v>0</v>
      </c>
      <c r="Q72" s="151">
        <v>0</v>
      </c>
      <c r="R72" s="152">
        <v>0</v>
      </c>
      <c r="T72" s="113"/>
      <c r="U72" s="113"/>
      <c r="V72" s="113"/>
      <c r="W72" s="113"/>
    </row>
    <row r="73" spans="1:40" x14ac:dyDescent="0.35">
      <c r="A73" s="127" t="s">
        <v>104</v>
      </c>
      <c r="N73" s="127" t="s">
        <v>104</v>
      </c>
      <c r="O73" s="153">
        <v>0</v>
      </c>
      <c r="P73" s="154">
        <v>0</v>
      </c>
      <c r="Q73" s="154">
        <v>0</v>
      </c>
      <c r="R73" s="155">
        <v>0</v>
      </c>
      <c r="T73" s="113"/>
      <c r="U73" s="113"/>
      <c r="V73" s="113"/>
      <c r="W73" s="113"/>
    </row>
    <row r="74" spans="1:40" x14ac:dyDescent="0.35">
      <c r="O74" s="127" t="s">
        <v>116</v>
      </c>
      <c r="T74" s="127" t="s">
        <v>120</v>
      </c>
      <c r="AE74" s="127" t="s">
        <v>115</v>
      </c>
    </row>
    <row r="75" spans="1:40" x14ac:dyDescent="0.35">
      <c r="D75" s="127" t="s">
        <v>113</v>
      </c>
      <c r="E75" s="127" t="s">
        <v>84</v>
      </c>
      <c r="N75" s="127" t="s">
        <v>73</v>
      </c>
      <c r="O75" s="156" cm="1">
        <f t="array" ref="O75:O84">MMULT($T$75:$AC$84,O64:O73)</f>
        <v>0</v>
      </c>
      <c r="P75" s="157" cm="1">
        <f t="array" ref="P75:P84">MMULT($T$75:$AC$84,P64:P73)</f>
        <v>0</v>
      </c>
      <c r="Q75" s="157" cm="1">
        <f t="array" ref="Q75:Q84">MMULT($AE$75:$AN$84,Q64:Q73)</f>
        <v>0</v>
      </c>
      <c r="R75" s="158" cm="1">
        <f t="array" ref="R75:R84">MMULT($T$75:$AC$84,R64:R73)</f>
        <v>0</v>
      </c>
      <c r="T75" s="132">
        <v>0</v>
      </c>
      <c r="U75" s="133">
        <v>0</v>
      </c>
      <c r="V75" s="133">
        <v>0</v>
      </c>
      <c r="W75" s="133">
        <v>0</v>
      </c>
      <c r="X75" s="133">
        <v>0</v>
      </c>
      <c r="Y75" s="133">
        <v>0</v>
      </c>
      <c r="Z75" s="133">
        <v>0</v>
      </c>
      <c r="AA75" s="133">
        <v>0</v>
      </c>
      <c r="AB75" s="133">
        <v>0</v>
      </c>
      <c r="AC75" s="134">
        <v>0</v>
      </c>
      <c r="AE75" s="132">
        <v>0</v>
      </c>
      <c r="AF75" s="133">
        <v>0</v>
      </c>
      <c r="AG75" s="133">
        <v>0</v>
      </c>
      <c r="AH75" s="133">
        <v>0</v>
      </c>
      <c r="AI75" s="133">
        <v>0</v>
      </c>
      <c r="AJ75" s="133">
        <v>0</v>
      </c>
      <c r="AK75" s="133">
        <v>0</v>
      </c>
      <c r="AL75" s="133">
        <v>0</v>
      </c>
      <c r="AM75" s="133">
        <v>0</v>
      </c>
      <c r="AN75" s="134">
        <v>0</v>
      </c>
    </row>
    <row r="76" spans="1:40" x14ac:dyDescent="0.35">
      <c r="N76" s="127" t="s">
        <v>74</v>
      </c>
      <c r="O76" s="159">
        <v>0</v>
      </c>
      <c r="P76" s="160">
        <v>0</v>
      </c>
      <c r="Q76" s="160">
        <v>0</v>
      </c>
      <c r="R76" s="161">
        <v>0</v>
      </c>
      <c r="T76" s="136">
        <v>1</v>
      </c>
      <c r="U76" s="137">
        <v>0</v>
      </c>
      <c r="V76" s="137">
        <v>0</v>
      </c>
      <c r="W76" s="137">
        <v>0</v>
      </c>
      <c r="X76" s="137">
        <v>0</v>
      </c>
      <c r="Y76" s="137">
        <v>0</v>
      </c>
      <c r="Z76" s="137">
        <v>0</v>
      </c>
      <c r="AA76" s="137">
        <v>0</v>
      </c>
      <c r="AB76" s="137">
        <v>0</v>
      </c>
      <c r="AC76" s="138">
        <v>0</v>
      </c>
      <c r="AE76" s="136">
        <v>0</v>
      </c>
      <c r="AF76" s="137">
        <v>0</v>
      </c>
      <c r="AG76" s="137">
        <v>0</v>
      </c>
      <c r="AH76" s="137">
        <v>0</v>
      </c>
      <c r="AI76" s="137">
        <v>0</v>
      </c>
      <c r="AJ76" s="137">
        <v>0</v>
      </c>
      <c r="AK76" s="137">
        <v>0</v>
      </c>
      <c r="AL76" s="137">
        <v>0</v>
      </c>
      <c r="AM76" s="137">
        <v>0</v>
      </c>
      <c r="AN76" s="138">
        <v>0</v>
      </c>
    </row>
    <row r="77" spans="1:40" x14ac:dyDescent="0.35">
      <c r="N77" s="127" t="s">
        <v>75</v>
      </c>
      <c r="O77" s="159">
        <v>0</v>
      </c>
      <c r="P77" s="160">
        <v>31.528570999999999</v>
      </c>
      <c r="Q77" s="160">
        <v>0</v>
      </c>
      <c r="R77" s="161">
        <v>0</v>
      </c>
      <c r="T77" s="136">
        <v>0</v>
      </c>
      <c r="U77" s="137">
        <v>1</v>
      </c>
      <c r="V77" s="137">
        <v>0</v>
      </c>
      <c r="W77" s="137">
        <v>0</v>
      </c>
      <c r="X77" s="137">
        <v>0</v>
      </c>
      <c r="Y77" s="137">
        <v>0</v>
      </c>
      <c r="Z77" s="137">
        <v>0</v>
      </c>
      <c r="AA77" s="137">
        <v>0</v>
      </c>
      <c r="AB77" s="137">
        <v>0</v>
      </c>
      <c r="AC77" s="138">
        <v>0</v>
      </c>
      <c r="AE77" s="136">
        <v>1</v>
      </c>
      <c r="AF77" s="137">
        <v>0</v>
      </c>
      <c r="AG77" s="137">
        <v>0</v>
      </c>
      <c r="AH77" s="137">
        <v>0</v>
      </c>
      <c r="AI77" s="137">
        <v>0</v>
      </c>
      <c r="AJ77" s="137">
        <v>0</v>
      </c>
      <c r="AK77" s="137">
        <v>0</v>
      </c>
      <c r="AL77" s="137">
        <v>0</v>
      </c>
      <c r="AM77" s="137">
        <v>0</v>
      </c>
      <c r="AN77" s="138">
        <v>0</v>
      </c>
    </row>
    <row r="78" spans="1:40" x14ac:dyDescent="0.35">
      <c r="N78" s="127" t="s">
        <v>76</v>
      </c>
      <c r="O78" s="159">
        <v>0</v>
      </c>
      <c r="P78" s="160">
        <v>76.666667000000004</v>
      </c>
      <c r="Q78" s="160">
        <v>0</v>
      </c>
      <c r="R78" s="161">
        <v>0</v>
      </c>
      <c r="T78" s="136">
        <v>0</v>
      </c>
      <c r="U78" s="137">
        <v>0</v>
      </c>
      <c r="V78" s="137">
        <v>1</v>
      </c>
      <c r="W78" s="137">
        <v>0</v>
      </c>
      <c r="X78" s="137">
        <v>0</v>
      </c>
      <c r="Y78" s="137">
        <v>0</v>
      </c>
      <c r="Z78" s="137">
        <v>0</v>
      </c>
      <c r="AA78" s="137">
        <v>0</v>
      </c>
      <c r="AB78" s="137">
        <v>0</v>
      </c>
      <c r="AC78" s="138">
        <v>0</v>
      </c>
      <c r="AE78" s="136">
        <v>0</v>
      </c>
      <c r="AF78" s="137">
        <v>1</v>
      </c>
      <c r="AG78" s="137">
        <v>0</v>
      </c>
      <c r="AH78" s="137">
        <v>0</v>
      </c>
      <c r="AI78" s="137">
        <v>0</v>
      </c>
      <c r="AJ78" s="137">
        <v>0</v>
      </c>
      <c r="AK78" s="137">
        <v>0</v>
      </c>
      <c r="AL78" s="137">
        <v>0</v>
      </c>
      <c r="AM78" s="137">
        <v>0</v>
      </c>
      <c r="AN78" s="138">
        <v>0</v>
      </c>
    </row>
    <row r="79" spans="1:40" x14ac:dyDescent="0.35">
      <c r="N79" s="127" t="s">
        <v>77</v>
      </c>
      <c r="O79" s="159">
        <v>0</v>
      </c>
      <c r="P79" s="160">
        <v>38.333333000000003</v>
      </c>
      <c r="Q79" s="160">
        <v>0</v>
      </c>
      <c r="R79" s="161">
        <v>0</v>
      </c>
      <c r="T79" s="136">
        <v>0</v>
      </c>
      <c r="U79" s="137">
        <v>0</v>
      </c>
      <c r="V79" s="137">
        <v>0</v>
      </c>
      <c r="W79" s="137">
        <v>1</v>
      </c>
      <c r="X79" s="137">
        <v>0</v>
      </c>
      <c r="Y79" s="137">
        <v>0</v>
      </c>
      <c r="Z79" s="137">
        <v>0</v>
      </c>
      <c r="AA79" s="137">
        <v>0</v>
      </c>
      <c r="AB79" s="137">
        <v>0</v>
      </c>
      <c r="AC79" s="138">
        <v>0</v>
      </c>
      <c r="AE79" s="136">
        <v>0</v>
      </c>
      <c r="AF79" s="137">
        <v>0</v>
      </c>
      <c r="AG79" s="137">
        <v>1</v>
      </c>
      <c r="AH79" s="137">
        <v>0</v>
      </c>
      <c r="AI79" s="137">
        <v>0</v>
      </c>
      <c r="AJ79" s="137">
        <v>0</v>
      </c>
      <c r="AK79" s="137">
        <v>0</v>
      </c>
      <c r="AL79" s="137">
        <v>0</v>
      </c>
      <c r="AM79" s="137">
        <v>0</v>
      </c>
      <c r="AN79" s="138">
        <v>0</v>
      </c>
    </row>
    <row r="80" spans="1:40" x14ac:dyDescent="0.35">
      <c r="N80" s="127" t="s">
        <v>100</v>
      </c>
      <c r="O80" s="159">
        <v>0</v>
      </c>
      <c r="P80" s="160">
        <v>0</v>
      </c>
      <c r="Q80" s="160">
        <v>0</v>
      </c>
      <c r="R80" s="161">
        <v>0</v>
      </c>
      <c r="T80" s="136">
        <v>0</v>
      </c>
      <c r="U80" s="137">
        <v>0</v>
      </c>
      <c r="V80" s="137">
        <v>0</v>
      </c>
      <c r="W80" s="137">
        <v>0</v>
      </c>
      <c r="X80" s="137">
        <v>1</v>
      </c>
      <c r="Y80" s="137">
        <v>0</v>
      </c>
      <c r="Z80" s="137">
        <v>0</v>
      </c>
      <c r="AA80" s="137">
        <v>0</v>
      </c>
      <c r="AB80" s="137">
        <v>0</v>
      </c>
      <c r="AC80" s="138">
        <v>0</v>
      </c>
      <c r="AE80" s="136">
        <v>0</v>
      </c>
      <c r="AF80" s="137">
        <v>0</v>
      </c>
      <c r="AG80" s="137">
        <v>0</v>
      </c>
      <c r="AH80" s="137">
        <v>1</v>
      </c>
      <c r="AI80" s="137">
        <v>0</v>
      </c>
      <c r="AJ80" s="137">
        <v>0</v>
      </c>
      <c r="AK80" s="137">
        <v>0</v>
      </c>
      <c r="AL80" s="137">
        <v>0</v>
      </c>
      <c r="AM80" s="137">
        <v>0</v>
      </c>
      <c r="AN80" s="138">
        <v>0</v>
      </c>
    </row>
    <row r="81" spans="4:40" x14ac:dyDescent="0.35">
      <c r="N81" s="127" t="s">
        <v>101</v>
      </c>
      <c r="O81" s="159">
        <v>0</v>
      </c>
      <c r="P81" s="160">
        <v>69.861904999999993</v>
      </c>
      <c r="Q81" s="160">
        <v>0</v>
      </c>
      <c r="R81" s="161">
        <v>0</v>
      </c>
      <c r="T81" s="136">
        <v>0</v>
      </c>
      <c r="U81" s="137">
        <v>0</v>
      </c>
      <c r="V81" s="137">
        <v>0</v>
      </c>
      <c r="W81" s="137">
        <v>0</v>
      </c>
      <c r="X81" s="137">
        <v>0</v>
      </c>
      <c r="Y81" s="137">
        <v>1</v>
      </c>
      <c r="Z81" s="137">
        <v>0</v>
      </c>
      <c r="AA81" s="137">
        <v>0</v>
      </c>
      <c r="AB81" s="137">
        <v>0</v>
      </c>
      <c r="AC81" s="138">
        <v>0</v>
      </c>
      <c r="AE81" s="136">
        <v>0</v>
      </c>
      <c r="AF81" s="137">
        <v>0</v>
      </c>
      <c r="AG81" s="137">
        <v>0</v>
      </c>
      <c r="AH81" s="137">
        <v>0</v>
      </c>
      <c r="AI81" s="137">
        <v>1</v>
      </c>
      <c r="AJ81" s="137">
        <v>0</v>
      </c>
      <c r="AK81" s="137">
        <v>0</v>
      </c>
      <c r="AL81" s="137">
        <v>0</v>
      </c>
      <c r="AM81" s="137">
        <v>0</v>
      </c>
      <c r="AN81" s="138">
        <v>0</v>
      </c>
    </row>
    <row r="82" spans="4:40" x14ac:dyDescent="0.35">
      <c r="N82" s="127" t="s">
        <v>102</v>
      </c>
      <c r="O82" s="159">
        <v>0</v>
      </c>
      <c r="P82" s="160">
        <v>83.471429000000001</v>
      </c>
      <c r="Q82" s="160">
        <v>0</v>
      </c>
      <c r="R82" s="161">
        <v>0</v>
      </c>
      <c r="T82" s="136">
        <v>0</v>
      </c>
      <c r="U82" s="137">
        <v>0</v>
      </c>
      <c r="V82" s="137">
        <v>0</v>
      </c>
      <c r="W82" s="137">
        <v>0</v>
      </c>
      <c r="X82" s="137">
        <v>0</v>
      </c>
      <c r="Y82" s="137">
        <v>0</v>
      </c>
      <c r="Z82" s="137">
        <v>1</v>
      </c>
      <c r="AA82" s="137">
        <v>0</v>
      </c>
      <c r="AB82" s="137">
        <v>0</v>
      </c>
      <c r="AC82" s="138">
        <v>0</v>
      </c>
      <c r="AE82" s="136">
        <v>0</v>
      </c>
      <c r="AF82" s="137">
        <v>0</v>
      </c>
      <c r="AG82" s="137">
        <v>0</v>
      </c>
      <c r="AH82" s="137">
        <v>0</v>
      </c>
      <c r="AI82" s="137">
        <v>0</v>
      </c>
      <c r="AJ82" s="137">
        <v>1</v>
      </c>
      <c r="AK82" s="137">
        <v>0</v>
      </c>
      <c r="AL82" s="137">
        <v>0</v>
      </c>
      <c r="AM82" s="137">
        <v>0</v>
      </c>
      <c r="AN82" s="138">
        <v>0</v>
      </c>
    </row>
    <row r="83" spans="4:40" x14ac:dyDescent="0.35">
      <c r="N83" s="127" t="s">
        <v>103</v>
      </c>
      <c r="O83" s="159">
        <v>0</v>
      </c>
      <c r="P83" s="160">
        <v>0</v>
      </c>
      <c r="Q83" s="160">
        <v>0</v>
      </c>
      <c r="R83" s="161">
        <v>0</v>
      </c>
      <c r="T83" s="136">
        <v>0</v>
      </c>
      <c r="U83" s="137">
        <v>0</v>
      </c>
      <c r="V83" s="137">
        <v>0</v>
      </c>
      <c r="W83" s="137">
        <v>0</v>
      </c>
      <c r="X83" s="137">
        <v>0</v>
      </c>
      <c r="Y83" s="137">
        <v>0</v>
      </c>
      <c r="Z83" s="137">
        <v>0</v>
      </c>
      <c r="AA83" s="137">
        <v>1</v>
      </c>
      <c r="AB83" s="137">
        <v>0</v>
      </c>
      <c r="AC83" s="138">
        <v>0</v>
      </c>
      <c r="AE83" s="136">
        <v>0</v>
      </c>
      <c r="AF83" s="137">
        <v>0</v>
      </c>
      <c r="AG83" s="137">
        <v>0</v>
      </c>
      <c r="AH83" s="137">
        <v>0</v>
      </c>
      <c r="AI83" s="137">
        <v>0</v>
      </c>
      <c r="AJ83" s="137">
        <v>0</v>
      </c>
      <c r="AK83" s="137">
        <v>1</v>
      </c>
      <c r="AL83" s="137">
        <v>0</v>
      </c>
      <c r="AM83" s="137">
        <v>0</v>
      </c>
      <c r="AN83" s="138">
        <v>0</v>
      </c>
    </row>
    <row r="84" spans="4:40" x14ac:dyDescent="0.35">
      <c r="N84" s="127" t="s">
        <v>104</v>
      </c>
      <c r="O84" s="162">
        <v>0</v>
      </c>
      <c r="P84" s="163">
        <v>0</v>
      </c>
      <c r="Q84" s="163">
        <v>0</v>
      </c>
      <c r="R84" s="164">
        <v>0</v>
      </c>
      <c r="T84" s="140">
        <v>0</v>
      </c>
      <c r="U84" s="141">
        <v>0</v>
      </c>
      <c r="V84" s="141">
        <v>0</v>
      </c>
      <c r="W84" s="141">
        <v>0</v>
      </c>
      <c r="X84" s="141">
        <v>0</v>
      </c>
      <c r="Y84" s="141">
        <v>0</v>
      </c>
      <c r="Z84" s="141">
        <v>0</v>
      </c>
      <c r="AA84" s="141">
        <v>0</v>
      </c>
      <c r="AB84" s="141">
        <v>1</v>
      </c>
      <c r="AC84" s="142">
        <v>0</v>
      </c>
      <c r="AE84" s="140">
        <v>0</v>
      </c>
      <c r="AF84" s="141">
        <v>0</v>
      </c>
      <c r="AG84" s="141">
        <v>0</v>
      </c>
      <c r="AH84" s="141">
        <v>0</v>
      </c>
      <c r="AI84" s="141">
        <v>0</v>
      </c>
      <c r="AJ84" s="141">
        <v>0</v>
      </c>
      <c r="AK84" s="141">
        <v>0</v>
      </c>
      <c r="AL84" s="141">
        <v>1</v>
      </c>
      <c r="AM84" s="141">
        <v>0</v>
      </c>
      <c r="AN84" s="142">
        <v>0</v>
      </c>
    </row>
    <row r="85" spans="4:40" x14ac:dyDescent="0.35">
      <c r="O85" s="127" t="s">
        <v>123</v>
      </c>
      <c r="T85" s="127" t="s">
        <v>121</v>
      </c>
      <c r="AE85" s="127" t="s">
        <v>122</v>
      </c>
    </row>
    <row r="86" spans="4:40" x14ac:dyDescent="0.35">
      <c r="D86" s="127" t="s">
        <v>119</v>
      </c>
      <c r="E86" s="127" t="s">
        <v>84</v>
      </c>
      <c r="N86" s="127" t="s">
        <v>73</v>
      </c>
      <c r="O86" s="156" cm="1">
        <f t="array" ref="O86:O95">MMULT($T$86:$AC$95,O64:O73)</f>
        <v>0</v>
      </c>
      <c r="P86" s="157" cm="1">
        <f t="array" ref="P86:P95">MMULT($T$86:$AC$95,P64:P73)</f>
        <v>0</v>
      </c>
      <c r="Q86" s="157" cm="1">
        <f t="array" ref="Q86:Q95">MMULT($AE$86:$AN$95,Q64:Q73)</f>
        <v>0</v>
      </c>
      <c r="R86" s="158" cm="1">
        <f t="array" ref="R86:R95">MMULT($T$86:$AC$95,R64:R73)</f>
        <v>0</v>
      </c>
      <c r="T86" s="132">
        <v>0</v>
      </c>
      <c r="U86" s="133">
        <v>0</v>
      </c>
      <c r="V86" s="133">
        <v>0</v>
      </c>
      <c r="W86" s="133">
        <v>0</v>
      </c>
      <c r="X86" s="133">
        <v>0</v>
      </c>
      <c r="Y86" s="133">
        <v>0</v>
      </c>
      <c r="Z86" s="133">
        <v>0</v>
      </c>
      <c r="AA86" s="133">
        <v>0</v>
      </c>
      <c r="AB86" s="133">
        <v>0</v>
      </c>
      <c r="AC86" s="134">
        <v>0</v>
      </c>
      <c r="AE86" s="132">
        <v>0</v>
      </c>
      <c r="AF86" s="133">
        <v>0</v>
      </c>
      <c r="AG86" s="133">
        <v>0</v>
      </c>
      <c r="AH86" s="133">
        <v>0</v>
      </c>
      <c r="AI86" s="133">
        <v>0</v>
      </c>
      <c r="AJ86" s="133">
        <v>0</v>
      </c>
      <c r="AK86" s="133">
        <v>0</v>
      </c>
      <c r="AL86" s="133">
        <v>0</v>
      </c>
      <c r="AM86" s="133">
        <v>0</v>
      </c>
      <c r="AN86" s="134">
        <v>0</v>
      </c>
    </row>
    <row r="87" spans="4:40" x14ac:dyDescent="0.35">
      <c r="N87" s="127" t="s">
        <v>74</v>
      </c>
      <c r="O87" s="136">
        <v>0</v>
      </c>
      <c r="P87" s="137">
        <v>0</v>
      </c>
      <c r="Q87" s="137">
        <v>0</v>
      </c>
      <c r="R87" s="138">
        <v>0</v>
      </c>
      <c r="T87" s="136">
        <v>0</v>
      </c>
      <c r="U87" s="137">
        <v>0</v>
      </c>
      <c r="V87" s="137">
        <v>0</v>
      </c>
      <c r="W87" s="137">
        <v>0</v>
      </c>
      <c r="X87" s="137">
        <v>0</v>
      </c>
      <c r="Y87" s="137">
        <v>0</v>
      </c>
      <c r="Z87" s="137">
        <v>0</v>
      </c>
      <c r="AA87" s="137">
        <v>0</v>
      </c>
      <c r="AB87" s="137">
        <v>0</v>
      </c>
      <c r="AC87" s="138">
        <v>0</v>
      </c>
      <c r="AE87" s="136">
        <v>0</v>
      </c>
      <c r="AF87" s="137">
        <v>0</v>
      </c>
      <c r="AG87" s="137">
        <v>0</v>
      </c>
      <c r="AH87" s="137">
        <v>0</v>
      </c>
      <c r="AI87" s="137">
        <v>0</v>
      </c>
      <c r="AJ87" s="137">
        <v>0</v>
      </c>
      <c r="AK87" s="137">
        <v>0</v>
      </c>
      <c r="AL87" s="137">
        <v>0</v>
      </c>
      <c r="AM87" s="137">
        <v>0</v>
      </c>
      <c r="AN87" s="138">
        <v>0</v>
      </c>
    </row>
    <row r="88" spans="4:40" x14ac:dyDescent="0.35">
      <c r="N88" s="127" t="s">
        <v>75</v>
      </c>
      <c r="O88" s="136">
        <v>0</v>
      </c>
      <c r="P88" s="137">
        <v>0</v>
      </c>
      <c r="Q88" s="137">
        <v>0</v>
      </c>
      <c r="R88" s="138">
        <v>0</v>
      </c>
      <c r="T88" s="136">
        <v>0</v>
      </c>
      <c r="U88" s="137">
        <v>0</v>
      </c>
      <c r="V88" s="137">
        <v>0</v>
      </c>
      <c r="W88" s="137">
        <v>0</v>
      </c>
      <c r="X88" s="137">
        <v>0</v>
      </c>
      <c r="Y88" s="137">
        <v>0</v>
      </c>
      <c r="Z88" s="137">
        <v>0</v>
      </c>
      <c r="AA88" s="137">
        <v>0</v>
      </c>
      <c r="AB88" s="137">
        <v>0</v>
      </c>
      <c r="AC88" s="138">
        <v>0</v>
      </c>
      <c r="AE88" s="136">
        <v>0</v>
      </c>
      <c r="AF88" s="137">
        <v>0</v>
      </c>
      <c r="AG88" s="137">
        <v>0</v>
      </c>
      <c r="AH88" s="137">
        <v>0</v>
      </c>
      <c r="AI88" s="137">
        <v>0</v>
      </c>
      <c r="AJ88" s="137">
        <v>0</v>
      </c>
      <c r="AK88" s="137">
        <v>0</v>
      </c>
      <c r="AL88" s="137">
        <v>0</v>
      </c>
      <c r="AM88" s="137">
        <v>0</v>
      </c>
      <c r="AN88" s="138">
        <v>0</v>
      </c>
    </row>
    <row r="89" spans="4:40" x14ac:dyDescent="0.35">
      <c r="N89" s="127" t="s">
        <v>76</v>
      </c>
      <c r="O89" s="136">
        <v>0</v>
      </c>
      <c r="P89" s="137">
        <v>0</v>
      </c>
      <c r="Q89" s="137">
        <v>0</v>
      </c>
      <c r="R89" s="138">
        <v>0</v>
      </c>
      <c r="T89" s="136">
        <v>0</v>
      </c>
      <c r="U89" s="137">
        <v>0</v>
      </c>
      <c r="V89" s="137">
        <v>0</v>
      </c>
      <c r="W89" s="137">
        <v>0</v>
      </c>
      <c r="X89" s="137">
        <v>0</v>
      </c>
      <c r="Y89" s="137">
        <v>0</v>
      </c>
      <c r="Z89" s="137">
        <v>0</v>
      </c>
      <c r="AA89" s="137">
        <v>0</v>
      </c>
      <c r="AB89" s="137">
        <v>0</v>
      </c>
      <c r="AC89" s="138">
        <v>0</v>
      </c>
      <c r="AE89" s="136">
        <v>0</v>
      </c>
      <c r="AF89" s="137">
        <v>0</v>
      </c>
      <c r="AG89" s="137">
        <v>0</v>
      </c>
      <c r="AH89" s="137">
        <v>0</v>
      </c>
      <c r="AI89" s="137">
        <v>0</v>
      </c>
      <c r="AJ89" s="137">
        <v>0</v>
      </c>
      <c r="AK89" s="137">
        <v>0</v>
      </c>
      <c r="AL89" s="137">
        <v>0</v>
      </c>
      <c r="AM89" s="137">
        <v>0</v>
      </c>
      <c r="AN89" s="138">
        <v>0</v>
      </c>
    </row>
    <row r="90" spans="4:40" x14ac:dyDescent="0.35">
      <c r="N90" s="127" t="s">
        <v>77</v>
      </c>
      <c r="O90" s="136">
        <v>0</v>
      </c>
      <c r="P90" s="137">
        <v>0</v>
      </c>
      <c r="Q90" s="137">
        <v>0</v>
      </c>
      <c r="R90" s="138">
        <v>0</v>
      </c>
      <c r="T90" s="136">
        <v>0</v>
      </c>
      <c r="U90" s="137">
        <v>0</v>
      </c>
      <c r="V90" s="137">
        <v>0</v>
      </c>
      <c r="W90" s="137">
        <v>0</v>
      </c>
      <c r="X90" s="137">
        <v>0</v>
      </c>
      <c r="Y90" s="137">
        <v>0</v>
      </c>
      <c r="Z90" s="137">
        <v>0</v>
      </c>
      <c r="AA90" s="137">
        <v>0</v>
      </c>
      <c r="AB90" s="137">
        <v>0</v>
      </c>
      <c r="AC90" s="138">
        <v>0</v>
      </c>
      <c r="AE90" s="136">
        <v>0</v>
      </c>
      <c r="AF90" s="137">
        <v>0</v>
      </c>
      <c r="AG90" s="137">
        <v>0</v>
      </c>
      <c r="AH90" s="137">
        <v>0</v>
      </c>
      <c r="AI90" s="137">
        <v>0</v>
      </c>
      <c r="AJ90" s="137">
        <v>0</v>
      </c>
      <c r="AK90" s="137">
        <v>0</v>
      </c>
      <c r="AL90" s="137">
        <v>0</v>
      </c>
      <c r="AM90" s="137">
        <v>0</v>
      </c>
      <c r="AN90" s="138">
        <v>0</v>
      </c>
    </row>
    <row r="91" spans="4:40" x14ac:dyDescent="0.35">
      <c r="N91" s="127" t="s">
        <v>100</v>
      </c>
      <c r="O91" s="136">
        <v>0</v>
      </c>
      <c r="P91" s="137">
        <v>0</v>
      </c>
      <c r="Q91" s="137">
        <v>0</v>
      </c>
      <c r="R91" s="138">
        <v>0</v>
      </c>
      <c r="T91" s="136">
        <v>1</v>
      </c>
      <c r="U91" s="137">
        <v>0</v>
      </c>
      <c r="V91" s="137">
        <v>0</v>
      </c>
      <c r="W91" s="137">
        <v>0</v>
      </c>
      <c r="X91" s="137">
        <v>0</v>
      </c>
      <c r="Y91" s="137">
        <v>0</v>
      </c>
      <c r="Z91" s="137">
        <v>0</v>
      </c>
      <c r="AA91" s="137">
        <v>0</v>
      </c>
      <c r="AB91" s="137">
        <v>0</v>
      </c>
      <c r="AC91" s="138">
        <v>0</v>
      </c>
      <c r="AE91" s="136">
        <v>0</v>
      </c>
      <c r="AF91" s="137">
        <v>0</v>
      </c>
      <c r="AG91" s="137">
        <v>0</v>
      </c>
      <c r="AH91" s="137">
        <v>0</v>
      </c>
      <c r="AI91" s="137">
        <v>0</v>
      </c>
      <c r="AJ91" s="137">
        <v>0</v>
      </c>
      <c r="AK91" s="137">
        <v>0</v>
      </c>
      <c r="AL91" s="137">
        <v>0</v>
      </c>
      <c r="AM91" s="137">
        <v>0</v>
      </c>
      <c r="AN91" s="138">
        <v>0</v>
      </c>
    </row>
    <row r="92" spans="4:40" x14ac:dyDescent="0.35">
      <c r="N92" s="127" t="s">
        <v>101</v>
      </c>
      <c r="O92" s="136">
        <v>0</v>
      </c>
      <c r="P92" s="137">
        <v>31.528570999999999</v>
      </c>
      <c r="Q92" s="137">
        <v>0</v>
      </c>
      <c r="R92" s="138">
        <v>0</v>
      </c>
      <c r="T92" s="136">
        <v>0</v>
      </c>
      <c r="U92" s="137">
        <v>1</v>
      </c>
      <c r="V92" s="137">
        <v>0</v>
      </c>
      <c r="W92" s="137">
        <v>0</v>
      </c>
      <c r="X92" s="137">
        <v>0</v>
      </c>
      <c r="Y92" s="137">
        <v>0</v>
      </c>
      <c r="Z92" s="137">
        <v>0</v>
      </c>
      <c r="AA92" s="137">
        <v>0</v>
      </c>
      <c r="AB92" s="137">
        <v>0</v>
      </c>
      <c r="AC92" s="138">
        <v>0</v>
      </c>
      <c r="AE92" s="136">
        <v>0</v>
      </c>
      <c r="AF92" s="137">
        <v>0</v>
      </c>
      <c r="AG92" s="137">
        <v>0</v>
      </c>
      <c r="AH92" s="137">
        <v>0</v>
      </c>
      <c r="AI92" s="137">
        <v>0</v>
      </c>
      <c r="AJ92" s="137">
        <v>0</v>
      </c>
      <c r="AK92" s="137">
        <v>0</v>
      </c>
      <c r="AL92" s="137">
        <v>0</v>
      </c>
      <c r="AM92" s="137">
        <v>0</v>
      </c>
      <c r="AN92" s="138">
        <v>0</v>
      </c>
    </row>
    <row r="93" spans="4:40" x14ac:dyDescent="0.35">
      <c r="N93" s="127" t="s">
        <v>102</v>
      </c>
      <c r="O93" s="136">
        <v>0</v>
      </c>
      <c r="P93" s="137">
        <v>76.666667000000004</v>
      </c>
      <c r="Q93" s="137">
        <v>0</v>
      </c>
      <c r="R93" s="138">
        <v>0</v>
      </c>
      <c r="T93" s="136">
        <v>0</v>
      </c>
      <c r="U93" s="137">
        <v>0</v>
      </c>
      <c r="V93" s="137">
        <v>1</v>
      </c>
      <c r="W93" s="137">
        <v>0</v>
      </c>
      <c r="X93" s="137">
        <v>0</v>
      </c>
      <c r="Y93" s="137">
        <v>0</v>
      </c>
      <c r="Z93" s="137">
        <v>0</v>
      </c>
      <c r="AA93" s="137">
        <v>0</v>
      </c>
      <c r="AB93" s="137">
        <v>0</v>
      </c>
      <c r="AC93" s="138">
        <v>0</v>
      </c>
      <c r="AE93" s="136">
        <v>0</v>
      </c>
      <c r="AF93" s="137">
        <v>0</v>
      </c>
      <c r="AG93" s="137">
        <v>0</v>
      </c>
      <c r="AH93" s="137">
        <v>0</v>
      </c>
      <c r="AI93" s="137">
        <v>0</v>
      </c>
      <c r="AJ93" s="137">
        <v>0</v>
      </c>
      <c r="AK93" s="137">
        <v>0</v>
      </c>
      <c r="AL93" s="137">
        <v>0</v>
      </c>
      <c r="AM93" s="137">
        <v>0</v>
      </c>
      <c r="AN93" s="138">
        <v>0</v>
      </c>
    </row>
    <row r="94" spans="4:40" x14ac:dyDescent="0.35">
      <c r="N94" s="127" t="s">
        <v>103</v>
      </c>
      <c r="O94" s="136">
        <v>0</v>
      </c>
      <c r="P94" s="137">
        <v>38.333333000000003</v>
      </c>
      <c r="Q94" s="137">
        <v>0</v>
      </c>
      <c r="R94" s="138">
        <v>0</v>
      </c>
      <c r="T94" s="136">
        <v>0</v>
      </c>
      <c r="U94" s="137">
        <v>0</v>
      </c>
      <c r="V94" s="137">
        <v>0</v>
      </c>
      <c r="W94" s="137">
        <v>1</v>
      </c>
      <c r="X94" s="137">
        <v>0</v>
      </c>
      <c r="Y94" s="137">
        <v>0</v>
      </c>
      <c r="Z94" s="137">
        <v>0</v>
      </c>
      <c r="AA94" s="137">
        <v>0</v>
      </c>
      <c r="AB94" s="137">
        <v>0</v>
      </c>
      <c r="AC94" s="138">
        <v>0</v>
      </c>
      <c r="AE94" s="136">
        <v>1</v>
      </c>
      <c r="AF94" s="137">
        <v>0</v>
      </c>
      <c r="AG94" s="137">
        <v>0</v>
      </c>
      <c r="AH94" s="137">
        <v>0</v>
      </c>
      <c r="AI94" s="137">
        <v>0</v>
      </c>
      <c r="AJ94" s="137">
        <v>0</v>
      </c>
      <c r="AK94" s="137">
        <v>0</v>
      </c>
      <c r="AL94" s="137">
        <v>0</v>
      </c>
      <c r="AM94" s="137">
        <v>0</v>
      </c>
      <c r="AN94" s="138">
        <v>0</v>
      </c>
    </row>
    <row r="95" spans="4:40" x14ac:dyDescent="0.35">
      <c r="N95" s="127" t="s">
        <v>104</v>
      </c>
      <c r="O95" s="140">
        <v>0</v>
      </c>
      <c r="P95" s="141">
        <v>0</v>
      </c>
      <c r="Q95" s="141">
        <v>0</v>
      </c>
      <c r="R95" s="142">
        <v>0</v>
      </c>
      <c r="T95" s="140">
        <v>0</v>
      </c>
      <c r="U95" s="141">
        <v>0</v>
      </c>
      <c r="V95" s="141">
        <v>0</v>
      </c>
      <c r="W95" s="141">
        <v>0</v>
      </c>
      <c r="X95" s="141">
        <v>1</v>
      </c>
      <c r="Y95" s="141">
        <v>0</v>
      </c>
      <c r="Z95" s="141">
        <v>0</v>
      </c>
      <c r="AA95" s="141">
        <v>0</v>
      </c>
      <c r="AB95" s="141">
        <v>0</v>
      </c>
      <c r="AC95" s="142">
        <v>0</v>
      </c>
      <c r="AE95" s="140">
        <v>0</v>
      </c>
      <c r="AF95" s="141">
        <v>1</v>
      </c>
      <c r="AG95" s="141">
        <v>0</v>
      </c>
      <c r="AH95" s="141">
        <v>0</v>
      </c>
      <c r="AI95" s="141">
        <v>0</v>
      </c>
      <c r="AJ95" s="141">
        <v>0</v>
      </c>
      <c r="AK95" s="141">
        <v>0</v>
      </c>
      <c r="AL95" s="141">
        <v>0</v>
      </c>
      <c r="AM95" s="141">
        <v>0</v>
      </c>
      <c r="AN95" s="142">
        <v>0</v>
      </c>
    </row>
    <row r="96" spans="4:40" x14ac:dyDescent="0.35">
      <c r="O96" s="127" t="s">
        <v>125</v>
      </c>
      <c r="T96" s="127" t="s">
        <v>124</v>
      </c>
    </row>
    <row r="97" spans="4:29" x14ac:dyDescent="0.35">
      <c r="D97" s="127" t="s">
        <v>117</v>
      </c>
      <c r="E97" s="127" t="s">
        <v>84</v>
      </c>
      <c r="N97" s="127" t="s">
        <v>73</v>
      </c>
      <c r="O97" s="132" cm="1">
        <f t="array" ref="O97:R106">O36:R45 + MMULT(T97:AC106,O75:R84) - O86:R95</f>
        <v>60</v>
      </c>
      <c r="P97" s="133">
        <v>150</v>
      </c>
      <c r="Q97" s="133">
        <v>70</v>
      </c>
      <c r="R97" s="134">
        <v>30</v>
      </c>
      <c r="T97" s="132">
        <v>1</v>
      </c>
      <c r="U97" s="133">
        <v>0</v>
      </c>
      <c r="V97" s="133">
        <v>0</v>
      </c>
      <c r="W97" s="133">
        <v>0</v>
      </c>
      <c r="X97" s="133">
        <v>0</v>
      </c>
      <c r="Y97" s="133">
        <v>0</v>
      </c>
      <c r="Z97" s="133">
        <v>0</v>
      </c>
      <c r="AA97" s="133">
        <v>0</v>
      </c>
      <c r="AB97" s="133">
        <v>0</v>
      </c>
      <c r="AC97" s="134">
        <v>0</v>
      </c>
    </row>
    <row r="98" spans="4:29" x14ac:dyDescent="0.35">
      <c r="N98" s="127" t="s">
        <v>74</v>
      </c>
      <c r="O98" s="136">
        <v>60</v>
      </c>
      <c r="P98" s="137">
        <v>145</v>
      </c>
      <c r="Q98" s="137">
        <v>65</v>
      </c>
      <c r="R98" s="138">
        <v>30</v>
      </c>
      <c r="T98" s="136">
        <v>1</v>
      </c>
      <c r="U98" s="137">
        <v>1</v>
      </c>
      <c r="V98" s="137">
        <v>0</v>
      </c>
      <c r="W98" s="137">
        <v>0</v>
      </c>
      <c r="X98" s="137">
        <v>0</v>
      </c>
      <c r="Y98" s="137">
        <v>0</v>
      </c>
      <c r="Z98" s="137">
        <v>0</v>
      </c>
      <c r="AA98" s="137">
        <v>0</v>
      </c>
      <c r="AB98" s="137">
        <v>0</v>
      </c>
      <c r="AC98" s="138">
        <v>0</v>
      </c>
    </row>
    <row r="99" spans="4:29" x14ac:dyDescent="0.35">
      <c r="N99" s="127" t="s">
        <v>75</v>
      </c>
      <c r="O99" s="136">
        <v>60</v>
      </c>
      <c r="P99" s="137">
        <v>171.528571</v>
      </c>
      <c r="Q99" s="137">
        <v>60</v>
      </c>
      <c r="R99" s="138">
        <v>30</v>
      </c>
      <c r="T99" s="136">
        <v>1</v>
      </c>
      <c r="U99" s="137">
        <v>1</v>
      </c>
      <c r="V99" s="137">
        <v>1</v>
      </c>
      <c r="W99" s="137">
        <v>0</v>
      </c>
      <c r="X99" s="137">
        <v>0</v>
      </c>
      <c r="Y99" s="137">
        <v>0</v>
      </c>
      <c r="Z99" s="137">
        <v>0</v>
      </c>
      <c r="AA99" s="137">
        <v>0</v>
      </c>
      <c r="AB99" s="137">
        <v>0</v>
      </c>
      <c r="AC99" s="138">
        <v>0</v>
      </c>
    </row>
    <row r="100" spans="4:29" x14ac:dyDescent="0.35">
      <c r="N100" s="127" t="s">
        <v>76</v>
      </c>
      <c r="O100" s="136">
        <v>60</v>
      </c>
      <c r="P100" s="137">
        <v>243.19523800000002</v>
      </c>
      <c r="Q100" s="137">
        <v>55</v>
      </c>
      <c r="R100" s="138">
        <v>30</v>
      </c>
      <c r="T100" s="136">
        <v>1</v>
      </c>
      <c r="U100" s="137">
        <v>1</v>
      </c>
      <c r="V100" s="137">
        <v>1</v>
      </c>
      <c r="W100" s="137">
        <v>1</v>
      </c>
      <c r="X100" s="137">
        <v>0</v>
      </c>
      <c r="Y100" s="137">
        <v>0</v>
      </c>
      <c r="Z100" s="137">
        <v>0</v>
      </c>
      <c r="AA100" s="137">
        <v>0</v>
      </c>
      <c r="AB100" s="137">
        <v>0</v>
      </c>
      <c r="AC100" s="138">
        <v>0</v>
      </c>
    </row>
    <row r="101" spans="4:29" x14ac:dyDescent="0.35">
      <c r="N101" s="127" t="s">
        <v>77</v>
      </c>
      <c r="O101" s="136">
        <v>60</v>
      </c>
      <c r="P101" s="137">
        <v>276.528571</v>
      </c>
      <c r="Q101" s="137">
        <v>50</v>
      </c>
      <c r="R101" s="138">
        <v>30</v>
      </c>
      <c r="T101" s="136">
        <v>1</v>
      </c>
      <c r="U101" s="137">
        <v>1</v>
      </c>
      <c r="V101" s="137">
        <v>1</v>
      </c>
      <c r="W101" s="137">
        <v>1</v>
      </c>
      <c r="X101" s="137">
        <v>1</v>
      </c>
      <c r="Y101" s="137">
        <v>0</v>
      </c>
      <c r="Z101" s="137">
        <v>0</v>
      </c>
      <c r="AA101" s="137">
        <v>0</v>
      </c>
      <c r="AB101" s="137">
        <v>0</v>
      </c>
      <c r="AC101" s="138">
        <v>0</v>
      </c>
    </row>
    <row r="102" spans="4:29" x14ac:dyDescent="0.35">
      <c r="N102" s="127" t="s">
        <v>100</v>
      </c>
      <c r="O102" s="136">
        <v>60</v>
      </c>
      <c r="P102" s="137">
        <v>271.528571</v>
      </c>
      <c r="Q102" s="137">
        <v>45</v>
      </c>
      <c r="R102" s="138">
        <v>30</v>
      </c>
      <c r="T102" s="136">
        <v>1</v>
      </c>
      <c r="U102" s="137">
        <v>1</v>
      </c>
      <c r="V102" s="137">
        <v>1</v>
      </c>
      <c r="W102" s="137">
        <v>1</v>
      </c>
      <c r="X102" s="137">
        <v>1</v>
      </c>
      <c r="Y102" s="137">
        <v>1</v>
      </c>
      <c r="Z102" s="137">
        <v>0</v>
      </c>
      <c r="AA102" s="137">
        <v>0</v>
      </c>
      <c r="AB102" s="137">
        <v>0</v>
      </c>
      <c r="AC102" s="138">
        <v>0</v>
      </c>
    </row>
    <row r="103" spans="4:29" x14ac:dyDescent="0.35">
      <c r="N103" s="127" t="s">
        <v>101</v>
      </c>
      <c r="O103" s="136">
        <v>60</v>
      </c>
      <c r="P103" s="137">
        <v>304.86190499999998</v>
      </c>
      <c r="Q103" s="137">
        <v>40</v>
      </c>
      <c r="R103" s="138">
        <v>30</v>
      </c>
      <c r="T103" s="136">
        <v>1</v>
      </c>
      <c r="U103" s="137">
        <v>1</v>
      </c>
      <c r="V103" s="137">
        <v>1</v>
      </c>
      <c r="W103" s="137">
        <v>1</v>
      </c>
      <c r="X103" s="137">
        <v>1</v>
      </c>
      <c r="Y103" s="137">
        <v>1</v>
      </c>
      <c r="Z103" s="137">
        <v>1</v>
      </c>
      <c r="AA103" s="137">
        <v>0</v>
      </c>
      <c r="AB103" s="137">
        <v>0</v>
      </c>
      <c r="AC103" s="138">
        <v>0</v>
      </c>
    </row>
    <row r="104" spans="4:29" x14ac:dyDescent="0.35">
      <c r="N104" s="127" t="s">
        <v>102</v>
      </c>
      <c r="O104" s="136">
        <v>60</v>
      </c>
      <c r="P104" s="137">
        <v>338.19523799999996</v>
      </c>
      <c r="Q104" s="137">
        <v>35</v>
      </c>
      <c r="R104" s="138">
        <v>30</v>
      </c>
      <c r="T104" s="136">
        <v>1</v>
      </c>
      <c r="U104" s="137">
        <v>1</v>
      </c>
      <c r="V104" s="137">
        <v>1</v>
      </c>
      <c r="W104" s="137">
        <v>1</v>
      </c>
      <c r="X104" s="137">
        <v>1</v>
      </c>
      <c r="Y104" s="137">
        <v>1</v>
      </c>
      <c r="Z104" s="137">
        <v>1</v>
      </c>
      <c r="AA104" s="137">
        <v>1</v>
      </c>
      <c r="AB104" s="137">
        <v>0</v>
      </c>
      <c r="AC104" s="138">
        <v>0</v>
      </c>
    </row>
    <row r="105" spans="4:29" x14ac:dyDescent="0.35">
      <c r="N105" s="127" t="s">
        <v>103</v>
      </c>
      <c r="O105" s="136">
        <v>60</v>
      </c>
      <c r="P105" s="137">
        <v>371.528572</v>
      </c>
      <c r="Q105" s="137">
        <v>30</v>
      </c>
      <c r="R105" s="138">
        <v>30</v>
      </c>
      <c r="T105" s="136">
        <v>1</v>
      </c>
      <c r="U105" s="137">
        <v>1</v>
      </c>
      <c r="V105" s="137">
        <v>1</v>
      </c>
      <c r="W105" s="137">
        <v>1</v>
      </c>
      <c r="X105" s="137">
        <v>1</v>
      </c>
      <c r="Y105" s="137">
        <v>1</v>
      </c>
      <c r="Z105" s="137">
        <v>1</v>
      </c>
      <c r="AA105" s="137">
        <v>1</v>
      </c>
      <c r="AB105" s="137">
        <v>1</v>
      </c>
      <c r="AC105" s="138">
        <v>0</v>
      </c>
    </row>
    <row r="106" spans="4:29" x14ac:dyDescent="0.35">
      <c r="N106" s="127" t="s">
        <v>104</v>
      </c>
      <c r="O106" s="140">
        <v>60</v>
      </c>
      <c r="P106" s="141">
        <v>404.86190499999998</v>
      </c>
      <c r="Q106" s="141">
        <v>25</v>
      </c>
      <c r="R106" s="142">
        <v>30</v>
      </c>
      <c r="T106" s="140">
        <v>1</v>
      </c>
      <c r="U106" s="141">
        <v>1</v>
      </c>
      <c r="V106" s="141">
        <v>1</v>
      </c>
      <c r="W106" s="141">
        <v>1</v>
      </c>
      <c r="X106" s="141">
        <v>1</v>
      </c>
      <c r="Y106" s="141">
        <v>1</v>
      </c>
      <c r="Z106" s="141">
        <v>1</v>
      </c>
      <c r="AA106" s="141">
        <v>1</v>
      </c>
      <c r="AB106" s="141">
        <v>1</v>
      </c>
      <c r="AC106" s="142">
        <v>1</v>
      </c>
    </row>
    <row r="108" spans="4:29" x14ac:dyDescent="0.35">
      <c r="T108" s="127" t="s">
        <v>24</v>
      </c>
      <c r="U108" s="127" t="s">
        <v>25</v>
      </c>
      <c r="V108" s="127" t="s">
        <v>26</v>
      </c>
      <c r="W108" s="127" t="s">
        <v>27</v>
      </c>
      <c r="Y108" s="127" t="s">
        <v>24</v>
      </c>
      <c r="Z108" s="127" t="s">
        <v>25</v>
      </c>
      <c r="AA108" s="127" t="s">
        <v>26</v>
      </c>
      <c r="AB108" s="127" t="s">
        <v>27</v>
      </c>
    </row>
    <row r="109" spans="4:29" x14ac:dyDescent="0.35">
      <c r="O109" s="127" t="s">
        <v>131</v>
      </c>
      <c r="T109" s="127" t="s">
        <v>132</v>
      </c>
      <c r="Y109" s="127" t="s">
        <v>133</v>
      </c>
    </row>
    <row r="110" spans="4:29" x14ac:dyDescent="0.35">
      <c r="D110" s="127" t="s">
        <v>134</v>
      </c>
      <c r="E110" s="127" t="s">
        <v>39</v>
      </c>
      <c r="G110" s="113"/>
      <c r="N110" s="127" t="s">
        <v>73</v>
      </c>
      <c r="O110" s="114" cm="1">
        <f t="array" ref="O110:R110">($O$17:$R$17*O24:R24)/(1+$O$48)^COUNTA($N$110:$N110)</f>
        <v>1664.3550582524269</v>
      </c>
      <c r="P110" s="115">
        <v>0</v>
      </c>
      <c r="Q110" s="115">
        <v>33.2871013592233</v>
      </c>
      <c r="R110" s="116">
        <v>957.96209708737854</v>
      </c>
      <c r="S110" s="137"/>
      <c r="T110" s="132" cm="1">
        <f t="array" ref="T110:W110">($O$18:$R$18*O97:R97)/(1+$O$48)^COUNTA($N$110:$N110)</f>
        <v>0</v>
      </c>
      <c r="U110" s="133">
        <v>2912621.3592233011</v>
      </c>
      <c r="V110" s="133">
        <v>2718446.6019417476</v>
      </c>
      <c r="W110" s="134">
        <v>0</v>
      </c>
      <c r="X110" s="137"/>
      <c r="Y110" s="132" cm="1">
        <f t="array" ref="Y110:AB110">($O$19:$R$19*O64:R64)/(1+$O$48)^COUNTA($N$110:$N110)</f>
        <v>0</v>
      </c>
      <c r="Z110" s="133">
        <v>0</v>
      </c>
      <c r="AA110" s="133">
        <v>0</v>
      </c>
      <c r="AB110" s="134">
        <v>0</v>
      </c>
    </row>
    <row r="111" spans="4:29" x14ac:dyDescent="0.35">
      <c r="N111" s="127" t="s">
        <v>74</v>
      </c>
      <c r="O111" s="117" cm="1">
        <f t="array" ref="O111:R111">($O$17:$R$17*O25:R25)/(1+$O$48)^COUNTA($N$110:$N111)</f>
        <v>1615.8786973324536</v>
      </c>
      <c r="P111" s="118">
        <v>0</v>
      </c>
      <c r="Q111" s="118">
        <v>32.317574135168257</v>
      </c>
      <c r="R111" s="119">
        <v>1581.1025355829956</v>
      </c>
      <c r="S111" s="137"/>
      <c r="T111" s="136" cm="1">
        <f t="array" ref="T111:W111">($O$18:$R$18*O98:R98)/(1+$O$48)^COUNTA($N$110:$N111)</f>
        <v>0</v>
      </c>
      <c r="U111" s="137">
        <v>2733528.1364878877</v>
      </c>
      <c r="V111" s="137">
        <v>2450749.3637477616</v>
      </c>
      <c r="W111" s="138">
        <v>0</v>
      </c>
      <c r="X111" s="137"/>
      <c r="Y111" s="136" cm="1">
        <f t="array" ref="Y111:AB111">($O$19:$R$19*O65:R65)/(1+$O$48)^COUNTA($N$110:$N111)</f>
        <v>0</v>
      </c>
      <c r="Z111" s="137">
        <v>29718702.045433123</v>
      </c>
      <c r="AA111" s="137">
        <v>0</v>
      </c>
      <c r="AB111" s="138">
        <v>0</v>
      </c>
    </row>
    <row r="112" spans="4:29" x14ac:dyDescent="0.35">
      <c r="N112" s="127" t="s">
        <v>75</v>
      </c>
      <c r="O112" s="117" cm="1">
        <f t="array" ref="O112:R112">($O$17:$R$17*O26:R26)/(1+$O$48)^COUNTA($N$110:$N112)</f>
        <v>1568.8142692548092</v>
      </c>
      <c r="P112" s="118">
        <v>0</v>
      </c>
      <c r="Q112" s="118">
        <v>31.376285568124519</v>
      </c>
      <c r="R112" s="119">
        <v>1647.2549868356873</v>
      </c>
      <c r="S112" s="137"/>
      <c r="T112" s="136" cm="1">
        <f t="array" ref="T112:W112">($O$18:$R$18*O99:R99)/(1+$O$48)^COUNTA($N$110:$N112)</f>
        <v>0</v>
      </c>
      <c r="U112" s="137">
        <v>3139458.8218283248</v>
      </c>
      <c r="V112" s="137">
        <v>2196339.9824475828</v>
      </c>
      <c r="W112" s="138">
        <v>0</v>
      </c>
      <c r="X112" s="137"/>
      <c r="Y112" s="136" cm="1">
        <f t="array" ref="Y112:AB112">($O$19:$R$19*O66:R66)/(1+$O$48)^COUNTA($N$110:$N112)</f>
        <v>0</v>
      </c>
      <c r="Z112" s="137">
        <v>70160860.855456114</v>
      </c>
      <c r="AA112" s="137">
        <v>0</v>
      </c>
      <c r="AB112" s="138">
        <v>0</v>
      </c>
    </row>
    <row r="113" spans="14:28" x14ac:dyDescent="0.35">
      <c r="N113" s="127" t="s">
        <v>76</v>
      </c>
      <c r="O113" s="117" cm="1">
        <f t="array" ref="O113:R113">($O$17:$R$17*O27:R27)/(1+$O$48)^COUNTA($N$110:$N113)</f>
        <v>1523.1206497619507</v>
      </c>
      <c r="P113" s="118">
        <v>0</v>
      </c>
      <c r="Q113" s="118">
        <v>30.462413172936429</v>
      </c>
      <c r="R113" s="119">
        <v>985.60692741267837</v>
      </c>
      <c r="S113" s="137"/>
      <c r="T113" s="136" cm="1">
        <f t="array" ref="T113:W113">($O$18:$R$18*O100:R100)/(1+$O$48)^COUNTA($N$110:$N113)</f>
        <v>0</v>
      </c>
      <c r="U113" s="137">
        <v>4321516.3815554678</v>
      </c>
      <c r="V113" s="137">
        <v>1954671.5054145157</v>
      </c>
      <c r="W113" s="138">
        <v>0</v>
      </c>
      <c r="X113" s="137"/>
      <c r="Y113" s="136" cm="1">
        <f t="array" ref="Y113:AB113">($O$19:$R$19*O67:R67)/(1+$O$48)^COUNTA($N$110:$N113)</f>
        <v>0</v>
      </c>
      <c r="Z113" s="137">
        <v>34058669.87393906</v>
      </c>
      <c r="AA113" s="137">
        <v>0</v>
      </c>
      <c r="AB113" s="138">
        <v>0</v>
      </c>
    </row>
    <row r="114" spans="14:28" x14ac:dyDescent="0.35">
      <c r="N114" s="127" t="s">
        <v>77</v>
      </c>
      <c r="O114" s="117" cm="1">
        <f t="array" ref="O114:R114">($O$17:$R$17*O28:R28)/(1+$O$48)^COUNTA($N$110:$N114)</f>
        <v>1478.7579123902435</v>
      </c>
      <c r="P114" s="118">
        <v>0</v>
      </c>
      <c r="Q114" s="118">
        <v>29.575158420326634</v>
      </c>
      <c r="R114" s="119">
        <v>956.89992952687226</v>
      </c>
      <c r="S114" s="137"/>
      <c r="T114" s="136" cm="1">
        <f t="array" ref="T114:W114">($O$18:$R$18*O101:R101)/(1+$O$48)^COUNTA($N$110:$N114)</f>
        <v>0</v>
      </c>
      <c r="U114" s="137">
        <v>4770719.4895560006</v>
      </c>
      <c r="V114" s="137">
        <v>1725217.5687683283</v>
      </c>
      <c r="W114" s="138">
        <v>0</v>
      </c>
      <c r="X114" s="137"/>
      <c r="Y114" s="136" cm="1">
        <f t="array" ref="Y114:AB114">($O$19:$R$19*O68:R68)/(1+$O$48)^COUNTA($N$110:$N114)</f>
        <v>0</v>
      </c>
      <c r="Z114" s="137">
        <v>0</v>
      </c>
      <c r="AA114" s="137">
        <v>0</v>
      </c>
      <c r="AB114" s="138">
        <v>0</v>
      </c>
    </row>
    <row r="115" spans="14:28" x14ac:dyDescent="0.35">
      <c r="N115" s="127" t="s">
        <v>100</v>
      </c>
      <c r="O115" s="117" cm="1">
        <f t="array" ref="O115:R115">($O$17:$R$17*O29:R29)/(1+$O$48)^COUNTA($N$110:$N115)</f>
        <v>1435.6872935827607</v>
      </c>
      <c r="P115" s="118">
        <v>0</v>
      </c>
      <c r="Q115" s="118">
        <v>28.71374603915207</v>
      </c>
      <c r="R115" s="119">
        <v>1507.471662030578</v>
      </c>
      <c r="S115" s="137"/>
      <c r="T115" s="136" cm="1">
        <f t="array" ref="T115:W115">($O$18:$R$18*O102:R102)/(1+$O$48)^COUNTA($N$110:$N115)</f>
        <v>0</v>
      </c>
      <c r="U115" s="137">
        <v>4548018.0690461975</v>
      </c>
      <c r="V115" s="137">
        <v>1507471.6620305779</v>
      </c>
      <c r="W115" s="138">
        <v>0</v>
      </c>
      <c r="X115" s="137"/>
      <c r="Y115" s="136" cm="1">
        <f t="array" ref="Y115:AB115">($O$19:$R$19*O69:R69)/(1+$O$48)^COUNTA($N$110:$N115)</f>
        <v>0</v>
      </c>
      <c r="Z115" s="137">
        <v>58508245.579429083</v>
      </c>
      <c r="AA115" s="137">
        <v>0</v>
      </c>
      <c r="AB115" s="138">
        <v>0</v>
      </c>
    </row>
    <row r="116" spans="14:28" x14ac:dyDescent="0.35">
      <c r="N116" s="127" t="s">
        <v>101</v>
      </c>
      <c r="O116" s="117" cm="1">
        <f t="array" ref="O116:R116">($O$17:$R$17*O30:R30)/(1+$O$48)^COUNTA($N$110:$N116)</f>
        <v>1393.8711588182141</v>
      </c>
      <c r="P116" s="118">
        <v>0</v>
      </c>
      <c r="Q116" s="118">
        <v>27.877423338982592</v>
      </c>
      <c r="R116" s="119">
        <v>1463.5647204180368</v>
      </c>
      <c r="S116" s="137"/>
      <c r="T116" s="136" cm="1">
        <f t="array" ref="T116:W116">($O$18:$R$18*O103:R103)/(1+$O$48)^COUNTA($N$110:$N116)</f>
        <v>0</v>
      </c>
      <c r="U116" s="137">
        <v>4957612.5417492781</v>
      </c>
      <c r="V116" s="137">
        <v>1300946.418149366</v>
      </c>
      <c r="W116" s="138">
        <v>0</v>
      </c>
      <c r="X116" s="137"/>
      <c r="Y116" s="136" cm="1">
        <f t="array" ref="Y116:AB116">($O$19:$R$19*O70:R70)/(1+$O$48)^COUNTA($N$110:$N116)</f>
        <v>0</v>
      </c>
      <c r="Z116" s="137">
        <v>67869910.359599441</v>
      </c>
      <c r="AA116" s="137">
        <v>0</v>
      </c>
      <c r="AB116" s="138">
        <v>0</v>
      </c>
    </row>
    <row r="117" spans="14:28" x14ac:dyDescent="0.35">
      <c r="N117" s="127" t="s">
        <v>102</v>
      </c>
      <c r="O117" s="117" cm="1">
        <f t="array" ref="O117:R117">($O$17:$R$17*O31:R31)/(1+$O$48)^COUNTA($N$110:$N117)</f>
        <v>1353.2729697264217</v>
      </c>
      <c r="P117" s="118">
        <v>0</v>
      </c>
      <c r="Q117" s="118">
        <v>27.065459552410285</v>
      </c>
      <c r="R117" s="119">
        <v>1420.9366217650845</v>
      </c>
      <c r="S117" s="137"/>
      <c r="T117" s="136" cm="1">
        <f t="array" ref="T117:W117">($O$18:$R$18*O104:R104)/(1+$O$48)^COUNTA($N$110:$N117)</f>
        <v>0</v>
      </c>
      <c r="U117" s="137">
        <v>5339488.8775639851</v>
      </c>
      <c r="V117" s="137">
        <v>1105172.92803951</v>
      </c>
      <c r="W117" s="138">
        <v>0</v>
      </c>
      <c r="X117" s="137"/>
      <c r="Y117" s="136" cm="1">
        <f t="array" ref="Y117:AB117">($O$19:$R$19*O71:R71)/(1+$O$48)^COUNTA($N$110:$N117)</f>
        <v>0</v>
      </c>
      <c r="Z117" s="137">
        <v>0</v>
      </c>
      <c r="AA117" s="137">
        <v>0</v>
      </c>
      <c r="AB117" s="138">
        <v>0</v>
      </c>
    </row>
    <row r="118" spans="14:28" x14ac:dyDescent="0.35">
      <c r="N118" s="127" t="s">
        <v>103</v>
      </c>
      <c r="O118" s="117" cm="1">
        <f t="array" ref="O118:R118">($O$17:$R$17*O32:R32)/(1+$O$48)^COUNTA($N$110:$N118)</f>
        <v>1313.8572521615745</v>
      </c>
      <c r="P118" s="118">
        <v>0</v>
      </c>
      <c r="Q118" s="118">
        <v>26.277145196514837</v>
      </c>
      <c r="R118" s="119">
        <v>1379.5501182185285</v>
      </c>
      <c r="S118" s="137"/>
      <c r="T118" s="136" cm="1">
        <f t="array" ref="T118:W118">($O$18:$R$18*O105:R105)/(1+$O$48)^COUNTA($N$110:$N118)</f>
        <v>0</v>
      </c>
      <c r="U118" s="137">
        <v>5694914.2824906781</v>
      </c>
      <c r="V118" s="137">
        <v>919700.07881235238</v>
      </c>
      <c r="W118" s="138">
        <v>0</v>
      </c>
      <c r="X118" s="137"/>
      <c r="Y118" s="136" cm="1">
        <f t="array" ref="Y118:AB118">($O$19:$R$19*O72:R72)/(1+$O$48)^COUNTA($N$110:$N118)</f>
        <v>0</v>
      </c>
      <c r="Z118" s="137">
        <v>0</v>
      </c>
      <c r="AA118" s="137">
        <v>0</v>
      </c>
      <c r="AB118" s="138">
        <v>0</v>
      </c>
    </row>
    <row r="119" spans="14:28" x14ac:dyDescent="0.35">
      <c r="N119" s="127" t="s">
        <v>104</v>
      </c>
      <c r="O119" s="120" cm="1">
        <f t="array" ref="O119:R119">($O$17:$R$17*O33:R33)/(1+$O$48)^COUNTA($N$110:$N119)</f>
        <v>1275.5895652054121</v>
      </c>
      <c r="P119" s="121">
        <v>0</v>
      </c>
      <c r="Q119" s="121">
        <v>25.511791452927028</v>
      </c>
      <c r="R119" s="122">
        <v>1339.3690468141053</v>
      </c>
      <c r="S119" s="137"/>
      <c r="T119" s="140" cm="1">
        <f t="array" ref="T119:W119">($O$18:$R$18*O106:R106)/(1+$O$48)^COUNTA($N$110:$N119)</f>
        <v>0</v>
      </c>
      <c r="U119" s="141">
        <v>6025105.5976799205</v>
      </c>
      <c r="V119" s="141">
        <v>744093.91489672521</v>
      </c>
      <c r="W119" s="142">
        <v>0</v>
      </c>
      <c r="X119" s="137"/>
      <c r="Y119" s="140" cm="1">
        <f t="array" ref="Y119:AB119">($O$19:$R$19*O73:R73)/(1+$O$48)^COUNTA($N$110:$N119)</f>
        <v>0</v>
      </c>
      <c r="Z119" s="141">
        <v>0</v>
      </c>
      <c r="AA119" s="141">
        <v>0</v>
      </c>
      <c r="AB119" s="142">
        <v>0</v>
      </c>
    </row>
  </sheetData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Multi-prod - Sim</vt:lpstr>
      <vt:lpstr>Multi-prod - Opt</vt:lpstr>
      <vt:lpstr>Multi-prod - 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Zacconi</dc:creator>
  <cp:lastModifiedBy>Tommaso Zacconi</cp:lastModifiedBy>
  <dcterms:created xsi:type="dcterms:W3CDTF">2015-06-05T18:19:34Z</dcterms:created>
  <dcterms:modified xsi:type="dcterms:W3CDTF">2025-10-27T17:08:51Z</dcterms:modified>
</cp:coreProperties>
</file>