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omma\GitHub\cvxlab_model\Concepts\"/>
    </mc:Choice>
  </mc:AlternateContent>
  <xr:revisionPtr revIDLastSave="0" documentId="13_ncr:1_{D8E92F08-6533-4ADB-9919-2FFB10885D03}" xr6:coauthVersionLast="47" xr6:coauthVersionMax="47" xr10:uidLastSave="{00000000-0000-0000-0000-000000000000}"/>
  <bookViews>
    <workbookView xWindow="-60" yWindow="-16320" windowWidth="29040" windowHeight="15720" activeTab="3" xr2:uid="{00000000-000D-0000-FFFF-FFFF00000000}"/>
  </bookViews>
  <sheets>
    <sheet name="Multi-prod - Sim" sheetId="1" r:id="rId1"/>
    <sheet name="Multi-prod - Opt" sheetId="2" r:id="rId2"/>
    <sheet name="Multi-prod - Planning (base)" sheetId="4" r:id="rId3"/>
    <sheet name="Multi-prod - Planning (new)" sheetId="3" r:id="rId4"/>
    <sheet name="Results Comparison" sheetId="5" r:id="rId5"/>
  </sheets>
  <definedNames>
    <definedName name="OpenSolver_ChosenSolver" localSheetId="2" hidden="1">CBC</definedName>
    <definedName name="OpenSolver_ChosenSolver" localSheetId="3" hidden="1">CBC</definedName>
    <definedName name="OpenSolver_DualsNewSheet" localSheetId="2" hidden="1">0</definedName>
    <definedName name="OpenSolver_DualsNewSheet" localSheetId="3" hidden="1">0</definedName>
    <definedName name="OpenSolver_LinearityCheck" localSheetId="2" hidden="1">1</definedName>
    <definedName name="OpenSolver_LinearityCheck" localSheetId="3" hidden="1">1</definedName>
    <definedName name="OpenSolver_UpdateSensitivity" localSheetId="2" hidden="1">1</definedName>
    <definedName name="OpenSolver_UpdateSensitivity" localSheetId="3" hidden="1">1</definedName>
    <definedName name="solver_adj" localSheetId="1" hidden="1">'Multi-prod - Opt'!$K$51:$M$51,'Multi-prod - Opt'!$Y$43:$Y$45</definedName>
    <definedName name="solver_adj" localSheetId="2" hidden="1">'Multi-prod - Planning (base)'!$P$25:$T$34,'Multi-prod - Planning (base)'!$P$66:$T$75</definedName>
    <definedName name="solver_adj" localSheetId="3" hidden="1">'Multi-prod - Planning (new)'!$P$25:$T$34,'Multi-prod - Planning (new)'!$P$66:$T$75</definedName>
    <definedName name="solver_adj" localSheetId="0" hidden="1">'Multi-prod - Sim'!$W$27:$W$33,'Multi-prod - Sim'!$Y$31:$Y$33,'Multi-prod - Sim'!$Y$35:$Y$37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0" hidden="1">2147483647</definedName>
    <definedName name="solver_lhs1" localSheetId="1" hidden="1">'Multi-prod - Opt'!$AA$36:$AA$41</definedName>
    <definedName name="solver_lhs1" localSheetId="2" hidden="1">'Multi-prod - Planning (base)'!$AG$10:$AP$12</definedName>
    <definedName name="solver_lhs1" localSheetId="3" hidden="1">'Multi-prod - Planning (new)'!$AG$10:$AP$12</definedName>
    <definedName name="solver_lhs1" localSheetId="0" hidden="1">'Multi-prod - Sim'!$AA$27:$AA$32</definedName>
    <definedName name="solver_lhs2" localSheetId="1" hidden="1">'Multi-prod - Opt'!$AA$43:$AA$46</definedName>
    <definedName name="solver_lhs2" localSheetId="2" hidden="1">'Multi-prod - Planning (base)'!$AG$25:$AK$34</definedName>
    <definedName name="solver_lhs2" localSheetId="3" hidden="1">'Multi-prod - Planning (new)'!$AG$25:$AK$34</definedName>
    <definedName name="solver_lhs2" localSheetId="0" hidden="1">'Multi-prod - Sim'!$AA$35:$AA$38</definedName>
    <definedName name="solver_lhs3" localSheetId="1" hidden="1">'Multi-prod - Opt'!$AA$43:$AA$45</definedName>
    <definedName name="solver_lhs3" localSheetId="2" hidden="1">'Multi-prod - Planning (base)'!$AG$37:$AK$46</definedName>
    <definedName name="solver_lhs3" localSheetId="3" hidden="1">'Multi-prod - Planning (new)'!$AG$37:$AK$46</definedName>
    <definedName name="solver_lhs3" localSheetId="0" hidden="1">'Multi-prod - Sim'!$AA$35:$AA$37</definedName>
    <definedName name="solver_lhs4" localSheetId="2" hidden="1">'Multi-prod - Planning (base)'!$J$10</definedName>
    <definedName name="solver_lhs4" localSheetId="3" hidden="1">'Multi-prod - Planning (new)'!$J$10</definedName>
    <definedName name="solver_lhs5" localSheetId="2" hidden="1">'Multi-prod - Planning (base)'!$J$10</definedName>
    <definedName name="solver_lhs5" localSheetId="3" hidden="1">'Multi-prod - Planning (new)'!$J$10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0" hidden="1">2147483647</definedName>
    <definedName name="solver_num" localSheetId="1" hidden="1">1</definedName>
    <definedName name="solver_num" localSheetId="2" hidden="1">3</definedName>
    <definedName name="solver_num" localSheetId="3" hidden="1">3</definedName>
    <definedName name="solver_num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0" hidden="1">1</definedName>
    <definedName name="solver_opt" localSheetId="1" hidden="1">'Multi-prod - Opt'!$W$49</definedName>
    <definedName name="solver_opt" localSheetId="2" hidden="1">'Multi-prod - Planning (base)'!$V$22</definedName>
    <definedName name="solver_opt" localSheetId="3" hidden="1">'Multi-prod - Planning (new)'!$V$22</definedName>
    <definedName name="solver_opt" localSheetId="0" hidden="1">'Multi-prod - Sim'!$AA$33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0" hidden="1">1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0" hidden="1">2</definedName>
    <definedName name="solver_rel2" localSheetId="1" hidden="1">2</definedName>
    <definedName name="solver_rel2" localSheetId="2" hidden="1">1</definedName>
    <definedName name="solver_rel2" localSheetId="3" hidden="1">1</definedName>
    <definedName name="solver_rel2" localSheetId="0" hidden="1">2</definedName>
    <definedName name="solver_rel3" localSheetId="1" hidden="1">2</definedName>
    <definedName name="solver_rel3" localSheetId="2" hidden="1">1</definedName>
    <definedName name="solver_rel3" localSheetId="3" hidden="1">1</definedName>
    <definedName name="solver_rel3" localSheetId="0" hidden="1">2</definedName>
    <definedName name="solver_rel4" localSheetId="2" hidden="1">1</definedName>
    <definedName name="solver_rel4" localSheetId="3" hidden="1">1</definedName>
    <definedName name="solver_rel5" localSheetId="2" hidden="1">3</definedName>
    <definedName name="solver_rel5" localSheetId="3" hidden="1">3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" localSheetId="0" hidden="1">0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2" localSheetId="0" hidden="1">0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3" localSheetId="0" hidden="1">0</definedName>
    <definedName name="solver_rhs4" localSheetId="2" hidden="1">'Multi-prod - Planning (base)'!#REF!</definedName>
    <definedName name="solver_rhs4" localSheetId="3" hidden="1">'Multi-prod - Planning (new)'!#REF!</definedName>
    <definedName name="solver_rhs5" localSheetId="2" hidden="1">'Multi-prod - Planning (base)'!#REF!</definedName>
    <definedName name="solver_rhs5" localSheetId="3" hidden="1">'Multi-prod - Planning (new)'!#REF!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0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0" hidden="1">3</definedName>
    <definedName name="solver_val" localSheetId="1" hidden="1">1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5" l="1" a="1"/>
  <c r="D12" i="5" s="1"/>
  <c r="C12" i="5" a="1"/>
  <c r="C12" i="5" s="1"/>
  <c r="D6" i="5" a="1"/>
  <c r="D6" i="5" s="1"/>
  <c r="C6" i="5" a="1"/>
  <c r="C6" i="5" s="1"/>
  <c r="T20" i="4"/>
  <c r="S20" i="4"/>
  <c r="S19" i="4" s="1"/>
  <c r="S20" i="3"/>
  <c r="T20" i="3"/>
  <c r="T88" i="3" a="1"/>
  <c r="T88" i="3" s="1"/>
  <c r="T77" i="3" a="1"/>
  <c r="T77" i="3" s="1"/>
  <c r="T88" i="4" a="1"/>
  <c r="T88" i="4" s="1"/>
  <c r="T77" i="4" a="1"/>
  <c r="T77" i="4" s="1"/>
  <c r="AS97" i="4"/>
  <c r="AR97" i="4"/>
  <c r="BA96" i="4"/>
  <c r="AZ96" i="4"/>
  <c r="BA97" i="4" s="1"/>
  <c r="AS96" i="4"/>
  <c r="AT97" i="4" s="1"/>
  <c r="AR96" i="4"/>
  <c r="BA95" i="4"/>
  <c r="AZ95" i="4"/>
  <c r="AY95" i="4"/>
  <c r="AR95" i="4"/>
  <c r="BA94" i="4"/>
  <c r="AZ94" i="4"/>
  <c r="AY94" i="4"/>
  <c r="AX94" i="4"/>
  <c r="AR94" i="4"/>
  <c r="AS95" i="4" s="1"/>
  <c r="AT96" i="4" s="1"/>
  <c r="AU97" i="4" s="1"/>
  <c r="BA93" i="4"/>
  <c r="AZ93" i="4"/>
  <c r="AY93" i="4"/>
  <c r="AX93" i="4"/>
  <c r="AW93" i="4"/>
  <c r="AR93" i="4"/>
  <c r="AS94" i="4" s="1"/>
  <c r="AT95" i="4" s="1"/>
  <c r="AU96" i="4" s="1"/>
  <c r="AV97" i="4" s="1"/>
  <c r="AZ92" i="4"/>
  <c r="AY92" i="4"/>
  <c r="AX92" i="4"/>
  <c r="AW92" i="4"/>
  <c r="AV92" i="4"/>
  <c r="AR92" i="4"/>
  <c r="AS93" i="4" s="1"/>
  <c r="AT94" i="4" s="1"/>
  <c r="AU95" i="4" s="1"/>
  <c r="AV96" i="4" s="1"/>
  <c r="AW97" i="4" s="1"/>
  <c r="AY91" i="4"/>
  <c r="AX91" i="4"/>
  <c r="AW91" i="4"/>
  <c r="AV91" i="4"/>
  <c r="AU91" i="4"/>
  <c r="AT91" i="4"/>
  <c r="AU92" i="4" s="1"/>
  <c r="AV93" i="4" s="1"/>
  <c r="AW94" i="4" s="1"/>
  <c r="AX95" i="4" s="1"/>
  <c r="AY96" i="4" s="1"/>
  <c r="AZ97" i="4" s="1"/>
  <c r="AR91" i="4"/>
  <c r="AS92" i="4" s="1"/>
  <c r="AT93" i="4" s="1"/>
  <c r="AU94" i="4" s="1"/>
  <c r="AV95" i="4" s="1"/>
  <c r="AW96" i="4" s="1"/>
  <c r="AX97" i="4" s="1"/>
  <c r="BA90" i="4"/>
  <c r="AZ90" i="4"/>
  <c r="BA91" i="4" s="1"/>
  <c r="AX90" i="4"/>
  <c r="AW90" i="4"/>
  <c r="AV90" i="4"/>
  <c r="AU90" i="4"/>
  <c r="AT90" i="4"/>
  <c r="AS90" i="4"/>
  <c r="AR90" i="4"/>
  <c r="AS91" i="4" s="1"/>
  <c r="AT92" i="4" s="1"/>
  <c r="AU93" i="4" s="1"/>
  <c r="AV94" i="4" s="1"/>
  <c r="AW95" i="4" s="1"/>
  <c r="AX96" i="4" s="1"/>
  <c r="AY97" i="4" s="1"/>
  <c r="BA89" i="4"/>
  <c r="AZ89" i="4"/>
  <c r="AY89" i="4"/>
  <c r="AX89" i="4"/>
  <c r="AY90" i="4" s="1"/>
  <c r="AZ91" i="4" s="1"/>
  <c r="BA92" i="4" s="1"/>
  <c r="AW89" i="4"/>
  <c r="AV89" i="4"/>
  <c r="AU89" i="4"/>
  <c r="AT89" i="4"/>
  <c r="AS89" i="4"/>
  <c r="AR89" i="4"/>
  <c r="AY86" i="4"/>
  <c r="AX86" i="4"/>
  <c r="AW86" i="4"/>
  <c r="AV86" i="4"/>
  <c r="AS86" i="4"/>
  <c r="AR86" i="4"/>
  <c r="AX85" i="4"/>
  <c r="AW85" i="4"/>
  <c r="AV85" i="4"/>
  <c r="AU85" i="4"/>
  <c r="AT85" i="4"/>
  <c r="AU86" i="4" s="1"/>
  <c r="AR85" i="4"/>
  <c r="AW84" i="4"/>
  <c r="AV84" i="4"/>
  <c r="AU84" i="4"/>
  <c r="AT84" i="4"/>
  <c r="AS84" i="4"/>
  <c r="AR84" i="4"/>
  <c r="AS85" i="4" s="1"/>
  <c r="AT86" i="4" s="1"/>
  <c r="AV83" i="4"/>
  <c r="AU83" i="4"/>
  <c r="AT83" i="4"/>
  <c r="AS83" i="4"/>
  <c r="AR83" i="4"/>
  <c r="BA82" i="4"/>
  <c r="AZ82" i="4"/>
  <c r="BA83" i="4" s="1"/>
  <c r="AU82" i="4"/>
  <c r="AT82" i="4"/>
  <c r="AS82" i="4"/>
  <c r="AR82" i="4"/>
  <c r="BA81" i="4"/>
  <c r="AZ81" i="4"/>
  <c r="AY81" i="4"/>
  <c r="AX81" i="4"/>
  <c r="AY82" i="4" s="1"/>
  <c r="AZ83" i="4" s="1"/>
  <c r="BA84" i="4" s="1"/>
  <c r="AT81" i="4"/>
  <c r="AS81" i="4"/>
  <c r="AR81" i="4"/>
  <c r="BA80" i="4"/>
  <c r="AZ80" i="4"/>
  <c r="AY80" i="4"/>
  <c r="AX80" i="4"/>
  <c r="AW80" i="4"/>
  <c r="AV80" i="4"/>
  <c r="AW81" i="4" s="1"/>
  <c r="AX82" i="4" s="1"/>
  <c r="AY83" i="4" s="1"/>
  <c r="AZ84" i="4" s="1"/>
  <c r="BA85" i="4" s="1"/>
  <c r="AS80" i="4"/>
  <c r="AR80" i="4"/>
  <c r="BA79" i="4"/>
  <c r="AZ79" i="4"/>
  <c r="AY79" i="4"/>
  <c r="AX79" i="4"/>
  <c r="AW79" i="4"/>
  <c r="AV79" i="4"/>
  <c r="AU79" i="4"/>
  <c r="AT79" i="4"/>
  <c r="AU80" i="4" s="1"/>
  <c r="AV81" i="4" s="1"/>
  <c r="AW82" i="4" s="1"/>
  <c r="AX83" i="4" s="1"/>
  <c r="AY84" i="4" s="1"/>
  <c r="AZ85" i="4" s="1"/>
  <c r="BA86" i="4" s="1"/>
  <c r="AR79" i="4"/>
  <c r="BA78" i="4"/>
  <c r="AZ78" i="4"/>
  <c r="AY78" i="4"/>
  <c r="AX78" i="4"/>
  <c r="AW78" i="4"/>
  <c r="AV78" i="4"/>
  <c r="AU78" i="4"/>
  <c r="AT78" i="4"/>
  <c r="AS78" i="4"/>
  <c r="AR78" i="4"/>
  <c r="AS79" i="4" s="1"/>
  <c r="AT80" i="4" s="1"/>
  <c r="AU81" i="4" s="1"/>
  <c r="AV82" i="4" s="1"/>
  <c r="AW83" i="4" s="1"/>
  <c r="AX84" i="4" s="1"/>
  <c r="AY85" i="4" s="1"/>
  <c r="AZ86" i="4" s="1"/>
  <c r="AR90" i="3"/>
  <c r="AR91" i="3"/>
  <c r="AR92" i="3"/>
  <c r="AS93" i="3" s="1"/>
  <c r="AT94" i="3" s="1"/>
  <c r="AU95" i="3" s="1"/>
  <c r="AV96" i="3" s="1"/>
  <c r="AW97" i="3" s="1"/>
  <c r="AR93" i="3"/>
  <c r="AR94" i="3"/>
  <c r="AS95" i="3" s="1"/>
  <c r="AT96" i="3" s="1"/>
  <c r="AU97" i="3" s="1"/>
  <c r="AR95" i="3"/>
  <c r="AS96" i="3" s="1"/>
  <c r="AT97" i="3" s="1"/>
  <c r="AR96" i="3"/>
  <c r="AR97" i="3"/>
  <c r="AR89" i="3"/>
  <c r="AS90" i="3" s="1"/>
  <c r="AT91" i="3" s="1"/>
  <c r="AU92" i="3" s="1"/>
  <c r="AV93" i="3" s="1"/>
  <c r="AW94" i="3" s="1"/>
  <c r="AX95" i="3" s="1"/>
  <c r="AY96" i="3" s="1"/>
  <c r="AZ97" i="3" s="1"/>
  <c r="AR79" i="3"/>
  <c r="AS80" i="3" s="1"/>
  <c r="AT81" i="3" s="1"/>
  <c r="AU82" i="3" s="1"/>
  <c r="AV83" i="3" s="1"/>
  <c r="AW84" i="3" s="1"/>
  <c r="AX85" i="3" s="1"/>
  <c r="AY86" i="3" s="1"/>
  <c r="AR80" i="3"/>
  <c r="AR81" i="3"/>
  <c r="AS82" i="3" s="1"/>
  <c r="AT83" i="3" s="1"/>
  <c r="AU84" i="3" s="1"/>
  <c r="AV85" i="3" s="1"/>
  <c r="AW86" i="3" s="1"/>
  <c r="AR82" i="3"/>
  <c r="AR83" i="3"/>
  <c r="AR84" i="3"/>
  <c r="AR85" i="3"/>
  <c r="AR86" i="3"/>
  <c r="AR78" i="3"/>
  <c r="AS97" i="3"/>
  <c r="BA96" i="3"/>
  <c r="AZ96" i="3"/>
  <c r="BA97" i="3" s="1"/>
  <c r="BA95" i="3"/>
  <c r="AZ95" i="3"/>
  <c r="AY95" i="3"/>
  <c r="BA94" i="3"/>
  <c r="AZ94" i="3"/>
  <c r="AY94" i="3"/>
  <c r="AX94" i="3"/>
  <c r="AS94" i="3"/>
  <c r="AT95" i="3" s="1"/>
  <c r="AU96" i="3" s="1"/>
  <c r="AV97" i="3" s="1"/>
  <c r="AZ93" i="3"/>
  <c r="AY93" i="3"/>
  <c r="AX93" i="3"/>
  <c r="AW93" i="3"/>
  <c r="AY92" i="3"/>
  <c r="AX92" i="3"/>
  <c r="AW92" i="3"/>
  <c r="AV92" i="3"/>
  <c r="AS92" i="3"/>
  <c r="AT93" i="3" s="1"/>
  <c r="AU94" i="3" s="1"/>
  <c r="AV95" i="3" s="1"/>
  <c r="AW96" i="3" s="1"/>
  <c r="AX97" i="3" s="1"/>
  <c r="AX91" i="3"/>
  <c r="AW91" i="3"/>
  <c r="AV91" i="3"/>
  <c r="AU91" i="3"/>
  <c r="AS91" i="3"/>
  <c r="AT92" i="3" s="1"/>
  <c r="AU93" i="3" s="1"/>
  <c r="AV94" i="3" s="1"/>
  <c r="AW95" i="3" s="1"/>
  <c r="AX96" i="3" s="1"/>
  <c r="AY97" i="3" s="1"/>
  <c r="BA90" i="3"/>
  <c r="AZ90" i="3"/>
  <c r="BA91" i="3" s="1"/>
  <c r="AW90" i="3"/>
  <c r="AV90" i="3"/>
  <c r="AU90" i="3"/>
  <c r="AT90" i="3"/>
  <c r="BA89" i="3"/>
  <c r="AZ89" i="3"/>
  <c r="AY89" i="3"/>
  <c r="AX89" i="3"/>
  <c r="AY90" i="3" s="1"/>
  <c r="AZ91" i="3" s="1"/>
  <c r="BA92" i="3" s="1"/>
  <c r="AW89" i="3"/>
  <c r="AX90" i="3" s="1"/>
  <c r="AY91" i="3" s="1"/>
  <c r="AZ92" i="3" s="1"/>
  <c r="BA93" i="3" s="1"/>
  <c r="AV89" i="3"/>
  <c r="AU89" i="3"/>
  <c r="AT89" i="3"/>
  <c r="AS89" i="3"/>
  <c r="AS86" i="3"/>
  <c r="AS84" i="3"/>
  <c r="AT85" i="3" s="1"/>
  <c r="AU86" i="3" s="1"/>
  <c r="AS85" i="3"/>
  <c r="AT86" i="3" s="1"/>
  <c r="AS83" i="3"/>
  <c r="AT84" i="3" s="1"/>
  <c r="AU85" i="3" s="1"/>
  <c r="AV86" i="3" s="1"/>
  <c r="BA82" i="3"/>
  <c r="AZ82" i="3"/>
  <c r="BA83" i="3" s="1"/>
  <c r="BA81" i="3"/>
  <c r="AZ81" i="3"/>
  <c r="AY81" i="3"/>
  <c r="AX81" i="3"/>
  <c r="AY82" i="3" s="1"/>
  <c r="AZ83" i="3" s="1"/>
  <c r="BA84" i="3" s="1"/>
  <c r="AS81" i="3"/>
  <c r="AT82" i="3" s="1"/>
  <c r="AU83" i="3" s="1"/>
  <c r="AV84" i="3" s="1"/>
  <c r="AW85" i="3" s="1"/>
  <c r="AX86" i="3" s="1"/>
  <c r="BA80" i="3"/>
  <c r="AZ80" i="3"/>
  <c r="AY80" i="3"/>
  <c r="AX80" i="3"/>
  <c r="AW80" i="3"/>
  <c r="AV80" i="3"/>
  <c r="AW81" i="3" s="1"/>
  <c r="AX82" i="3" s="1"/>
  <c r="AY83" i="3" s="1"/>
  <c r="AZ84" i="3" s="1"/>
  <c r="BA85" i="3" s="1"/>
  <c r="BA79" i="3"/>
  <c r="AZ79" i="3"/>
  <c r="AY79" i="3"/>
  <c r="AX79" i="3"/>
  <c r="AW79" i="3"/>
  <c r="AV79" i="3"/>
  <c r="AU79" i="3"/>
  <c r="AT79" i="3"/>
  <c r="AU80" i="3" s="1"/>
  <c r="AV81" i="3" s="1"/>
  <c r="AW82" i="3" s="1"/>
  <c r="AX83" i="3" s="1"/>
  <c r="AY84" i="3" s="1"/>
  <c r="AZ85" i="3" s="1"/>
  <c r="BA86" i="3" s="1"/>
  <c r="BA78" i="3"/>
  <c r="AZ78" i="3"/>
  <c r="AY78" i="3"/>
  <c r="AX78" i="3"/>
  <c r="AW78" i="3"/>
  <c r="AV78" i="3"/>
  <c r="AU78" i="3"/>
  <c r="AT78" i="3"/>
  <c r="AS78" i="3"/>
  <c r="AS79" i="3"/>
  <c r="AT80" i="3" s="1"/>
  <c r="AU81" i="3" s="1"/>
  <c r="AV82" i="3" s="1"/>
  <c r="AW83" i="3" s="1"/>
  <c r="AX84" i="3" s="1"/>
  <c r="AY85" i="3" s="1"/>
  <c r="AZ86" i="3" s="1"/>
  <c r="AP93" i="4"/>
  <c r="AO93" i="4"/>
  <c r="AP94" i="4" s="1"/>
  <c r="AP92" i="4"/>
  <c r="AO92" i="4"/>
  <c r="AN92" i="4"/>
  <c r="AM92" i="4"/>
  <c r="AN93" i="4" s="1"/>
  <c r="AO94" i="4" s="1"/>
  <c r="AP95" i="4" s="1"/>
  <c r="AL92" i="4"/>
  <c r="AM93" i="4" s="1"/>
  <c r="AN94" i="4" s="1"/>
  <c r="AO95" i="4" s="1"/>
  <c r="AP96" i="4" s="1"/>
  <c r="AP91" i="4"/>
  <c r="AO91" i="4"/>
  <c r="AN91" i="4"/>
  <c r="AM91" i="4"/>
  <c r="AL91" i="4"/>
  <c r="AK91" i="4"/>
  <c r="AJ91" i="4"/>
  <c r="AK92" i="4" s="1"/>
  <c r="AL93" i="4" s="1"/>
  <c r="AM94" i="4" s="1"/>
  <c r="AN95" i="4" s="1"/>
  <c r="AO96" i="4" s="1"/>
  <c r="AP97" i="4" s="1"/>
  <c r="AO90" i="4"/>
  <c r="AN90" i="4"/>
  <c r="AM90" i="4"/>
  <c r="AL90" i="4"/>
  <c r="AK90" i="4"/>
  <c r="AJ90" i="4"/>
  <c r="AI90" i="4"/>
  <c r="AP89" i="4"/>
  <c r="AO89" i="4"/>
  <c r="AP90" i="4" s="1"/>
  <c r="AN89" i="4"/>
  <c r="AM89" i="4"/>
  <c r="AL89" i="4"/>
  <c r="AK89" i="4"/>
  <c r="AJ89" i="4"/>
  <c r="AI89" i="4"/>
  <c r="AH89" i="4"/>
  <c r="AJ86" i="4"/>
  <c r="AI86" i="4"/>
  <c r="AH86" i="4"/>
  <c r="AI85" i="4"/>
  <c r="AH85" i="4"/>
  <c r="AL84" i="4"/>
  <c r="AM85" i="4" s="1"/>
  <c r="AN86" i="4" s="1"/>
  <c r="AK84" i="4"/>
  <c r="AL85" i="4" s="1"/>
  <c r="AM86" i="4" s="1"/>
  <c r="AH84" i="4"/>
  <c r="AK83" i="4"/>
  <c r="AJ83" i="4"/>
  <c r="AI83" i="4"/>
  <c r="AJ84" i="4" s="1"/>
  <c r="AK85" i="4" s="1"/>
  <c r="AL86" i="4" s="1"/>
  <c r="AH83" i="4"/>
  <c r="AI84" i="4" s="1"/>
  <c r="AJ85" i="4" s="1"/>
  <c r="AK86" i="4" s="1"/>
  <c r="AJ82" i="4"/>
  <c r="AI82" i="4"/>
  <c r="AH82" i="4"/>
  <c r="AP81" i="4"/>
  <c r="AO81" i="4"/>
  <c r="AP82" i="4" s="1"/>
  <c r="AN81" i="4"/>
  <c r="AO82" i="4" s="1"/>
  <c r="AP83" i="4" s="1"/>
  <c r="AI81" i="4"/>
  <c r="AH81" i="4"/>
  <c r="AP80" i="4"/>
  <c r="AO80" i="4"/>
  <c r="AN80" i="4"/>
  <c r="AM80" i="4"/>
  <c r="AL80" i="4"/>
  <c r="AM81" i="4" s="1"/>
  <c r="AN82" i="4" s="1"/>
  <c r="AO83" i="4" s="1"/>
  <c r="AP84" i="4" s="1"/>
  <c r="AK80" i="4"/>
  <c r="AL81" i="4" s="1"/>
  <c r="AM82" i="4" s="1"/>
  <c r="AN83" i="4" s="1"/>
  <c r="AO84" i="4" s="1"/>
  <c r="AP85" i="4" s="1"/>
  <c r="AH80" i="4"/>
  <c r="AP79" i="4"/>
  <c r="AO79" i="4"/>
  <c r="AN79" i="4"/>
  <c r="AM79" i="4"/>
  <c r="AL79" i="4"/>
  <c r="AK79" i="4"/>
  <c r="AJ79" i="4"/>
  <c r="AI79" i="4"/>
  <c r="AJ80" i="4" s="1"/>
  <c r="AK81" i="4" s="1"/>
  <c r="AL82" i="4" s="1"/>
  <c r="AM83" i="4" s="1"/>
  <c r="AN84" i="4" s="1"/>
  <c r="AO85" i="4" s="1"/>
  <c r="AP86" i="4" s="1"/>
  <c r="AH79" i="4"/>
  <c r="AP78" i="4"/>
  <c r="AO78" i="4"/>
  <c r="AN78" i="4"/>
  <c r="AM78" i="4"/>
  <c r="AL78" i="4"/>
  <c r="AK78" i="4"/>
  <c r="AJ78" i="4"/>
  <c r="AI78" i="4"/>
  <c r="AH78" i="4"/>
  <c r="AO93" i="3"/>
  <c r="AP94" i="3" s="1"/>
  <c r="AP92" i="3"/>
  <c r="AO92" i="3"/>
  <c r="AP93" i="3" s="1"/>
  <c r="AN92" i="3"/>
  <c r="AL92" i="3"/>
  <c r="AM93" i="3" s="1"/>
  <c r="AN94" i="3" s="1"/>
  <c r="AO95" i="3" s="1"/>
  <c r="AP96" i="3" s="1"/>
  <c r="AP91" i="3"/>
  <c r="AO91" i="3"/>
  <c r="AN91" i="3"/>
  <c r="AM91" i="3"/>
  <c r="AL91" i="3"/>
  <c r="AM92" i="3" s="1"/>
  <c r="AN93" i="3" s="1"/>
  <c r="AO94" i="3" s="1"/>
  <c r="AP95" i="3" s="1"/>
  <c r="AK91" i="3"/>
  <c r="AO90" i="3"/>
  <c r="AN90" i="3"/>
  <c r="AM90" i="3"/>
  <c r="AL90" i="3"/>
  <c r="AK90" i="3"/>
  <c r="AJ90" i="3"/>
  <c r="AI90" i="3"/>
  <c r="AJ91" i="3" s="1"/>
  <c r="AK92" i="3" s="1"/>
  <c r="AL93" i="3" s="1"/>
  <c r="AM94" i="3" s="1"/>
  <c r="AN95" i="3" s="1"/>
  <c r="AO96" i="3" s="1"/>
  <c r="AP97" i="3" s="1"/>
  <c r="AP89" i="3"/>
  <c r="AO89" i="3"/>
  <c r="AP90" i="3" s="1"/>
  <c r="AN89" i="3"/>
  <c r="AM89" i="3"/>
  <c r="AL89" i="3"/>
  <c r="AK89" i="3"/>
  <c r="AJ89" i="3"/>
  <c r="AI89" i="3"/>
  <c r="AH89" i="3"/>
  <c r="AJ86" i="3"/>
  <c r="AI86" i="3"/>
  <c r="AH86" i="3"/>
  <c r="AM85" i="3"/>
  <c r="AN86" i="3" s="1"/>
  <c r="AI85" i="3"/>
  <c r="AH85" i="3"/>
  <c r="AL84" i="3"/>
  <c r="AK84" i="3"/>
  <c r="AL85" i="3" s="1"/>
  <c r="AM86" i="3" s="1"/>
  <c r="AJ84" i="3"/>
  <c r="AK85" i="3" s="1"/>
  <c r="AL86" i="3" s="1"/>
  <c r="AH84" i="3"/>
  <c r="AK83" i="3"/>
  <c r="AJ83" i="3"/>
  <c r="AI83" i="3"/>
  <c r="AH83" i="3"/>
  <c r="AI84" i="3" s="1"/>
  <c r="AJ85" i="3" s="1"/>
  <c r="AK86" i="3" s="1"/>
  <c r="AP82" i="3"/>
  <c r="AJ82" i="3"/>
  <c r="AI82" i="3"/>
  <c r="AH82" i="3"/>
  <c r="AP81" i="3"/>
  <c r="AO81" i="3"/>
  <c r="AN81" i="3"/>
  <c r="AO82" i="3" s="1"/>
  <c r="AP83" i="3" s="1"/>
  <c r="AM81" i="3"/>
  <c r="AN82" i="3" s="1"/>
  <c r="AO83" i="3" s="1"/>
  <c r="AP84" i="3" s="1"/>
  <c r="AI81" i="3"/>
  <c r="AH81" i="3"/>
  <c r="AP80" i="3"/>
  <c r="AO80" i="3"/>
  <c r="AN80" i="3"/>
  <c r="AM80" i="3"/>
  <c r="AL80" i="3"/>
  <c r="AK80" i="3"/>
  <c r="AL81" i="3" s="1"/>
  <c r="AM82" i="3" s="1"/>
  <c r="AN83" i="3" s="1"/>
  <c r="AO84" i="3" s="1"/>
  <c r="AP85" i="3" s="1"/>
  <c r="AJ80" i="3"/>
  <c r="AK81" i="3" s="1"/>
  <c r="AL82" i="3" s="1"/>
  <c r="AM83" i="3" s="1"/>
  <c r="AN84" i="3" s="1"/>
  <c r="AO85" i="3" s="1"/>
  <c r="AP86" i="3" s="1"/>
  <c r="AH80" i="3"/>
  <c r="AP79" i="3"/>
  <c r="AO79" i="3"/>
  <c r="AN79" i="3"/>
  <c r="AM79" i="3"/>
  <c r="AL79" i="3"/>
  <c r="AK79" i="3"/>
  <c r="AJ79" i="3"/>
  <c r="AI79" i="3"/>
  <c r="AH79" i="3"/>
  <c r="AI80" i="3" s="1"/>
  <c r="AJ81" i="3" s="1"/>
  <c r="AK82" i="3" s="1"/>
  <c r="AL83" i="3" s="1"/>
  <c r="AM84" i="3" s="1"/>
  <c r="AN85" i="3" s="1"/>
  <c r="AO86" i="3" s="1"/>
  <c r="AP78" i="3"/>
  <c r="AO78" i="3"/>
  <c r="AN78" i="3"/>
  <c r="AM78" i="3"/>
  <c r="AL78" i="3"/>
  <c r="AK78" i="3"/>
  <c r="AJ78" i="3"/>
  <c r="AI78" i="3"/>
  <c r="AH78" i="3"/>
  <c r="AG97" i="4"/>
  <c r="V97" i="4"/>
  <c r="AG96" i="4"/>
  <c r="AH97" i="4" s="1"/>
  <c r="W96" i="4"/>
  <c r="X97" i="4" s="1"/>
  <c r="V96" i="4"/>
  <c r="W97" i="4" s="1"/>
  <c r="AG95" i="4"/>
  <c r="AH96" i="4" s="1"/>
  <c r="AI97" i="4" s="1"/>
  <c r="V95" i="4"/>
  <c r="AG94" i="4"/>
  <c r="AH95" i="4" s="1"/>
  <c r="AI96" i="4" s="1"/>
  <c r="AJ97" i="4" s="1"/>
  <c r="V94" i="4"/>
  <c r="W95" i="4" s="1"/>
  <c r="X96" i="4" s="1"/>
  <c r="Y97" i="4" s="1"/>
  <c r="AG93" i="4"/>
  <c r="AH94" i="4" s="1"/>
  <c r="AI95" i="4" s="1"/>
  <c r="AJ96" i="4" s="1"/>
  <c r="AK97" i="4" s="1"/>
  <c r="V93" i="4"/>
  <c r="W94" i="4" s="1"/>
  <c r="X95" i="4" s="1"/>
  <c r="Y96" i="4" s="1"/>
  <c r="Z97" i="4" s="1"/>
  <c r="AG92" i="4"/>
  <c r="AH93" i="4" s="1"/>
  <c r="AI94" i="4" s="1"/>
  <c r="AJ95" i="4" s="1"/>
  <c r="AK96" i="4" s="1"/>
  <c r="AL97" i="4" s="1"/>
  <c r="V92" i="4"/>
  <c r="W93" i="4" s="1"/>
  <c r="X94" i="4" s="1"/>
  <c r="Y95" i="4" s="1"/>
  <c r="Z96" i="4" s="1"/>
  <c r="AA97" i="4" s="1"/>
  <c r="AG91" i="4"/>
  <c r="AH92" i="4" s="1"/>
  <c r="AI93" i="4" s="1"/>
  <c r="AJ94" i="4" s="1"/>
  <c r="AK95" i="4" s="1"/>
  <c r="AL96" i="4" s="1"/>
  <c r="AM97" i="4" s="1"/>
  <c r="AE91" i="4"/>
  <c r="AD91" i="4"/>
  <c r="AE92" i="4" s="1"/>
  <c r="AC91" i="4"/>
  <c r="AD92" i="4" s="1"/>
  <c r="AE93" i="4" s="1"/>
  <c r="AB91" i="4"/>
  <c r="AC92" i="4" s="1"/>
  <c r="AD93" i="4" s="1"/>
  <c r="AE94" i="4" s="1"/>
  <c r="V91" i="4"/>
  <c r="W92" i="4" s="1"/>
  <c r="X93" i="4" s="1"/>
  <c r="Y94" i="4" s="1"/>
  <c r="Z95" i="4" s="1"/>
  <c r="AA96" i="4" s="1"/>
  <c r="AB97" i="4" s="1"/>
  <c r="AG90" i="4"/>
  <c r="AH91" i="4" s="1"/>
  <c r="AI92" i="4" s="1"/>
  <c r="AJ93" i="4" s="1"/>
  <c r="AK94" i="4" s="1"/>
  <c r="AL95" i="4" s="1"/>
  <c r="AM96" i="4" s="1"/>
  <c r="AN97" i="4" s="1"/>
  <c r="AE90" i="4"/>
  <c r="AD90" i="4"/>
  <c r="AC90" i="4"/>
  <c r="AB90" i="4"/>
  <c r="AA90" i="4"/>
  <c r="Z90" i="4"/>
  <c r="AA91" i="4" s="1"/>
  <c r="V90" i="4"/>
  <c r="W91" i="4" s="1"/>
  <c r="X92" i="4" s="1"/>
  <c r="Y93" i="4" s="1"/>
  <c r="Z94" i="4" s="1"/>
  <c r="AA95" i="4" s="1"/>
  <c r="AB96" i="4" s="1"/>
  <c r="AC97" i="4" s="1"/>
  <c r="AG89" i="4"/>
  <c r="AH90" i="4" s="1"/>
  <c r="AI91" i="4" s="1"/>
  <c r="AJ92" i="4" s="1"/>
  <c r="AK93" i="4" s="1"/>
  <c r="AL94" i="4" s="1"/>
  <c r="AM95" i="4" s="1"/>
  <c r="AN96" i="4" s="1"/>
  <c r="AO97" i="4" s="1"/>
  <c r="AE89" i="4"/>
  <c r="AD89" i="4"/>
  <c r="AC89" i="4"/>
  <c r="AB89" i="4"/>
  <c r="AA89" i="4"/>
  <c r="Z89" i="4"/>
  <c r="Y89" i="4"/>
  <c r="X89" i="4"/>
  <c r="Y90" i="4" s="1"/>
  <c r="Z91" i="4" s="1"/>
  <c r="AA92" i="4" s="1"/>
  <c r="AB93" i="4" s="1"/>
  <c r="AC94" i="4" s="1"/>
  <c r="AD95" i="4" s="1"/>
  <c r="AE96" i="4" s="1"/>
  <c r="W89" i="4"/>
  <c r="X90" i="4" s="1"/>
  <c r="Y91" i="4" s="1"/>
  <c r="Z92" i="4" s="1"/>
  <c r="AA93" i="4" s="1"/>
  <c r="AB94" i="4" s="1"/>
  <c r="AC95" i="4" s="1"/>
  <c r="AD96" i="4" s="1"/>
  <c r="AE97" i="4" s="1"/>
  <c r="V89" i="4"/>
  <c r="W90" i="4" s="1"/>
  <c r="X91" i="4" s="1"/>
  <c r="Y92" i="4" s="1"/>
  <c r="Z93" i="4" s="1"/>
  <c r="AA94" i="4" s="1"/>
  <c r="AB95" i="4" s="1"/>
  <c r="AC96" i="4" s="1"/>
  <c r="AD97" i="4" s="1"/>
  <c r="AG86" i="4"/>
  <c r="V86" i="4"/>
  <c r="AG85" i="4"/>
  <c r="X85" i="4"/>
  <c r="Y86" i="4" s="1"/>
  <c r="W85" i="4"/>
  <c r="X86" i="4" s="1"/>
  <c r="V85" i="4"/>
  <c r="W86" i="4" s="1"/>
  <c r="AG84" i="4"/>
  <c r="W84" i="4"/>
  <c r="V84" i="4"/>
  <c r="AG83" i="4"/>
  <c r="V83" i="4"/>
  <c r="AG82" i="4"/>
  <c r="V82" i="4"/>
  <c r="W83" i="4" s="1"/>
  <c r="X84" i="4" s="1"/>
  <c r="Y85" i="4" s="1"/>
  <c r="Z86" i="4" s="1"/>
  <c r="AG81" i="4"/>
  <c r="W81" i="4"/>
  <c r="X82" i="4" s="1"/>
  <c r="Y83" i="4" s="1"/>
  <c r="Z84" i="4" s="1"/>
  <c r="AA85" i="4" s="1"/>
  <c r="AB86" i="4" s="1"/>
  <c r="V81" i="4"/>
  <c r="W82" i="4" s="1"/>
  <c r="X83" i="4" s="1"/>
  <c r="Y84" i="4" s="1"/>
  <c r="Z85" i="4" s="1"/>
  <c r="AA86" i="4" s="1"/>
  <c r="AG80" i="4"/>
  <c r="V80" i="4"/>
  <c r="AG79" i="4"/>
  <c r="AE79" i="4"/>
  <c r="AD79" i="4"/>
  <c r="AE80" i="4" s="1"/>
  <c r="AC79" i="4"/>
  <c r="AD80" i="4" s="1"/>
  <c r="AE81" i="4" s="1"/>
  <c r="V79" i="4"/>
  <c r="W80" i="4" s="1"/>
  <c r="X81" i="4" s="1"/>
  <c r="Y82" i="4" s="1"/>
  <c r="Z83" i="4" s="1"/>
  <c r="AA84" i="4" s="1"/>
  <c r="AB85" i="4" s="1"/>
  <c r="AC86" i="4" s="1"/>
  <c r="AG78" i="4"/>
  <c r="AE78" i="4"/>
  <c r="AD78" i="4"/>
  <c r="AC78" i="4"/>
  <c r="AB78" i="4"/>
  <c r="AA78" i="4"/>
  <c r="AB79" i="4" s="1"/>
  <c r="AC80" i="4" s="1"/>
  <c r="AD81" i="4" s="1"/>
  <c r="AE82" i="4" s="1"/>
  <c r="Z78" i="4"/>
  <c r="AA79" i="4" s="1"/>
  <c r="AB80" i="4" s="1"/>
  <c r="AC81" i="4" s="1"/>
  <c r="AD82" i="4" s="1"/>
  <c r="AE83" i="4" s="1"/>
  <c r="Y78" i="4"/>
  <c r="Z79" i="4" s="1"/>
  <c r="AA80" i="4" s="1"/>
  <c r="AB81" i="4" s="1"/>
  <c r="AC82" i="4" s="1"/>
  <c r="AD83" i="4" s="1"/>
  <c r="AE84" i="4" s="1"/>
  <c r="X78" i="4"/>
  <c r="Y79" i="4" s="1"/>
  <c r="Z80" i="4" s="1"/>
  <c r="AA81" i="4" s="1"/>
  <c r="AB82" i="4" s="1"/>
  <c r="AC83" i="4" s="1"/>
  <c r="AD84" i="4" s="1"/>
  <c r="AE85" i="4" s="1"/>
  <c r="W78" i="4"/>
  <c r="X79" i="4" s="1"/>
  <c r="Y80" i="4" s="1"/>
  <c r="Z81" i="4" s="1"/>
  <c r="AA82" i="4" s="1"/>
  <c r="AB83" i="4" s="1"/>
  <c r="AC84" i="4" s="1"/>
  <c r="AD85" i="4" s="1"/>
  <c r="AE86" i="4" s="1"/>
  <c r="V78" i="4"/>
  <c r="AG90" i="3"/>
  <c r="AH91" i="3" s="1"/>
  <c r="AI92" i="3" s="1"/>
  <c r="AJ93" i="3" s="1"/>
  <c r="AK94" i="3" s="1"/>
  <c r="AL95" i="3" s="1"/>
  <c r="AM96" i="3" s="1"/>
  <c r="AN97" i="3" s="1"/>
  <c r="AG91" i="3"/>
  <c r="AH92" i="3" s="1"/>
  <c r="AI93" i="3" s="1"/>
  <c r="AJ94" i="3" s="1"/>
  <c r="AK95" i="3" s="1"/>
  <c r="AL96" i="3" s="1"/>
  <c r="AM97" i="3" s="1"/>
  <c r="AG92" i="3"/>
  <c r="AH93" i="3" s="1"/>
  <c r="AI94" i="3" s="1"/>
  <c r="AJ95" i="3" s="1"/>
  <c r="AK96" i="3" s="1"/>
  <c r="AL97" i="3" s="1"/>
  <c r="AG93" i="3"/>
  <c r="AH94" i="3" s="1"/>
  <c r="AI95" i="3" s="1"/>
  <c r="AJ96" i="3" s="1"/>
  <c r="AK97" i="3" s="1"/>
  <c r="AG94" i="3"/>
  <c r="AH95" i="3" s="1"/>
  <c r="AI96" i="3" s="1"/>
  <c r="AJ97" i="3" s="1"/>
  <c r="AG95" i="3"/>
  <c r="AH96" i="3" s="1"/>
  <c r="AI97" i="3" s="1"/>
  <c r="AG96" i="3"/>
  <c r="AH97" i="3" s="1"/>
  <c r="AG97" i="3"/>
  <c r="AG89" i="3"/>
  <c r="AH90" i="3" s="1"/>
  <c r="AI91" i="3" s="1"/>
  <c r="AJ92" i="3" s="1"/>
  <c r="AK93" i="3" s="1"/>
  <c r="AL94" i="3" s="1"/>
  <c r="AM95" i="3" s="1"/>
  <c r="AN96" i="3" s="1"/>
  <c r="AO97" i="3" s="1"/>
  <c r="V90" i="3"/>
  <c r="W91" i="3" s="1"/>
  <c r="X92" i="3" s="1"/>
  <c r="Y93" i="3" s="1"/>
  <c r="Z94" i="3" s="1"/>
  <c r="AA95" i="3" s="1"/>
  <c r="AB96" i="3" s="1"/>
  <c r="AC97" i="3" s="1"/>
  <c r="V91" i="3"/>
  <c r="W92" i="3" s="1"/>
  <c r="X93" i="3" s="1"/>
  <c r="Y94" i="3" s="1"/>
  <c r="Z95" i="3" s="1"/>
  <c r="AA96" i="3" s="1"/>
  <c r="AB97" i="3" s="1"/>
  <c r="V92" i="3"/>
  <c r="W93" i="3" s="1"/>
  <c r="X94" i="3" s="1"/>
  <c r="Y95" i="3" s="1"/>
  <c r="Z96" i="3" s="1"/>
  <c r="AA97" i="3" s="1"/>
  <c r="V93" i="3"/>
  <c r="W94" i="3" s="1"/>
  <c r="X95" i="3" s="1"/>
  <c r="Y96" i="3" s="1"/>
  <c r="Z97" i="3" s="1"/>
  <c r="V94" i="3"/>
  <c r="V95" i="3"/>
  <c r="W96" i="3" s="1"/>
  <c r="X97" i="3" s="1"/>
  <c r="V96" i="3"/>
  <c r="W97" i="3" s="1"/>
  <c r="V97" i="3"/>
  <c r="V89" i="3"/>
  <c r="AG79" i="3"/>
  <c r="AG80" i="3"/>
  <c r="AG81" i="3"/>
  <c r="AG82" i="3"/>
  <c r="AG83" i="3"/>
  <c r="AG84" i="3"/>
  <c r="AG85" i="3"/>
  <c r="AG86" i="3"/>
  <c r="AG78" i="3"/>
  <c r="V79" i="3"/>
  <c r="V80" i="3"/>
  <c r="W81" i="3" s="1"/>
  <c r="X82" i="3" s="1"/>
  <c r="Y83" i="3" s="1"/>
  <c r="Z84" i="3" s="1"/>
  <c r="AA85" i="3" s="1"/>
  <c r="AB86" i="3" s="1"/>
  <c r="V81" i="3"/>
  <c r="V82" i="3"/>
  <c r="V83" i="3"/>
  <c r="V84" i="3"/>
  <c r="V85" i="3"/>
  <c r="V86" i="3"/>
  <c r="V78" i="3"/>
  <c r="W79" i="3" s="1"/>
  <c r="X80" i="3" s="1"/>
  <c r="Y81" i="3" s="1"/>
  <c r="Z82" i="3" s="1"/>
  <c r="AA83" i="3" s="1"/>
  <c r="AB84" i="3" s="1"/>
  <c r="AC85" i="3" s="1"/>
  <c r="AD86" i="3" s="1"/>
  <c r="W95" i="3"/>
  <c r="X96" i="3" s="1"/>
  <c r="Y97" i="3" s="1"/>
  <c r="AE93" i="3"/>
  <c r="AE92" i="3"/>
  <c r="AD92" i="3"/>
  <c r="AC92" i="3"/>
  <c r="AD93" i="3" s="1"/>
  <c r="AE94" i="3" s="1"/>
  <c r="AB92" i="3"/>
  <c r="AC93" i="3" s="1"/>
  <c r="AD94" i="3" s="1"/>
  <c r="AE95" i="3" s="1"/>
  <c r="AE91" i="3"/>
  <c r="AD91" i="3"/>
  <c r="AC91" i="3"/>
  <c r="AB91" i="3"/>
  <c r="AA91" i="3"/>
  <c r="Z91" i="3"/>
  <c r="AA92" i="3" s="1"/>
  <c r="AB93" i="3" s="1"/>
  <c r="AC94" i="3" s="1"/>
  <c r="AD95" i="3" s="1"/>
  <c r="AE96" i="3" s="1"/>
  <c r="Y91" i="3"/>
  <c r="Z92" i="3" s="1"/>
  <c r="AA93" i="3" s="1"/>
  <c r="AB94" i="3" s="1"/>
  <c r="AC95" i="3" s="1"/>
  <c r="AD96" i="3" s="1"/>
  <c r="AE97" i="3" s="1"/>
  <c r="AE90" i="3"/>
  <c r="AD90" i="3"/>
  <c r="AC90" i="3"/>
  <c r="AB90" i="3"/>
  <c r="AA90" i="3"/>
  <c r="Z90" i="3"/>
  <c r="Y90" i="3"/>
  <c r="X90" i="3"/>
  <c r="W90" i="3"/>
  <c r="X91" i="3" s="1"/>
  <c r="Y92" i="3" s="1"/>
  <c r="Z93" i="3" s="1"/>
  <c r="AA94" i="3" s="1"/>
  <c r="AB95" i="3" s="1"/>
  <c r="AC96" i="3" s="1"/>
  <c r="AD97" i="3" s="1"/>
  <c r="AE89" i="3"/>
  <c r="AD89" i="3"/>
  <c r="AC89" i="3"/>
  <c r="AB89" i="3"/>
  <c r="AA89" i="3"/>
  <c r="Z89" i="3"/>
  <c r="Y89" i="3"/>
  <c r="X89" i="3"/>
  <c r="W89" i="3"/>
  <c r="X78" i="3"/>
  <c r="Y78" i="3"/>
  <c r="Z78" i="3"/>
  <c r="AA78" i="3"/>
  <c r="AB79" i="3" s="1"/>
  <c r="AC80" i="3" s="1"/>
  <c r="AD81" i="3" s="1"/>
  <c r="AE82" i="3" s="1"/>
  <c r="AB78" i="3"/>
  <c r="AC78" i="3"/>
  <c r="AD79" i="3" s="1"/>
  <c r="AE80" i="3" s="1"/>
  <c r="AD78" i="3"/>
  <c r="AE79" i="3" s="1"/>
  <c r="AE78" i="3"/>
  <c r="X79" i="3"/>
  <c r="Y80" i="3" s="1"/>
  <c r="Z81" i="3" s="1"/>
  <c r="AA82" i="3" s="1"/>
  <c r="AB83" i="3" s="1"/>
  <c r="AC84" i="3" s="1"/>
  <c r="AD85" i="3" s="1"/>
  <c r="AE86" i="3" s="1"/>
  <c r="Y79" i="3"/>
  <c r="Z80" i="3" s="1"/>
  <c r="AA81" i="3" s="1"/>
  <c r="AB82" i="3" s="1"/>
  <c r="AC83" i="3" s="1"/>
  <c r="AD84" i="3" s="1"/>
  <c r="AE85" i="3" s="1"/>
  <c r="Z79" i="3"/>
  <c r="AA80" i="3" s="1"/>
  <c r="AB81" i="3" s="1"/>
  <c r="AC82" i="3" s="1"/>
  <c r="AD83" i="3" s="1"/>
  <c r="AE84" i="3" s="1"/>
  <c r="AA79" i="3"/>
  <c r="AB80" i="3" s="1"/>
  <c r="AC81" i="3" s="1"/>
  <c r="AD82" i="3" s="1"/>
  <c r="AE83" i="3" s="1"/>
  <c r="AC79" i="3"/>
  <c r="AD80" i="3"/>
  <c r="AE81" i="3" s="1"/>
  <c r="X81" i="3"/>
  <c r="Y82" i="3" s="1"/>
  <c r="Z83" i="3" s="1"/>
  <c r="AA84" i="3" s="1"/>
  <c r="AB85" i="3" s="1"/>
  <c r="AC86" i="3" s="1"/>
  <c r="X84" i="3"/>
  <c r="X85" i="3"/>
  <c r="Y86" i="3" s="1"/>
  <c r="Y85" i="3"/>
  <c r="Z86" i="3" s="1"/>
  <c r="X86" i="3"/>
  <c r="W78" i="3"/>
  <c r="W80" i="3"/>
  <c r="W82" i="3"/>
  <c r="X83" i="3" s="1"/>
  <c r="Y84" i="3" s="1"/>
  <c r="Z85" i="3" s="1"/>
  <c r="AA86" i="3" s="1"/>
  <c r="W83" i="3"/>
  <c r="W84" i="3"/>
  <c r="W85" i="3"/>
  <c r="W86" i="3"/>
  <c r="AC121" i="4"/>
  <c r="AC120" i="4"/>
  <c r="AC119" i="4"/>
  <c r="AC118" i="4"/>
  <c r="AC117" i="4"/>
  <c r="AC116" i="4"/>
  <c r="AC115" i="4"/>
  <c r="AC114" i="4"/>
  <c r="AC113" i="4"/>
  <c r="AC112" i="4"/>
  <c r="P112" i="3" a="1"/>
  <c r="P112" i="3" s="1"/>
  <c r="AC113" i="3"/>
  <c r="AC114" i="3"/>
  <c r="AC115" i="3"/>
  <c r="AC116" i="3"/>
  <c r="AC117" i="3"/>
  <c r="AC118" i="3"/>
  <c r="AC119" i="3"/>
  <c r="AC120" i="3"/>
  <c r="AC121" i="3"/>
  <c r="AC112" i="3"/>
  <c r="P143" i="3" a="1"/>
  <c r="P143" i="3" s="1"/>
  <c r="P144" i="3" a="1"/>
  <c r="P144" i="3" s="1"/>
  <c r="P145" i="3" a="1"/>
  <c r="P145" i="3" s="1"/>
  <c r="P146" i="3" a="1"/>
  <c r="P146" i="3" s="1"/>
  <c r="P147" i="3" a="1"/>
  <c r="P147" i="3" s="1"/>
  <c r="P148" i="3" a="1"/>
  <c r="P148" i="3" s="1"/>
  <c r="P149" i="3" a="1"/>
  <c r="P149" i="3" s="1"/>
  <c r="P150" i="3" a="1"/>
  <c r="P150" i="3" s="1"/>
  <c r="P151" i="3" a="1"/>
  <c r="P151" i="3" s="1"/>
  <c r="P142" i="3" a="1"/>
  <c r="P142" i="3" s="1"/>
  <c r="T38" i="4"/>
  <c r="T39" i="4" s="1"/>
  <c r="T40" i="4" s="1"/>
  <c r="T41" i="4" s="1"/>
  <c r="T42" i="4" s="1"/>
  <c r="T43" i="4" s="1"/>
  <c r="T44" i="4" s="1"/>
  <c r="T45" i="4" s="1"/>
  <c r="T46" i="4" s="1"/>
  <c r="S38" i="4"/>
  <c r="S39" i="4" s="1"/>
  <c r="S40" i="4" s="1"/>
  <c r="S41" i="4" s="1"/>
  <c r="S42" i="4" s="1"/>
  <c r="S43" i="4" s="1"/>
  <c r="S44" i="4" s="1"/>
  <c r="S45" i="4" s="1"/>
  <c r="S46" i="4" s="1"/>
  <c r="R38" i="4"/>
  <c r="R39" i="4" s="1"/>
  <c r="R40" i="4" s="1"/>
  <c r="R41" i="4" s="1"/>
  <c r="R42" i="4" s="1"/>
  <c r="R43" i="4" s="1"/>
  <c r="R44" i="4" s="1"/>
  <c r="R45" i="4" s="1"/>
  <c r="R46" i="4" s="1"/>
  <c r="P38" i="4"/>
  <c r="P39" i="4" s="1"/>
  <c r="P40" i="4" s="1"/>
  <c r="P41" i="4" s="1"/>
  <c r="P42" i="4" s="1"/>
  <c r="P43" i="4" s="1"/>
  <c r="P44" i="4" s="1"/>
  <c r="P45" i="4" s="1"/>
  <c r="P46" i="4" s="1"/>
  <c r="R20" i="4"/>
  <c r="R19" i="4"/>
  <c r="V14" i="4" a="1"/>
  <c r="V14" i="4" s="1"/>
  <c r="W12" i="4"/>
  <c r="X12" i="4" s="1"/>
  <c r="Y12" i="4" s="1"/>
  <c r="Z12" i="4" s="1"/>
  <c r="AA12" i="4" s="1"/>
  <c r="AB12" i="4" s="1"/>
  <c r="AC12" i="4" s="1"/>
  <c r="AD12" i="4" s="1"/>
  <c r="AE12" i="4" s="1"/>
  <c r="J11" i="4"/>
  <c r="G25" i="4" s="1" a="1"/>
  <c r="G25" i="4" s="1"/>
  <c r="AG10" i="4" s="1" a="1"/>
  <c r="AG10" i="4" s="1"/>
  <c r="W10" i="4"/>
  <c r="X10" i="4" s="1"/>
  <c r="Y10" i="4" s="1"/>
  <c r="Z10" i="4" s="1"/>
  <c r="AA10" i="4" s="1"/>
  <c r="AB10" i="4" s="1"/>
  <c r="AC10" i="4" s="1"/>
  <c r="AD10" i="4" s="1"/>
  <c r="AE10" i="4" s="1"/>
  <c r="V125" i="3" a="1"/>
  <c r="V125" i="3" s="1"/>
  <c r="W125" i="3" a="1"/>
  <c r="W125" i="3" s="1"/>
  <c r="X125" i="3" a="1"/>
  <c r="X125" i="3" s="1"/>
  <c r="Y125" i="3" a="1"/>
  <c r="Y125" i="3"/>
  <c r="Z125" i="3" a="1"/>
  <c r="Z125" i="3"/>
  <c r="V126" i="3" a="1"/>
  <c r="V126" i="3"/>
  <c r="W126" i="3" a="1"/>
  <c r="W126" i="3" s="1"/>
  <c r="X126" i="3" a="1"/>
  <c r="X126" i="3" s="1"/>
  <c r="Y126" i="3" a="1"/>
  <c r="Y126" i="3" s="1"/>
  <c r="Z126" i="3" a="1"/>
  <c r="Z126" i="3" s="1"/>
  <c r="V127" i="3" a="1"/>
  <c r="V127" i="3"/>
  <c r="W127" i="3" a="1"/>
  <c r="W127" i="3"/>
  <c r="X127" i="3" a="1"/>
  <c r="X127" i="3" s="1"/>
  <c r="Y127" i="3" a="1"/>
  <c r="Y127" i="3" s="1"/>
  <c r="Z127" i="3" a="1"/>
  <c r="Z127" i="3" s="1"/>
  <c r="V128" i="3" a="1"/>
  <c r="V128" i="3"/>
  <c r="W128" i="3" a="1"/>
  <c r="W128" i="3"/>
  <c r="X128" i="3" a="1"/>
  <c r="X128" i="3"/>
  <c r="Y128" i="3" a="1"/>
  <c r="Y128" i="3" s="1"/>
  <c r="Z128" i="3" a="1"/>
  <c r="Z128" i="3" s="1"/>
  <c r="V129" i="3" a="1"/>
  <c r="V129" i="3" s="1"/>
  <c r="W129" i="3" a="1"/>
  <c r="W129" i="3"/>
  <c r="X129" i="3" a="1"/>
  <c r="X129" i="3"/>
  <c r="Y129" i="3" a="1"/>
  <c r="Y129" i="3"/>
  <c r="Z129" i="3" a="1"/>
  <c r="Z129" i="3" s="1"/>
  <c r="V130" i="3" a="1"/>
  <c r="V130" i="3" s="1"/>
  <c r="W130" i="3" a="1"/>
  <c r="W130" i="3" s="1"/>
  <c r="X130" i="3" a="1"/>
  <c r="X130" i="3"/>
  <c r="Y130" i="3" a="1"/>
  <c r="Y130" i="3"/>
  <c r="Z130" i="3" a="1"/>
  <c r="Z130" i="3"/>
  <c r="V131" i="3" a="1"/>
  <c r="V131" i="3" s="1"/>
  <c r="W131" i="3" a="1"/>
  <c r="W131" i="3" s="1"/>
  <c r="X131" i="3" a="1"/>
  <c r="X131" i="3" s="1"/>
  <c r="Y131" i="3" a="1"/>
  <c r="Y131" i="3" s="1"/>
  <c r="Z131" i="3" a="1"/>
  <c r="Z131" i="3" s="1"/>
  <c r="V132" i="3" a="1"/>
  <c r="V132" i="3"/>
  <c r="W132" i="3" a="1"/>
  <c r="W132" i="3" s="1"/>
  <c r="X132" i="3" a="1"/>
  <c r="X132" i="3" s="1"/>
  <c r="Y132" i="3" a="1"/>
  <c r="Y132" i="3" s="1"/>
  <c r="Z132" i="3" a="1"/>
  <c r="Z132" i="3" s="1"/>
  <c r="V133" i="3" a="1"/>
  <c r="V133" i="3" s="1"/>
  <c r="W133" i="3" a="1"/>
  <c r="W133" i="3"/>
  <c r="X133" i="3" a="1"/>
  <c r="X133" i="3" s="1"/>
  <c r="Y133" i="3" a="1"/>
  <c r="Y133" i="3" s="1"/>
  <c r="Z133" i="3" a="1"/>
  <c r="Z133" i="3" s="1"/>
  <c r="W124" i="3" a="1"/>
  <c r="W124" i="3" s="1"/>
  <c r="X124" i="3" a="1"/>
  <c r="X124" i="3" s="1"/>
  <c r="Y124" i="3" a="1"/>
  <c r="Y124" i="3" s="1"/>
  <c r="Z124" i="3" a="1"/>
  <c r="Z124" i="3" s="1"/>
  <c r="V124" i="3" a="1"/>
  <c r="V124" i="3" s="1"/>
  <c r="Q138" i="3"/>
  <c r="R138" i="3"/>
  <c r="S138" i="3"/>
  <c r="T138" i="3"/>
  <c r="P138" i="3"/>
  <c r="Q136" i="3"/>
  <c r="R136" i="3"/>
  <c r="S136" i="3"/>
  <c r="T136" i="3"/>
  <c r="P136" i="3"/>
  <c r="P140" i="3" l="1" a="1"/>
  <c r="P140" i="3" s="1"/>
  <c r="P124" i="3" s="1" a="1"/>
  <c r="P124" i="3" s="1"/>
  <c r="P124" i="4" a="1"/>
  <c r="P124" i="4" s="1"/>
  <c r="P153" i="3" a="1"/>
  <c r="P153" i="3" s="1"/>
  <c r="P164" i="3" s="1" a="1"/>
  <c r="P164" i="3" s="1"/>
  <c r="AI80" i="4"/>
  <c r="AJ81" i="4" s="1"/>
  <c r="AK82" i="4" s="1"/>
  <c r="AL83" i="4" s="1"/>
  <c r="AM84" i="4" s="1"/>
  <c r="AN85" i="4" s="1"/>
  <c r="AO86" i="4" s="1"/>
  <c r="AB92" i="4"/>
  <c r="AC93" i="4" s="1"/>
  <c r="AD94" i="4" s="1"/>
  <c r="AE95" i="4" s="1"/>
  <c r="P88" i="4" a="1"/>
  <c r="P88" i="4" s="1"/>
  <c r="Q88" i="4" a="1"/>
  <c r="Q88" i="4" s="1"/>
  <c r="R88" i="4" a="1"/>
  <c r="R88" i="4" s="1"/>
  <c r="S88" i="4" a="1"/>
  <c r="S88" i="4" s="1"/>
  <c r="W79" i="4"/>
  <c r="X80" i="4" s="1"/>
  <c r="Y81" i="4" s="1"/>
  <c r="Z82" i="4" s="1"/>
  <c r="AA83" i="4" s="1"/>
  <c r="AB84" i="4" s="1"/>
  <c r="AC85" i="4" s="1"/>
  <c r="AD86" i="4" s="1"/>
  <c r="P77" i="4" a="1"/>
  <c r="P77" i="4" s="1"/>
  <c r="P112" i="4" a="1"/>
  <c r="P112" i="4" s="1"/>
  <c r="P175" i="3" l="1" a="1"/>
  <c r="P175" i="3" s="1"/>
  <c r="S77" i="4" a="1"/>
  <c r="S77" i="4" s="1"/>
  <c r="Q77" i="4" a="1"/>
  <c r="Q77" i="4" s="1"/>
  <c r="R77" i="4" a="1"/>
  <c r="R77" i="4" s="1"/>
  <c r="P99" i="4" l="1" a="1"/>
  <c r="P99" i="4" s="1"/>
  <c r="V112" i="4" s="1" a="1"/>
  <c r="V112" i="4" s="1"/>
  <c r="V22" i="4" s="1"/>
  <c r="AG25" i="4" l="1" a="1"/>
  <c r="AG25" i="4" s="1"/>
  <c r="AG37" i="4" a="1"/>
  <c r="AG37" i="4" s="1"/>
  <c r="Q88" i="3" a="1"/>
  <c r="Q88" i="3" s="1"/>
  <c r="Q77" i="3" a="1"/>
  <c r="Q77" i="3" s="1"/>
  <c r="W10" i="3" l="1"/>
  <c r="X10" i="3" s="1"/>
  <c r="Y10" i="3" s="1"/>
  <c r="Z10" i="3" s="1"/>
  <c r="AA10" i="3" s="1"/>
  <c r="AB10" i="3" s="1"/>
  <c r="AC10" i="3" s="1"/>
  <c r="AD10" i="3" s="1"/>
  <c r="AE10" i="3" s="1"/>
  <c r="J11" i="3"/>
  <c r="G25" i="3" s="1" a="1"/>
  <c r="G25" i="3" s="1"/>
  <c r="W12" i="3"/>
  <c r="X12" i="3" s="1"/>
  <c r="Y12" i="3" s="1"/>
  <c r="Z12" i="3" s="1"/>
  <c r="AA12" i="3" s="1"/>
  <c r="AB12" i="3" s="1"/>
  <c r="AC12" i="3" s="1"/>
  <c r="AD12" i="3" s="1"/>
  <c r="AE12" i="3" s="1"/>
  <c r="P38" i="3"/>
  <c r="P39" i="3" s="1"/>
  <c r="P40" i="3" s="1"/>
  <c r="P41" i="3" s="1"/>
  <c r="P42" i="3" s="1"/>
  <c r="P43" i="3" s="1"/>
  <c r="P44" i="3" s="1"/>
  <c r="P45" i="3" s="1"/>
  <c r="P46" i="3" s="1"/>
  <c r="T38" i="3"/>
  <c r="T39" i="3" s="1"/>
  <c r="T40" i="3" s="1"/>
  <c r="T41" i="3" s="1"/>
  <c r="T42" i="3" s="1"/>
  <c r="T43" i="3" s="1"/>
  <c r="T44" i="3" s="1"/>
  <c r="T45" i="3" s="1"/>
  <c r="T46" i="3" s="1"/>
  <c r="S88" i="3" a="1"/>
  <c r="S88" i="3" s="1"/>
  <c r="R88" i="3" a="1"/>
  <c r="R88" i="3" s="1"/>
  <c r="P88" i="3" a="1"/>
  <c r="P88" i="3" s="1"/>
  <c r="S77" i="3" a="1"/>
  <c r="S77" i="3" s="1"/>
  <c r="R77" i="3" a="1"/>
  <c r="R77" i="3" s="1"/>
  <c r="P77" i="3" a="1"/>
  <c r="P77" i="3" s="1"/>
  <c r="V14" i="3" a="1"/>
  <c r="V14" i="3" s="1"/>
  <c r="S38" i="3"/>
  <c r="S39" i="3" s="1"/>
  <c r="S40" i="3" s="1"/>
  <c r="S41" i="3" s="1"/>
  <c r="S42" i="3" s="1"/>
  <c r="S43" i="3" s="1"/>
  <c r="S44" i="3" s="1"/>
  <c r="S45" i="3" s="1"/>
  <c r="S46" i="3" s="1"/>
  <c r="R38" i="3"/>
  <c r="R39" i="3" s="1"/>
  <c r="R40" i="3" s="1"/>
  <c r="R41" i="3" s="1"/>
  <c r="R42" i="3" s="1"/>
  <c r="R43" i="3" s="1"/>
  <c r="R44" i="3" s="1"/>
  <c r="R45" i="3" s="1"/>
  <c r="R46" i="3" s="1"/>
  <c r="R20" i="3"/>
  <c r="R19" i="3" s="1"/>
  <c r="S19" i="3"/>
  <c r="AG10" i="3" l="1" a="1"/>
  <c r="AG10" i="3" s="1"/>
  <c r="P99" i="3" a="1"/>
  <c r="P99" i="3" l="1"/>
  <c r="O36" i="2" a="1"/>
  <c r="O36" i="2" s="1"/>
  <c r="K46" i="2" a="1"/>
  <c r="K46" i="2" s="1"/>
  <c r="Y46" i="2" a="1"/>
  <c r="Y46" i="2" s="1"/>
  <c r="G51" i="2" a="1"/>
  <c r="G51" i="2" s="1"/>
  <c r="Y36" i="2" s="1" a="1"/>
  <c r="Y36" i="2" s="1"/>
  <c r="AK27" i="2" a="1"/>
  <c r="AK27" i="2" s="1"/>
  <c r="Y21" i="2"/>
  <c r="Y20" i="2"/>
  <c r="Y19" i="2"/>
  <c r="Y18" i="2"/>
  <c r="Y17" i="2"/>
  <c r="Y15" i="2"/>
  <c r="Y14" i="2"/>
  <c r="Y13" i="2"/>
  <c r="Y12" i="2"/>
  <c r="Y11" i="2"/>
  <c r="Y10" i="2"/>
  <c r="Y9" i="2"/>
  <c r="AG37" i="3" l="1" a="1"/>
  <c r="AG37" i="3" s="1"/>
  <c r="AG25" i="3" a="1"/>
  <c r="AG25" i="3" s="1"/>
  <c r="V112" i="3" a="1"/>
  <c r="V112" i="3" s="1"/>
  <c r="V22" i="3" s="1"/>
  <c r="AK23" i="2" a="1"/>
  <c r="AK23" i="2" s="1"/>
  <c r="AC17" i="2" a="1"/>
  <c r="AK9" i="2" a="1"/>
  <c r="AK9" i="2" s="1"/>
  <c r="AQ9" i="2" a="1"/>
  <c r="AQ9" i="2" s="1"/>
  <c r="AC17" i="2" l="1"/>
  <c r="G43" i="2" a="1"/>
  <c r="AA47" i="2" l="1"/>
  <c r="AA39" i="2"/>
  <c r="AA37" i="2"/>
  <c r="AA38" i="2"/>
  <c r="AA45" i="2"/>
  <c r="AA44" i="2"/>
  <c r="G43" i="2"/>
  <c r="AA43" i="2" s="1"/>
  <c r="AA41" i="2"/>
  <c r="AA40" i="2"/>
  <c r="AA46" i="2"/>
  <c r="O49" i="2" a="1"/>
  <c r="O49" i="2" s="1"/>
  <c r="W49" i="2" s="1" a="1"/>
  <c r="W49" i="2" s="1"/>
  <c r="AA36" i="2" l="1"/>
  <c r="Y21" i="1" l="1"/>
  <c r="Y20" i="1"/>
  <c r="Y19" i="1"/>
  <c r="Y18" i="1"/>
  <c r="Y17" i="1"/>
  <c r="Y15" i="1"/>
  <c r="Y14" i="1"/>
  <c r="Y13" i="1"/>
  <c r="Y12" i="1"/>
  <c r="Y11" i="1"/>
  <c r="Y10" i="1"/>
  <c r="Y9" i="1"/>
  <c r="AK23" i="1" l="1" a="1"/>
  <c r="AK23" i="1" s="1"/>
  <c r="AQ9" i="1" a="1"/>
  <c r="AQ9" i="1" s="1"/>
  <c r="AC17" i="1" a="1"/>
  <c r="AK9" i="1" a="1"/>
  <c r="AK9" i="1" s="1"/>
  <c r="G35" i="1" l="1" a="1"/>
  <c r="Y27" i="1" a="1"/>
  <c r="Y27" i="1" s="1"/>
  <c r="AC17" i="1"/>
  <c r="AA36" i="1" l="1"/>
  <c r="AA37" i="1"/>
  <c r="G35" i="1"/>
  <c r="AA35" i="1" s="1"/>
  <c r="K38" i="1" l="1" a="1"/>
  <c r="K38" i="1" s="1"/>
  <c r="Y38" i="1" a="1"/>
  <c r="Y38" i="1" s="1"/>
  <c r="O41" i="1" l="1" a="1"/>
  <c r="O41" i="1" s="1"/>
  <c r="W41" i="1" s="1" a="1"/>
  <c r="W41" i="1" s="1"/>
  <c r="O27" i="1" a="1"/>
  <c r="AA38" i="1"/>
  <c r="AA39" i="1"/>
  <c r="AA32" i="1" l="1"/>
  <c r="AA33" i="1"/>
  <c r="AA31" i="1"/>
  <c r="O27" i="1"/>
  <c r="AA27" i="1" s="1"/>
  <c r="AA30" i="1"/>
  <c r="AA29" i="1"/>
  <c r="AA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tc={526EF239-DE95-4DEB-BFEA-0FE06398BBB2}</author>
    <author>tc={1474A65B-F6FA-4D60-8AD3-6C1E565D0962}</author>
    <author>tc={1BE59145-22A2-4074-BDF6-C2FB4DB6CC31}</author>
    <author>tc={B45F9B41-B8DB-4C7F-A9A6-47B397D8816A}</author>
    <author>tc={052CDC5A-53C4-4A1C-A7A4-02DED377478D}</author>
    <author>tc={32FF2F35-0289-4407-9D6F-AFD05387A17E}</author>
    <author>tc={3F7E5E09-F5BA-42AA-9489-90EF79D3FAD8}</author>
    <author>tc={7CCC46CF-1057-4212-AF08-E43237C0EF54}</author>
    <author>tc={234F9614-C0C2-414C-9940-875D65FC32A9}</author>
    <author>tc={8D869B35-4F78-4346-880E-E8017FBDC1C1}</author>
  </authors>
  <commentList>
    <comment ref="O8" authorId="0" shapeId="0" xr:uid="{526EF239-DE95-4DEB-BFEA-0FE06398BBB2}">
      <text>
        <t>[Threaded comment]
Your version of Excel allows you to read this threaded comment; however, any edits to it will get removed if the file is opened in a newer version of Excel. Learn more: https://go.microsoft.com/fwlink/?linkid=870924
Comment:
    (6,5)</t>
      </text>
    </comment>
    <comment ref="AQ8" authorId="1" shapeId="0" xr:uid="{1474A65B-F6FA-4D60-8AD3-6C1E565D0962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product-based
--&gt; product-mix matrix (c’)</t>
      </text>
    </comment>
    <comment ref="D11" authorId="2" shapeId="0" xr:uid="{1BE59145-22A2-4074-BDF6-C2FB4DB6CC31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>
      </text>
    </comment>
    <comment ref="D13" authorId="3" shapeId="0" xr:uid="{B45F9B41-B8DB-4C7F-A9A6-47B397D8816A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electricity = main_prod + by-prod
--&gt; to distinguish the different nature between the two flows, I need to separate them. Thanks to this, I can define different assumptions on them</t>
      </text>
    </comment>
    <comment ref="G16" authorId="4" shapeId="0" xr:uid="{052CDC5A-53C4-4A1C-A7A4-02DED377478D}">
      <text>
        <t>[Threaded comment]
Your version of Excel allows you to read this threaded comment; however, any edits to it will get removed if the file is opened in a newer version of Excel. Learn more: https://go.microsoft.com/fwlink/?linkid=870924
Comment:
    (5,6)</t>
      </text>
    </comment>
    <comment ref="AC16" authorId="5" shapeId="0" xr:uid="{32FF2F35-0289-4407-9D6F-AFD05387A17E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Industry-based 
--&gt; Market-share matrix (d)</t>
      </text>
    </comment>
    <comment ref="D19" authorId="6" shapeId="0" xr:uid="{3F7E5E09-F5BA-42AA-9489-90EF79D3FAD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reality, it works under product-based assumption (per unit of activity, it works with fixed carrier-ratios)
--&gt; for this reason, I need to separate electricity_CHP from electricity_other</t>
      </text>
    </comment>
    <comment ref="W26" authorId="7" shapeId="0" xr:uid="{7CCC46CF-1057-4212-AF08-E43237C0EF5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NOTE:
By changing the first guess, I could get a different solution!</t>
      </text>
    </comment>
    <comment ref="D29" authorId="8" shapeId="0" xr:uid="{234F9614-C0C2-414C-9940-875D65FC32A9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>
      </text>
    </comment>
    <comment ref="D31" authorId="9" shapeId="0" xr:uid="{8D869B35-4F78-4346-880E-E8017FBDC1C1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electricity = main_prod + by-prod
--&gt; to distinguish the different nature between the two flows, I need to separate them. Thanks to this, I can define different assumptions on them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tc={E8AA27AC-6BF4-4353-B329-1FFB824A5766}</author>
    <author>tc={B967F269-43ED-4C27-A19F-1AB32D270829}</author>
    <author>tc={4F21BC6B-08A0-491E-9048-6880A7C803C9}</author>
    <author>tc={9118A93E-EE42-4DEC-9C43-F132CDD957EE}</author>
    <author>tc={743637DD-ECF7-4AB1-ABA8-25A970F4F4D9}</author>
    <author>tc={163173D1-3F42-43DE-B7E9-A81A4921DAC4}</author>
    <author>tc={6C249F3A-14CF-4509-84FC-B138E53D3981}</author>
    <author>tc={D6685514-3955-44ED-95E9-471C08B06EE4}</author>
  </authors>
  <commentList>
    <comment ref="O8" authorId="0" shapeId="0" xr:uid="{E8AA27AC-6BF4-4353-B329-1FFB824A5766}">
      <text>
        <t>[Threaded comment]
Your version of Excel allows you to read this threaded comment; however, any edits to it will get removed if the file is opened in a newer version of Excel. Learn more: https://go.microsoft.com/fwlink/?linkid=870924
Comment:
    (6,5)</t>
      </text>
    </comment>
    <comment ref="AQ8" authorId="1" shapeId="0" xr:uid="{B967F269-43ED-4C27-A19F-1AB32D270829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product-based
--&gt; product-mix matrix (c’)</t>
      </text>
    </comment>
    <comment ref="D11" authorId="2" shapeId="0" xr:uid="{4F21BC6B-08A0-491E-9048-6880A7C80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>
      </text>
    </comment>
    <comment ref="D13" authorId="3" shapeId="0" xr:uid="{9118A93E-EE42-4DEC-9C43-F132CDD957EE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electricity = main_prod + by-prod
--&gt; to distinguish the different nature between the two flows, I need to separate them. Thanks to this, I can define different assumptions on them</t>
      </text>
    </comment>
    <comment ref="G16" authorId="4" shapeId="0" xr:uid="{743637DD-ECF7-4AB1-ABA8-25A970F4F4D9}">
      <text>
        <t>[Threaded comment]
Your version of Excel allows you to read this threaded comment; however, any edits to it will get removed if the file is opened in a newer version of Excel. Learn more: https://go.microsoft.com/fwlink/?linkid=870924
Comment:
    (5,6)</t>
      </text>
    </comment>
    <comment ref="AC16" authorId="5" shapeId="0" xr:uid="{163173D1-3F42-43DE-B7E9-A81A4921DAC4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Industry-based 
--&gt; Market-share matrix (d)</t>
      </text>
    </comment>
    <comment ref="D19" authorId="6" shapeId="0" xr:uid="{6C249F3A-14CF-4509-84FC-B138E53D3981}">
      <text>
        <t>[Threaded comment]
Your version of Excel allows you to read this threaded comment; however, any edits to it will get removed if the file is opened in a newer version of Excel. Learn more: https://go.microsoft.com/fwlink/?linkid=870924
Comment:
    In reality, it works under product-based assumption (per unit of activity, it works with fixed carrier-ratios)
--&gt; for this reason, I need to separate electricity_CHP from electricity_other</t>
      </text>
    </comment>
    <comment ref="W35" authorId="7" shapeId="0" xr:uid="{D6685514-3955-44ED-95E9-471C08B06EE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NOTE:
By changing the level of the final demand of products, I could get a different solution!
NOTE that this time, I don’t need a specific guess to get a feasible solution!  The system will adjust itself (there is flexibility now, there is no demand for EE by one source or another) to make it work.
Moreover, for a given set of demand, there could be more solutions! It depends on where the OF brings you!
Reply:
    For instance, if you change MIN/MAX, the OF should bring you to a different solution. If it does not happen, it’s due to the weakness of the Excel Solver (indeed, by changing the first guess for the decision variables, the solution changes!)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tc={B9B0EC03-DBAF-461C-ACB5-7D94923DEFF9}</author>
  </authors>
  <commentList>
    <comment ref="D142" authorId="0" shapeId="0" xr:uid="{B9B0EC03-DBAF-461C-ACB5-7D94923DEFF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way TIMES does it.
However, I disagree with this formulation: Remaining Years should be computed taking into account the “installation year” instead of the “investment year”!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<sst xmlns="http://schemas.openxmlformats.org/spreadsheetml/2006/main" count="947" uniqueCount="166">
  <si>
    <t>techs</t>
  </si>
  <si>
    <t>flows</t>
  </si>
  <si>
    <t>name</t>
  </si>
  <si>
    <t>unit</t>
  </si>
  <si>
    <t>fuel A</t>
  </si>
  <si>
    <t>feul B</t>
  </si>
  <si>
    <t>heat</t>
  </si>
  <si>
    <t>electricity</t>
  </si>
  <si>
    <t>electricity_PV</t>
  </si>
  <si>
    <t>electricity_CHP</t>
  </si>
  <si>
    <t>product A</t>
  </si>
  <si>
    <t>product B</t>
  </si>
  <si>
    <t>f.1</t>
  </si>
  <si>
    <t>f.2</t>
  </si>
  <si>
    <t>f.3</t>
  </si>
  <si>
    <t>f.4a</t>
  </si>
  <si>
    <t>f.4b</t>
  </si>
  <si>
    <t>f.5</t>
  </si>
  <si>
    <t>f.6</t>
  </si>
  <si>
    <t>Oil refinery</t>
  </si>
  <si>
    <t>Boiler</t>
  </si>
  <si>
    <t>CHP engine</t>
  </si>
  <si>
    <t>PV plant</t>
  </si>
  <si>
    <t>Industry</t>
  </si>
  <si>
    <t>t.1</t>
  </si>
  <si>
    <t>t.2</t>
  </si>
  <si>
    <t>t.3</t>
  </si>
  <si>
    <t>t.4</t>
  </si>
  <si>
    <t>t.5</t>
  </si>
  <si>
    <t>MWh</t>
  </si>
  <si>
    <t>ton</t>
  </si>
  <si>
    <t>V</t>
  </si>
  <si>
    <t>U</t>
  </si>
  <si>
    <t>d.1</t>
  </si>
  <si>
    <t>Y</t>
  </si>
  <si>
    <t>Q</t>
  </si>
  <si>
    <t>X</t>
  </si>
  <si>
    <t>assumption</t>
  </si>
  <si>
    <t>V_O&amp;M</t>
  </si>
  <si>
    <t>€</t>
  </si>
  <si>
    <t>R</t>
  </si>
  <si>
    <t>u = U*[diag(X)]^-1</t>
  </si>
  <si>
    <t>d = V*[diag(Q)]^-1</t>
  </si>
  <si>
    <t>r = R*[diag(X)]^-1</t>
  </si>
  <si>
    <r>
      <rPr>
        <sz val="11"/>
        <color theme="1"/>
        <rFont val="Times New Roman"/>
        <family val="1"/>
      </rPr>
      <t>∆</t>
    </r>
    <r>
      <rPr>
        <sz val="11"/>
        <color theme="1"/>
        <rFont val="Calibri"/>
        <family val="2"/>
      </rPr>
      <t>d</t>
    </r>
  </si>
  <si>
    <t>∆Y</t>
  </si>
  <si>
    <t>c = V'*[diag(X)]^-1</t>
  </si>
  <si>
    <t>Q*</t>
  </si>
  <si>
    <t>X*</t>
  </si>
  <si>
    <t>U*</t>
  </si>
  <si>
    <t>V*</t>
  </si>
  <si>
    <t>R*</t>
  </si>
  <si>
    <t>X_it* = d*Q_it</t>
  </si>
  <si>
    <t>Q_pi* = c*X_pt</t>
  </si>
  <si>
    <t>U*+Y+∆Y - Q* = 0</t>
  </si>
  <si>
    <t>V* - X* = 0</t>
  </si>
  <si>
    <t>Legend</t>
  </si>
  <si>
    <t>Decision Variables</t>
  </si>
  <si>
    <t>Objective Function</t>
  </si>
  <si>
    <t>Constraints</t>
  </si>
  <si>
    <t>R*_tot</t>
  </si>
  <si>
    <t>f.4</t>
  </si>
  <si>
    <t>I_eff (special identity)</t>
  </si>
  <si>
    <t>u_agg = I_eff(p-1,p) * u(p,t)</t>
  </si>
  <si>
    <t>U_agg*</t>
  </si>
  <si>
    <t>Q_agg*</t>
  </si>
  <si>
    <t>techs/sectors</t>
  </si>
  <si>
    <t>Fuel Refinery</t>
  </si>
  <si>
    <t>EE Supply</t>
  </si>
  <si>
    <t>Solar PV</t>
  </si>
  <si>
    <t>CCGT</t>
  </si>
  <si>
    <t>Import</t>
  </si>
  <si>
    <t>y.1</t>
  </si>
  <si>
    <t>y.2</t>
  </si>
  <si>
    <t>y.3</t>
  </si>
  <si>
    <t>y.4</t>
  </si>
  <si>
    <t>y.5</t>
  </si>
  <si>
    <t>F_O&amp;M</t>
  </si>
  <si>
    <t>CAPEX</t>
  </si>
  <si>
    <t>€/MW</t>
  </si>
  <si>
    <t>€/MW/y</t>
  </si>
  <si>
    <t>€/MWh</t>
  </si>
  <si>
    <t>Residual Cap</t>
  </si>
  <si>
    <t>MW</t>
  </si>
  <si>
    <t>Construction Time</t>
  </si>
  <si>
    <t>y</t>
  </si>
  <si>
    <t>Tech Lifetime</t>
  </si>
  <si>
    <t>toc</t>
  </si>
  <si>
    <t>lt</t>
  </si>
  <si>
    <t>Rcap</t>
  </si>
  <si>
    <t>Tot Max Cap</t>
  </si>
  <si>
    <t>Average CF</t>
  </si>
  <si>
    <t>-</t>
  </si>
  <si>
    <t>cf</t>
  </si>
  <si>
    <t>totcap</t>
  </si>
  <si>
    <t>u</t>
  </si>
  <si>
    <t>d</t>
  </si>
  <si>
    <t>I_eff</t>
  </si>
  <si>
    <t>c</t>
  </si>
  <si>
    <t>y.6</t>
  </si>
  <si>
    <t>y.7</t>
  </si>
  <si>
    <t>y.8</t>
  </si>
  <si>
    <t>y.9</t>
  </si>
  <si>
    <t>y.10</t>
  </si>
  <si>
    <t>time</t>
  </si>
  <si>
    <t>Q_yp = [c_pt * (X_yt)']'</t>
  </si>
  <si>
    <t>X_yt</t>
  </si>
  <si>
    <t>Xagg'</t>
  </si>
  <si>
    <t>OBJ</t>
  </si>
  <si>
    <t>(Q_py)' - u_pt*(X_yt)' - Y_py = 0</t>
  </si>
  <si>
    <t>New Capacity</t>
  </si>
  <si>
    <t>Refinery</t>
  </si>
  <si>
    <t>Real New Capacity</t>
  </si>
  <si>
    <t>c_new</t>
  </si>
  <si>
    <t>c_built = shift * c_new</t>
  </si>
  <si>
    <t>Operative Capacity</t>
  </si>
  <si>
    <t>Disposed Capacity</t>
  </si>
  <si>
    <t>c_dis = shift_dis * c_new</t>
  </si>
  <si>
    <t>Tril</t>
  </si>
  <si>
    <t>c_op = Rcap + Tril * c_built - c_dis</t>
  </si>
  <si>
    <t>Activity/Capacity Ratio</t>
  </si>
  <si>
    <t>prod/cap</t>
  </si>
  <si>
    <t>c_op - totcap &lt;= 0</t>
  </si>
  <si>
    <t>X_yt - (c_op*cf*prod_unit_cap) &lt;= 0</t>
  </si>
  <si>
    <t>Discount Rate</t>
  </si>
  <si>
    <t>OPEX_V_disc</t>
  </si>
  <si>
    <t>OPEX_F_disc</t>
  </si>
  <si>
    <t>CAPEX_disc</t>
  </si>
  <si>
    <t>disc</t>
  </si>
  <si>
    <t>Fuel Supply</t>
  </si>
  <si>
    <t>s.3-5</t>
  </si>
  <si>
    <t>dr</t>
  </si>
  <si>
    <t>ir</t>
  </si>
  <si>
    <t>Interest Rate</t>
  </si>
  <si>
    <t>Economic Lifetime</t>
  </si>
  <si>
    <t>lte</t>
  </si>
  <si>
    <t>OPEX</t>
  </si>
  <si>
    <t>CRF'_dr</t>
  </si>
  <si>
    <t>CRF'_ir</t>
  </si>
  <si>
    <t>applied for d-rate</t>
  </si>
  <si>
    <t>applied for i-rate</t>
  </si>
  <si>
    <t>Capital Recovery Factor:</t>
  </si>
  <si>
    <t>SumProd_disc</t>
  </si>
  <si>
    <t>Annuity</t>
  </si>
  <si>
    <t>€/y</t>
  </si>
  <si>
    <t>Remaining Years after EOH</t>
  </si>
  <si>
    <t>Yr = Y_inv + lt - EOH</t>
  </si>
  <si>
    <t>A = CRF'_ir * CAPEX</t>
  </si>
  <si>
    <t>Salvage Value Factor</t>
  </si>
  <si>
    <t>SVf</t>
  </si>
  <si>
    <t>Salvage Value @BOH</t>
  </si>
  <si>
    <t>SV</t>
  </si>
  <si>
    <t>%INV Costs removed by SV</t>
  </si>
  <si>
    <t>%</t>
  </si>
  <si>
    <t>%CAPEX_disc</t>
  </si>
  <si>
    <t>shift_toc (Solar-PV)</t>
  </si>
  <si>
    <t>shift (CCGT)</t>
  </si>
  <si>
    <t>shift_dis (CCGT)</t>
  </si>
  <si>
    <t>shift_dis (Solar-PV)</t>
  </si>
  <si>
    <t>shift (Import)</t>
  </si>
  <si>
    <t>shift_dis (Import)</t>
  </si>
  <si>
    <t>Base</t>
  </si>
  <si>
    <t>Improved</t>
  </si>
  <si>
    <t>Solar-PV</t>
  </si>
  <si>
    <t>Operative Capacity @EOH</t>
  </si>
  <si>
    <t>Production @EOH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</si>
</sst>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-* #,##0.0_-;\-* #,##0.0_-;_-* &quot;-&quot;?_-;_-@_-"/>
    <numFmt numFmtId="165" formatCode="_-* #,##0.0_-;\-* #,##0.0_-;_-* &quot;-&quot;??_-;_-@_-"/>
    <numFmt numFmtId="166" formatCode="_-* #,##0.000_-;\-* #,##0.000_-;_-* &quot;-&quot;??_-;_-@_-"/>
    <numFmt numFmtId="167" formatCode="_-* #,##0_-;\-* #,##0_-;_-* &quot;-&quot;??_-;_-@_-"/>
    <numFmt numFmtId="168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8">
    <xf numFmtId="0" fontId="0" fillId="0" borderId="0" xfId="0"/>
    <xf numFmtId="0" fontId="4" fillId="0" borderId="0" xfId="0" applyFont="1"/>
    <xf numFmtId="0" fontId="0" fillId="0" borderId="8" xfId="0" applyBorder="1"/>
    <xf numFmtId="43" fontId="0" fillId="0" borderId="0" xfId="1" applyFont="1"/>
    <xf numFmtId="43" fontId="0" fillId="0" borderId="8" xfId="1" applyFont="1" applyBorder="1"/>
    <xf numFmtId="41" fontId="0" fillId="0" borderId="0" xfId="1" applyNumberFormat="1" applyFont="1"/>
    <xf numFmtId="41" fontId="0" fillId="0" borderId="2" xfId="1" applyNumberFormat="1" applyFont="1" applyBorder="1"/>
    <xf numFmtId="41" fontId="0" fillId="0" borderId="3" xfId="1" applyNumberFormat="1" applyFont="1" applyBorder="1"/>
    <xf numFmtId="41" fontId="0" fillId="0" borderId="4" xfId="1" applyNumberFormat="1" applyFont="1" applyBorder="1"/>
    <xf numFmtId="41" fontId="0" fillId="0" borderId="10" xfId="1" applyNumberFormat="1" applyFont="1" applyBorder="1"/>
    <xf numFmtId="41" fontId="0" fillId="0" borderId="5" xfId="1" applyNumberFormat="1" applyFont="1" applyBorder="1"/>
    <xf numFmtId="41" fontId="0" fillId="0" borderId="0" xfId="1" applyNumberFormat="1" applyFont="1" applyBorder="1"/>
    <xf numFmtId="41" fontId="0" fillId="0" borderId="0" xfId="1" applyNumberFormat="1" applyFont="1" applyFill="1" applyBorder="1"/>
    <xf numFmtId="41" fontId="0" fillId="0" borderId="6" xfId="1" applyNumberFormat="1" applyFont="1" applyBorder="1"/>
    <xf numFmtId="41" fontId="0" fillId="0" borderId="11" xfId="1" applyNumberFormat="1" applyFont="1" applyBorder="1"/>
    <xf numFmtId="41" fontId="0" fillId="0" borderId="7" xfId="1" applyNumberFormat="1" applyFont="1" applyBorder="1"/>
    <xf numFmtId="41" fontId="0" fillId="0" borderId="8" xfId="1" applyNumberFormat="1" applyFont="1" applyBorder="1"/>
    <xf numFmtId="41" fontId="0" fillId="0" borderId="9" xfId="1" applyNumberFormat="1" applyFont="1" applyBorder="1"/>
    <xf numFmtId="41" fontId="0" fillId="0" borderId="12" xfId="1" applyNumberFormat="1" applyFont="1" applyBorder="1"/>
    <xf numFmtId="41" fontId="0" fillId="0" borderId="7" xfId="1" quotePrefix="1" applyNumberFormat="1" applyFont="1" applyBorder="1"/>
    <xf numFmtId="41" fontId="0" fillId="0" borderId="13" xfId="1" applyNumberFormat="1" applyFont="1" applyBorder="1"/>
    <xf numFmtId="41" fontId="0" fillId="0" borderId="14" xfId="1" applyNumberFormat="1" applyFont="1" applyBorder="1"/>
    <xf numFmtId="41" fontId="0" fillId="0" borderId="15" xfId="1" applyNumberFormat="1" applyFont="1" applyBorder="1"/>
    <xf numFmtId="164" fontId="0" fillId="0" borderId="0" xfId="1" applyNumberFormat="1" applyFont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0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0" fillId="0" borderId="13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0" fontId="6" fillId="0" borderId="0" xfId="0" applyFont="1"/>
    <xf numFmtId="0" fontId="0" fillId="2" borderId="0" xfId="0" applyFill="1"/>
    <xf numFmtId="41" fontId="0" fillId="2" borderId="2" xfId="1" applyNumberFormat="1" applyFont="1" applyFill="1" applyBorder="1"/>
    <xf numFmtId="41" fontId="0" fillId="2" borderId="3" xfId="1" applyNumberFormat="1" applyFont="1" applyFill="1" applyBorder="1"/>
    <xf numFmtId="41" fontId="0" fillId="3" borderId="8" xfId="1" applyNumberFormat="1" applyFont="1" applyFill="1" applyBorder="1"/>
    <xf numFmtId="41" fontId="0" fillId="3" borderId="9" xfId="1" applyNumberFormat="1" applyFont="1" applyFill="1" applyBorder="1"/>
    <xf numFmtId="0" fontId="0" fillId="3" borderId="0" xfId="0" applyFill="1"/>
    <xf numFmtId="164" fontId="0" fillId="3" borderId="0" xfId="1" applyNumberFormat="1" applyFont="1" applyFill="1"/>
    <xf numFmtId="43" fontId="0" fillId="2" borderId="0" xfId="1" applyFont="1" applyFill="1"/>
    <xf numFmtId="41" fontId="0" fillId="0" borderId="3" xfId="1" applyNumberFormat="1" applyFont="1" applyFill="1" applyBorder="1"/>
    <xf numFmtId="41" fontId="0" fillId="0" borderId="6" xfId="1" applyNumberFormat="1" applyFont="1" applyFill="1" applyBorder="1"/>
    <xf numFmtId="41" fontId="0" fillId="2" borderId="8" xfId="1" applyNumberFormat="1" applyFont="1" applyFill="1" applyBorder="1"/>
    <xf numFmtId="41" fontId="0" fillId="2" borderId="9" xfId="1" applyNumberFormat="1" applyFont="1" applyFill="1" applyBorder="1"/>
    <xf numFmtId="164" fontId="0" fillId="4" borderId="10" xfId="1" applyNumberFormat="1" applyFont="1" applyFill="1" applyBorder="1"/>
    <xf numFmtId="164" fontId="0" fillId="4" borderId="11" xfId="1" applyNumberFormat="1" applyFont="1" applyFill="1" applyBorder="1"/>
    <xf numFmtId="164" fontId="0" fillId="4" borderId="12" xfId="1" applyNumberFormat="1" applyFont="1" applyFill="1" applyBorder="1"/>
    <xf numFmtId="0" fontId="0" fillId="4" borderId="0" xfId="0" applyFill="1"/>
    <xf numFmtId="164" fontId="0" fillId="3" borderId="2" xfId="1" applyNumberFormat="1" applyFont="1" applyFill="1" applyBorder="1"/>
    <xf numFmtId="164" fontId="0" fillId="3" borderId="3" xfId="1" applyNumberFormat="1" applyFont="1" applyFill="1" applyBorder="1"/>
    <xf numFmtId="164" fontId="0" fillId="3" borderId="4" xfId="1" applyNumberFormat="1" applyFont="1" applyFill="1" applyBorder="1"/>
    <xf numFmtId="164" fontId="0" fillId="3" borderId="7" xfId="1" applyNumberFormat="1" applyFont="1" applyFill="1" applyBorder="1"/>
    <xf numFmtId="164" fontId="0" fillId="3" borderId="8" xfId="1" applyNumberFormat="1" applyFont="1" applyFill="1" applyBorder="1"/>
    <xf numFmtId="164" fontId="0" fillId="3" borderId="9" xfId="1" applyNumberFormat="1" applyFont="1" applyFill="1" applyBorder="1"/>
    <xf numFmtId="164" fontId="0" fillId="2" borderId="2" xfId="1" applyNumberFormat="1" applyFont="1" applyFill="1" applyBorder="1"/>
    <xf numFmtId="164" fontId="0" fillId="2" borderId="3" xfId="1" applyNumberFormat="1" applyFont="1" applyFill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164" fontId="0" fillId="2" borderId="0" xfId="1" applyNumberFormat="1" applyFont="1" applyFill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164" fontId="0" fillId="2" borderId="8" xfId="1" applyNumberFormat="1" applyFont="1" applyFill="1" applyBorder="1"/>
    <xf numFmtId="164" fontId="0" fillId="2" borderId="9" xfId="1" applyNumberFormat="1" applyFont="1" applyFill="1" applyBorder="1"/>
    <xf numFmtId="164" fontId="0" fillId="6" borderId="11" xfId="0" applyNumberFormat="1" applyFill="1" applyBorder="1"/>
    <xf numFmtId="164" fontId="0" fillId="7" borderId="11" xfId="0" applyNumberFormat="1" applyFill="1" applyBorder="1"/>
    <xf numFmtId="164" fontId="0" fillId="7" borderId="10" xfId="0" applyNumberFormat="1" applyFill="1" applyBorder="1"/>
    <xf numFmtId="164" fontId="0" fillId="7" borderId="12" xfId="0" applyNumberFormat="1" applyFill="1" applyBorder="1"/>
    <xf numFmtId="164" fontId="0" fillId="0" borderId="0" xfId="1" applyNumberFormat="1" applyFont="1" applyFill="1"/>
    <xf numFmtId="164" fontId="0" fillId="5" borderId="12" xfId="0" applyNumberFormat="1" applyFill="1" applyBorder="1"/>
    <xf numFmtId="0" fontId="0" fillId="5" borderId="0" xfId="0" applyFill="1"/>
    <xf numFmtId="0" fontId="0" fillId="7" borderId="0" xfId="0" applyFill="1"/>
    <xf numFmtId="0" fontId="0" fillId="0" borderId="11" xfId="0" applyBorder="1"/>
    <xf numFmtId="0" fontId="2" fillId="0" borderId="10" xfId="0" applyFont="1" applyBorder="1"/>
    <xf numFmtId="164" fontId="2" fillId="0" borderId="11" xfId="1" applyNumberFormat="1" applyFont="1" applyBorder="1"/>
    <xf numFmtId="164" fontId="2" fillId="0" borderId="12" xfId="1" applyNumberFormat="1" applyFont="1" applyBorder="1"/>
    <xf numFmtId="0" fontId="2" fillId="0" borderId="11" xfId="0" applyFont="1" applyBorder="1"/>
    <xf numFmtId="164" fontId="2" fillId="0" borderId="10" xfId="1" applyNumberFormat="1" applyFont="1" applyFill="1" applyBorder="1"/>
    <xf numFmtId="164" fontId="2" fillId="0" borderId="12" xfId="1" applyNumberFormat="1" applyFont="1" applyFill="1" applyBorder="1"/>
    <xf numFmtId="164" fontId="2" fillId="0" borderId="11" xfId="1" applyNumberFormat="1" applyFont="1" applyBorder="1" applyAlignment="1"/>
    <xf numFmtId="164" fontId="0" fillId="0" borderId="3" xfId="1" applyNumberFormat="1" applyFont="1" applyFill="1" applyBorder="1"/>
    <xf numFmtId="164" fontId="0" fillId="0" borderId="4" xfId="1" applyNumberFormat="1" applyFont="1" applyFill="1" applyBorder="1"/>
    <xf numFmtId="164" fontId="0" fillId="0" borderId="0" xfId="1" applyNumberFormat="1" applyFont="1" applyFill="1" applyBorder="1"/>
    <xf numFmtId="164" fontId="0" fillId="0" borderId="6" xfId="1" applyNumberFormat="1" applyFont="1" applyFill="1" applyBorder="1"/>
    <xf numFmtId="164" fontId="0" fillId="0" borderId="5" xfId="1" applyNumberFormat="1" applyFont="1" applyFill="1" applyBorder="1"/>
    <xf numFmtId="164" fontId="0" fillId="0" borderId="7" xfId="1" applyNumberFormat="1" applyFont="1" applyFill="1" applyBorder="1"/>
    <xf numFmtId="164" fontId="0" fillId="0" borderId="8" xfId="1" applyNumberFormat="1" applyFon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164" fontId="0" fillId="0" borderId="1" xfId="1" applyNumberFormat="1" applyFont="1" applyFill="1" applyBorder="1"/>
    <xf numFmtId="0" fontId="0" fillId="8" borderId="0" xfId="0" applyFill="1"/>
    <xf numFmtId="41" fontId="0" fillId="0" borderId="0" xfId="1" applyNumberFormat="1" applyFont="1" applyFill="1"/>
    <xf numFmtId="0" fontId="2" fillId="0" borderId="0" xfId="0" applyFont="1"/>
    <xf numFmtId="165" fontId="0" fillId="4" borderId="13" xfId="1" applyNumberFormat="1" applyFont="1" applyFill="1" applyBorder="1"/>
    <xf numFmtId="165" fontId="0" fillId="4" borderId="14" xfId="1" applyNumberFormat="1" applyFont="1" applyFill="1" applyBorder="1"/>
    <xf numFmtId="165" fontId="0" fillId="4" borderId="15" xfId="1" applyNumberFormat="1" applyFont="1" applyFill="1" applyBorder="1"/>
    <xf numFmtId="164" fontId="0" fillId="0" borderId="11" xfId="1" applyNumberFormat="1" applyFont="1" applyFill="1" applyBorder="1"/>
    <xf numFmtId="164" fontId="0" fillId="0" borderId="12" xfId="1" applyNumberFormat="1" applyFont="1" applyFill="1" applyBorder="1"/>
    <xf numFmtId="0" fontId="0" fillId="0" borderId="10" xfId="0" applyBorder="1"/>
    <xf numFmtId="164" fontId="1" fillId="0" borderId="11" xfId="1" applyNumberFormat="1" applyFont="1" applyBorder="1"/>
    <xf numFmtId="164" fontId="0" fillId="5" borderId="1" xfId="1" applyNumberFormat="1" applyFont="1" applyFill="1" applyBorder="1"/>
    <xf numFmtId="0" fontId="0" fillId="0" borderId="6" xfId="0" applyBorder="1"/>
    <xf numFmtId="165" fontId="2" fillId="0" borderId="13" xfId="1" applyNumberFormat="1" applyFont="1" applyBorder="1"/>
    <xf numFmtId="165" fontId="2" fillId="0" borderId="14" xfId="1" applyNumberFormat="1" applyFont="1" applyBorder="1"/>
    <xf numFmtId="165" fontId="2" fillId="0" borderId="15" xfId="1" applyNumberFormat="1" applyFont="1" applyBorder="1"/>
    <xf numFmtId="164" fontId="0" fillId="0" borderId="10" xfId="1" applyNumberFormat="1" applyFont="1" applyFill="1" applyBorder="1"/>
    <xf numFmtId="166" fontId="0" fillId="0" borderId="9" xfId="1" applyNumberFormat="1" applyFont="1" applyBorder="1"/>
    <xf numFmtId="43" fontId="0" fillId="0" borderId="2" xfId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5" xfId="1" applyFont="1" applyBorder="1"/>
    <xf numFmtId="43" fontId="0" fillId="0" borderId="0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9" xfId="1" applyFont="1" applyBorder="1"/>
    <xf numFmtId="165" fontId="0" fillId="0" borderId="0" xfId="1" applyNumberFormat="1" applyFont="1"/>
    <xf numFmtId="165" fontId="0" fillId="0" borderId="5" xfId="1" applyNumberFormat="1" applyFont="1" applyBorder="1"/>
    <xf numFmtId="165" fontId="0" fillId="0" borderId="0" xfId="1" applyNumberFormat="1" applyFont="1" applyBorder="1"/>
    <xf numFmtId="165" fontId="0" fillId="0" borderId="14" xfId="1" applyNumberFormat="1" applyFont="1" applyBorder="1"/>
    <xf numFmtId="167" fontId="0" fillId="0" borderId="0" xfId="1" applyNumberFormat="1" applyFont="1"/>
    <xf numFmtId="167" fontId="0" fillId="4" borderId="0" xfId="1" applyNumberFormat="1" applyFont="1" applyFill="1"/>
    <xf numFmtId="167" fontId="0" fillId="5" borderId="0" xfId="1" applyNumberFormat="1" applyFont="1" applyFill="1"/>
    <xf numFmtId="167" fontId="0" fillId="7" borderId="0" xfId="1" applyNumberFormat="1" applyFont="1" applyFill="1"/>
    <xf numFmtId="167" fontId="4" fillId="0" borderId="0" xfId="1" applyNumberFormat="1" applyFont="1"/>
    <xf numFmtId="167" fontId="0" fillId="0" borderId="2" xfId="1" applyNumberFormat="1" applyFont="1" applyBorder="1"/>
    <xf numFmtId="167" fontId="0" fillId="0" borderId="3" xfId="1" applyNumberFormat="1" applyFont="1" applyBorder="1"/>
    <xf numFmtId="167" fontId="0" fillId="0" borderId="4" xfId="1" applyNumberFormat="1" applyFont="1" applyBorder="1"/>
    <xf numFmtId="167" fontId="0" fillId="0" borderId="10" xfId="1" applyNumberFormat="1" applyFont="1" applyBorder="1"/>
    <xf numFmtId="167" fontId="0" fillId="0" borderId="5" xfId="1" applyNumberFormat="1" applyFont="1" applyBorder="1"/>
    <xf numFmtId="167" fontId="0" fillId="0" borderId="0" xfId="1" applyNumberFormat="1" applyFont="1" applyBorder="1"/>
    <xf numFmtId="167" fontId="0" fillId="0" borderId="6" xfId="1" applyNumberFormat="1" applyFont="1" applyBorder="1"/>
    <xf numFmtId="167" fontId="0" fillId="0" borderId="11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167" fontId="0" fillId="0" borderId="9" xfId="1" applyNumberFormat="1" applyFont="1" applyBorder="1"/>
    <xf numFmtId="167" fontId="0" fillId="0" borderId="12" xfId="1" applyNumberFormat="1" applyFont="1" applyBorder="1"/>
    <xf numFmtId="167" fontId="0" fillId="0" borderId="13" xfId="1" applyNumberFormat="1" applyFont="1" applyBorder="1"/>
    <xf numFmtId="167" fontId="0" fillId="0" borderId="14" xfId="1" applyNumberFormat="1" applyFont="1" applyBorder="1"/>
    <xf numFmtId="167" fontId="0" fillId="0" borderId="15" xfId="1" applyNumberFormat="1" applyFont="1" applyBorder="1"/>
    <xf numFmtId="167" fontId="0" fillId="4" borderId="2" xfId="1" applyNumberFormat="1" applyFont="1" applyFill="1" applyBorder="1"/>
    <xf numFmtId="167" fontId="0" fillId="4" borderId="3" xfId="1" applyNumberFormat="1" applyFont="1" applyFill="1" applyBorder="1"/>
    <xf numFmtId="167" fontId="0" fillId="4" borderId="4" xfId="1" applyNumberFormat="1" applyFont="1" applyFill="1" applyBorder="1"/>
    <xf numFmtId="167" fontId="0" fillId="4" borderId="5" xfId="1" applyNumberFormat="1" applyFont="1" applyFill="1" applyBorder="1"/>
    <xf numFmtId="167" fontId="0" fillId="4" borderId="0" xfId="1" applyNumberFormat="1" applyFont="1" applyFill="1" applyBorder="1"/>
    <xf numFmtId="167" fontId="0" fillId="4" borderId="6" xfId="1" applyNumberFormat="1" applyFont="1" applyFill="1" applyBorder="1"/>
    <xf numFmtId="167" fontId="0" fillId="4" borderId="7" xfId="1" applyNumberFormat="1" applyFont="1" applyFill="1" applyBorder="1"/>
    <xf numFmtId="167" fontId="0" fillId="4" borderId="8" xfId="1" applyNumberFormat="1" applyFont="1" applyFill="1" applyBorder="1"/>
    <xf numFmtId="167" fontId="0" fillId="4" borderId="9" xfId="1" applyNumberFormat="1" applyFont="1" applyFill="1" applyBorder="1"/>
    <xf numFmtId="167" fontId="0" fillId="0" borderId="2" xfId="1" applyNumberFormat="1" applyFont="1" applyFill="1" applyBorder="1"/>
    <xf numFmtId="167" fontId="0" fillId="0" borderId="3" xfId="1" applyNumberFormat="1" applyFont="1" applyFill="1" applyBorder="1"/>
    <xf numFmtId="167" fontId="0" fillId="0" borderId="4" xfId="1" applyNumberFormat="1" applyFont="1" applyFill="1" applyBorder="1"/>
    <xf numFmtId="167" fontId="0" fillId="0" borderId="5" xfId="1" applyNumberFormat="1" applyFont="1" applyFill="1" applyBorder="1"/>
    <xf numFmtId="167" fontId="0" fillId="0" borderId="0" xfId="1" applyNumberFormat="1" applyFont="1" applyFill="1" applyBorder="1"/>
    <xf numFmtId="167" fontId="0" fillId="0" borderId="6" xfId="1" applyNumberFormat="1" applyFont="1" applyFill="1" applyBorder="1"/>
    <xf numFmtId="167" fontId="0" fillId="0" borderId="7" xfId="1" applyNumberFormat="1" applyFont="1" applyFill="1" applyBorder="1"/>
    <xf numFmtId="167" fontId="0" fillId="0" borderId="8" xfId="1" applyNumberFormat="1" applyFont="1" applyFill="1" applyBorder="1"/>
    <xf numFmtId="167" fontId="0" fillId="0" borderId="9" xfId="1" applyNumberFormat="1" applyFont="1" applyFill="1" applyBorder="1"/>
    <xf numFmtId="165" fontId="0" fillId="0" borderId="2" xfId="1" applyNumberFormat="1" applyFont="1" applyFill="1" applyBorder="1"/>
    <xf numFmtId="165" fontId="0" fillId="0" borderId="3" xfId="1" applyNumberFormat="1" applyFont="1" applyFill="1" applyBorder="1"/>
    <xf numFmtId="165" fontId="0" fillId="0" borderId="4" xfId="1" applyNumberFormat="1" applyFont="1" applyFill="1" applyBorder="1"/>
    <xf numFmtId="165" fontId="0" fillId="0" borderId="5" xfId="1" applyNumberFormat="1" applyFont="1" applyFill="1" applyBorder="1"/>
    <xf numFmtId="165" fontId="0" fillId="0" borderId="0" xfId="1" applyNumberFormat="1" applyFont="1" applyFill="1" applyBorder="1"/>
    <xf numFmtId="165" fontId="0" fillId="0" borderId="6" xfId="1" applyNumberFormat="1" applyFont="1" applyFill="1" applyBorder="1"/>
    <xf numFmtId="165" fontId="0" fillId="0" borderId="7" xfId="1" applyNumberFormat="1" applyFont="1" applyFill="1" applyBorder="1"/>
    <xf numFmtId="165" fontId="0" fillId="0" borderId="8" xfId="1" applyNumberFormat="1" applyFont="1" applyFill="1" applyBorder="1"/>
    <xf numFmtId="165" fontId="0" fillId="0" borderId="9" xfId="1" applyNumberFormat="1" applyFont="1" applyFill="1" applyBorder="1"/>
    <xf numFmtId="167" fontId="0" fillId="9" borderId="2" xfId="1" applyNumberFormat="1" applyFont="1" applyFill="1" applyBorder="1"/>
    <xf numFmtId="167" fontId="0" fillId="9" borderId="3" xfId="1" applyNumberFormat="1" applyFont="1" applyFill="1" applyBorder="1"/>
    <xf numFmtId="167" fontId="0" fillId="9" borderId="4" xfId="1" applyNumberFormat="1" applyFont="1" applyFill="1" applyBorder="1"/>
    <xf numFmtId="167" fontId="0" fillId="9" borderId="7" xfId="1" applyNumberFormat="1" applyFont="1" applyFill="1" applyBorder="1"/>
    <xf numFmtId="167" fontId="0" fillId="9" borderId="8" xfId="1" applyNumberFormat="1" applyFont="1" applyFill="1" applyBorder="1"/>
    <xf numFmtId="167" fontId="0" fillId="9" borderId="9" xfId="1" applyNumberFormat="1" applyFont="1" applyFill="1" applyBorder="1"/>
    <xf numFmtId="167" fontId="0" fillId="10" borderId="2" xfId="1" applyNumberFormat="1" applyFont="1" applyFill="1" applyBorder="1"/>
    <xf numFmtId="167" fontId="0" fillId="10" borderId="3" xfId="1" applyNumberFormat="1" applyFont="1" applyFill="1" applyBorder="1"/>
    <xf numFmtId="167" fontId="0" fillId="10" borderId="4" xfId="1" applyNumberFormat="1" applyFont="1" applyFill="1" applyBorder="1"/>
    <xf numFmtId="167" fontId="0" fillId="10" borderId="5" xfId="1" applyNumberFormat="1" applyFont="1" applyFill="1" applyBorder="1"/>
    <xf numFmtId="167" fontId="0" fillId="10" borderId="0" xfId="1" applyNumberFormat="1" applyFont="1" applyFill="1" applyBorder="1"/>
    <xf numFmtId="167" fontId="0" fillId="10" borderId="6" xfId="1" applyNumberFormat="1" applyFont="1" applyFill="1" applyBorder="1"/>
    <xf numFmtId="167" fontId="0" fillId="10" borderId="7" xfId="1" applyNumberFormat="1" applyFont="1" applyFill="1" applyBorder="1"/>
    <xf numFmtId="167" fontId="0" fillId="10" borderId="8" xfId="1" applyNumberFormat="1" applyFont="1" applyFill="1" applyBorder="1"/>
    <xf numFmtId="167" fontId="0" fillId="11" borderId="2" xfId="1" applyNumberFormat="1" applyFont="1" applyFill="1" applyBorder="1"/>
    <xf numFmtId="167" fontId="0" fillId="11" borderId="3" xfId="1" applyNumberFormat="1" applyFont="1" applyFill="1" applyBorder="1"/>
    <xf numFmtId="167" fontId="0" fillId="11" borderId="4" xfId="1" applyNumberFormat="1" applyFont="1" applyFill="1" applyBorder="1"/>
    <xf numFmtId="167" fontId="0" fillId="11" borderId="5" xfId="1" applyNumberFormat="1" applyFont="1" applyFill="1" applyBorder="1"/>
    <xf numFmtId="167" fontId="0" fillId="11" borderId="0" xfId="1" applyNumberFormat="1" applyFont="1" applyFill="1" applyBorder="1"/>
    <xf numFmtId="167" fontId="0" fillId="11" borderId="6" xfId="1" applyNumberFormat="1" applyFont="1" applyFill="1" applyBorder="1"/>
    <xf numFmtId="167" fontId="0" fillId="11" borderId="7" xfId="1" applyNumberFormat="1" applyFont="1" applyFill="1" applyBorder="1"/>
    <xf numFmtId="167" fontId="0" fillId="11" borderId="8" xfId="1" applyNumberFormat="1" applyFont="1" applyFill="1" applyBorder="1"/>
    <xf numFmtId="167" fontId="0" fillId="11" borderId="9" xfId="1" applyNumberFormat="1" applyFont="1" applyFill="1" applyBorder="1"/>
    <xf numFmtId="165" fontId="0" fillId="4" borderId="2" xfId="1" applyNumberFormat="1" applyFont="1" applyFill="1" applyBorder="1"/>
    <xf numFmtId="165" fontId="0" fillId="4" borderId="3" xfId="1" applyNumberFormat="1" applyFont="1" applyFill="1" applyBorder="1"/>
    <xf numFmtId="165" fontId="0" fillId="4" borderId="4" xfId="1" applyNumberFormat="1" applyFont="1" applyFill="1" applyBorder="1"/>
    <xf numFmtId="165" fontId="0" fillId="4" borderId="5" xfId="1" applyNumberFormat="1" applyFont="1" applyFill="1" applyBorder="1"/>
    <xf numFmtId="165" fontId="0" fillId="4" borderId="0" xfId="1" applyNumberFormat="1" applyFont="1" applyFill="1" applyBorder="1"/>
    <xf numFmtId="165" fontId="0" fillId="4" borderId="6" xfId="1" applyNumberFormat="1" applyFont="1" applyFill="1" applyBorder="1"/>
    <xf numFmtId="165" fontId="0" fillId="4" borderId="7" xfId="1" applyNumberFormat="1" applyFont="1" applyFill="1" applyBorder="1"/>
    <xf numFmtId="165" fontId="0" fillId="4" borderId="8" xfId="1" applyNumberFormat="1" applyFont="1" applyFill="1" applyBorder="1"/>
    <xf numFmtId="165" fontId="0" fillId="4" borderId="9" xfId="1" applyNumberFormat="1" applyFont="1" applyFill="1" applyBorder="1"/>
    <xf numFmtId="167" fontId="2" fillId="0" borderId="0" xfId="1" applyNumberFormat="1" applyFont="1"/>
    <xf numFmtId="11" fontId="0" fillId="5" borderId="1" xfId="1" applyNumberFormat="1" applyFont="1" applyFill="1" applyBorder="1"/>
    <xf numFmtId="167" fontId="0" fillId="9" borderId="5" xfId="1" applyNumberFormat="1" applyFont="1" applyFill="1" applyBorder="1"/>
    <xf numFmtId="167" fontId="0" fillId="9" borderId="0" xfId="1" applyNumberFormat="1" applyFont="1" applyFill="1" applyBorder="1"/>
    <xf numFmtId="167" fontId="0" fillId="9" borderId="6" xfId="1" applyNumberFormat="1" applyFont="1" applyFill="1" applyBorder="1"/>
    <xf numFmtId="43" fontId="0" fillId="12" borderId="1" xfId="1" applyFont="1" applyFill="1" applyBorder="1"/>
    <xf numFmtId="43" fontId="0" fillId="12" borderId="13" xfId="1" applyFont="1" applyFill="1" applyBorder="1"/>
    <xf numFmtId="43" fontId="0" fillId="12" borderId="14" xfId="1" applyFont="1" applyFill="1" applyBorder="1"/>
    <xf numFmtId="43" fontId="0" fillId="12" borderId="15" xfId="1" applyFont="1" applyFill="1" applyBorder="1"/>
    <xf numFmtId="167" fontId="0" fillId="12" borderId="13" xfId="1" applyNumberFormat="1" applyFont="1" applyFill="1" applyBorder="1"/>
    <xf numFmtId="167" fontId="0" fillId="12" borderId="14" xfId="1" applyNumberFormat="1" applyFont="1" applyFill="1" applyBorder="1"/>
    <xf numFmtId="167" fontId="0" fillId="12" borderId="15" xfId="1" applyNumberFormat="1" applyFont="1" applyFill="1" applyBorder="1"/>
    <xf numFmtId="166" fontId="0" fillId="0" borderId="13" xfId="1" applyNumberFormat="1" applyFont="1" applyBorder="1"/>
    <xf numFmtId="166" fontId="0" fillId="0" borderId="14" xfId="1" applyNumberFormat="1" applyFont="1" applyBorder="1"/>
    <xf numFmtId="166" fontId="0" fillId="0" borderId="15" xfId="1" applyNumberFormat="1" applyFont="1" applyBorder="1"/>
    <xf numFmtId="166" fontId="0" fillId="0" borderId="0" xfId="1" applyNumberFormat="1" applyFont="1" applyBorder="1"/>
    <xf numFmtId="166" fontId="0" fillId="0" borderId="2" xfId="1" applyNumberFormat="1" applyFont="1" applyBorder="1"/>
    <xf numFmtId="166" fontId="0" fillId="0" borderId="3" xfId="1" applyNumberFormat="1" applyFont="1" applyBorder="1"/>
    <xf numFmtId="166" fontId="0" fillId="0" borderId="4" xfId="1" applyNumberFormat="1" applyFont="1" applyBorder="1"/>
    <xf numFmtId="166" fontId="0" fillId="0" borderId="5" xfId="1" applyNumberFormat="1" applyFont="1" applyBorder="1"/>
    <xf numFmtId="166" fontId="0" fillId="0" borderId="6" xfId="1" applyNumberFormat="1" applyFont="1" applyBorder="1"/>
    <xf numFmtId="166" fontId="0" fillId="0" borderId="7" xfId="1" applyNumberFormat="1" applyFont="1" applyBorder="1"/>
    <xf numFmtId="166" fontId="0" fillId="0" borderId="8" xfId="1" applyNumberFormat="1" applyFont="1" applyBorder="1"/>
    <xf numFmtId="168" fontId="0" fillId="0" borderId="0" xfId="1" applyNumberFormat="1" applyFont="1"/>
    <xf numFmtId="165" fontId="0" fillId="0" borderId="13" xfId="1" applyNumberFormat="1" applyFont="1" applyBorder="1"/>
    <xf numFmtId="165" fontId="0" fillId="0" borderId="15" xfId="1" applyNumberFormat="1" applyFont="1" applyBorder="1"/>
    <xf numFmtId="43" fontId="0" fillId="0" borderId="10" xfId="1" applyFont="1" applyBorder="1"/>
    <xf numFmtId="43" fontId="0" fillId="0" borderId="11" xfId="1" applyFont="1" applyBorder="1"/>
    <xf numFmtId="43" fontId="0" fillId="0" borderId="12" xfId="1" applyFont="1" applyBorder="1"/>
    <xf numFmtId="43" fontId="0" fillId="0" borderId="0" xfId="1" applyNumberFormat="1" applyFont="1"/>
    <xf numFmtId="43" fontId="0" fillId="0" borderId="2" xfId="1" applyNumberFormat="1" applyFont="1" applyBorder="1"/>
    <xf numFmtId="0" fontId="0" fillId="0" borderId="2" xfId="1" applyNumberFormat="1" applyFont="1" applyBorder="1"/>
    <xf numFmtId="167" fontId="0" fillId="0" borderId="0" xfId="1" applyNumberFormat="1" applyFont="1" applyAlignment="1">
      <alignment horizontal="right"/>
    </xf>
    <xf numFmtId="167" fontId="0" fillId="11" borderId="0" xfId="1" applyNumberFormat="1" applyFont="1" applyFill="1"/>
    <xf numFmtId="43" fontId="0" fillId="0" borderId="3" xfId="1" applyNumberFormat="1" applyFont="1" applyBorder="1"/>
    <xf numFmtId="43" fontId="0" fillId="0" borderId="4" xfId="1" applyNumberFormat="1" applyFont="1" applyBorder="1"/>
    <xf numFmtId="43" fontId="0" fillId="0" borderId="5" xfId="1" applyNumberFormat="1" applyFont="1" applyBorder="1"/>
    <xf numFmtId="43" fontId="0" fillId="0" borderId="0" xfId="1" applyNumberFormat="1" applyFont="1" applyBorder="1"/>
    <xf numFmtId="43" fontId="0" fillId="0" borderId="6" xfId="1" applyNumberFormat="1" applyFont="1" applyBorder="1"/>
    <xf numFmtId="43" fontId="0" fillId="0" borderId="7" xfId="1" applyNumberFormat="1" applyFont="1" applyBorder="1"/>
    <xf numFmtId="43" fontId="0" fillId="0" borderId="8" xfId="1" applyNumberFormat="1" applyFont="1" applyBorder="1"/>
    <xf numFmtId="43" fontId="0" fillId="0" borderId="9" xfId="1" applyNumberFormat="1" applyFont="1" applyBorder="1"/>
    <xf numFmtId="43" fontId="0" fillId="0" borderId="14" xfId="1" applyNumberFormat="1" applyFont="1" applyBorder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EE</a:t>
            </a:r>
            <a:r>
              <a:rPr lang="en-US" baseline="0"/>
              <a:t> Mix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'Multi-prod - Planning (base)'!$R$7</c:f>
              <c:strCache>
                <c:ptCount val="1"/>
                <c:pt idx="0">
                  <c:v> Solar PV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'Multi-prod - Planning (base)'!$R$25:$R$34</c:f>
              <c:numCache>
                <c:formatCode>_-* #,##0.0_-;\-* #,##0.0_-;_-* "-"??_-;_-@_-</c:formatCode>
                <c:ptCount val="10"/>
                <c:pt idx="0">
                  <c:v>37.5</c:v>
                </c:pt>
                <c:pt idx="1">
                  <c:v>36.25</c:v>
                </c:pt>
                <c:pt idx="2">
                  <c:v>35</c:v>
                </c:pt>
                <c:pt idx="3">
                  <c:v>33.75</c:v>
                </c:pt>
                <c:pt idx="4">
                  <c:v>32.5</c:v>
                </c:pt>
                <c:pt idx="5">
                  <c:v>31.25</c:v>
                </c:pt>
                <c:pt idx="6">
                  <c:v>30</c:v>
                </c:pt>
                <c:pt idx="7">
                  <c:v>28.75</c:v>
                </c:pt>
                <c:pt idx="8">
                  <c:v>27.5</c:v>
                </c:pt>
                <c:pt idx="9">
                  <c:v>26.25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E-4AA0-8924-AB79C825AD49}"/>
            </c:ext>
          </c:extLst>
        </c:ser>
        <c:ser>
          <c:idx val="1"/>
          <c:order val="1"/>
          <c:tx>
            <c:strRef>
              <c:f>'Multi-prod - Planning (base)'!$S$7</c:f>
              <c:strCache>
                <c:ptCount val="1"/>
                <c:pt idx="0">
                  <c:v> CCGT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'Multi-prod - Planning (base)'!$S$25:$S$34</c:f>
              <c:numCache>
                <c:formatCode>_-* #,##0.0_-;\-* #,##0.0_-;_-* "-"??_-;_-@_-</c:formatCode>
                <c:ptCount val="10"/>
                <c:pt idx="0">
                  <c:v>28</c:v>
                </c:pt>
                <c:pt idx="1">
                  <c:v>26</c:v>
                </c:pt>
                <c:pt idx="2">
                  <c:v>24</c:v>
                </c:pt>
                <c:pt idx="3">
                  <c:v>22</c:v>
                </c:pt>
                <c:pt idx="4">
                  <c:v>20</c:v>
                </c:pt>
                <c:pt idx="5">
                  <c:v>28.81</c:v>
                </c:pt>
                <c:pt idx="6">
                  <c:v>40.06</c:v>
                </c:pt>
                <c:pt idx="7">
                  <c:v>51.31</c:v>
                </c:pt>
                <c:pt idx="8">
                  <c:v>62.56</c:v>
                </c:pt>
                <c:pt idx="9">
                  <c:v>73.81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E-4AA0-8924-AB79C825AD49}"/>
            </c:ext>
          </c:extLst>
        </c:ser>
        <c:ser>
          <c:idx val="2"/>
          <c:order val="2"/>
          <c:tx>
            <c:strRef>
              <c:f>'Multi-prod - Planning (base)'!$T$7</c:f>
              <c:strCache>
                <c:ptCount val="1"/>
                <c:pt idx="0">
                  <c:v> Import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'Multi-prod - Planning (base)'!$T$25:$T$34</c:f>
              <c:numCache>
                <c:formatCode>_-* #,##0.0_-;\-* #,##0.0_-;_-* "-"??_-;_-@_-</c:formatCode>
                <c:ptCount val="10"/>
                <c:pt idx="0">
                  <c:v>4.5045045000000004</c:v>
                </c:pt>
                <c:pt idx="1">
                  <c:v>17.767768</c:v>
                </c:pt>
                <c:pt idx="2">
                  <c:v>31.031030999999999</c:v>
                </c:pt>
                <c:pt idx="3">
                  <c:v>44.294294000000001</c:v>
                </c:pt>
                <c:pt idx="4">
                  <c:v>57.557558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7E-4AA0-8924-AB79C825A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8273583"/>
        <c:axId val="1368277423"/>
      </c:barChart>
      <c:catAx>
        <c:axId val="1368273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77423"/>
        <c:crosses val="autoZero"/>
        <c:auto val="1"/>
        <c:lblAlgn val="ctr"/>
        <c:lblOffset val="100"/>
        <c:noMultiLvlLbl val="0"/>
      </c:catAx>
      <c:valAx>
        <c:axId val="136827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7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EE</a:t>
            </a:r>
            <a:r>
              <a:rPr lang="en-US" baseline="0"/>
              <a:t> Mix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'Multi-prod - Planning (new)'!$R$7</c:f>
              <c:strCache>
                <c:ptCount val="1"/>
                <c:pt idx="0">
                  <c:v> Solar PV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'Multi-prod - Planning (new)'!$R$25:$R$34</c:f>
              <c:numCache>
                <c:formatCode>_-* #,##0.0_-;\-* #,##0.0_-;_-* "-"??_-;_-@_-</c:formatCode>
                <c:ptCount val="10"/>
                <c:pt idx="0">
                  <c:v>37.5</c:v>
                </c:pt>
                <c:pt idx="1">
                  <c:v>36.25</c:v>
                </c:pt>
                <c:pt idx="2">
                  <c:v>35</c:v>
                </c:pt>
                <c:pt idx="3">
                  <c:v>33.75</c:v>
                </c:pt>
                <c:pt idx="4">
                  <c:v>32.5</c:v>
                </c:pt>
                <c:pt idx="5">
                  <c:v>31.25</c:v>
                </c:pt>
                <c:pt idx="6">
                  <c:v>30</c:v>
                </c:pt>
                <c:pt idx="7">
                  <c:v>28.75</c:v>
                </c:pt>
                <c:pt idx="8">
                  <c:v>40.75</c:v>
                </c:pt>
                <c:pt idx="9">
                  <c:v>52.75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E-4512-8370-FA388CD65929}"/>
            </c:ext>
          </c:extLst>
        </c:ser>
        <c:ser>
          <c:idx val="1"/>
          <c:order val="1"/>
          <c:tx>
            <c:strRef>
              <c:f>'Multi-prod - Planning (new)'!$S$7</c:f>
              <c:strCache>
                <c:ptCount val="1"/>
                <c:pt idx="0">
                  <c:v> CCGT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'Multi-prod - Planning (new)'!$S$25:$S$34</c:f>
              <c:numCache>
                <c:formatCode>_-* #,##0.0_-;\-* #,##0.0_-;_-* "-"??_-;_-@_-</c:formatCode>
                <c:ptCount val="10"/>
                <c:pt idx="0">
                  <c:v>28</c:v>
                </c:pt>
                <c:pt idx="1">
                  <c:v>26</c:v>
                </c:pt>
                <c:pt idx="2">
                  <c:v>24</c:v>
                </c:pt>
                <c:pt idx="3">
                  <c:v>22</c:v>
                </c:pt>
                <c:pt idx="4">
                  <c:v>20</c:v>
                </c:pt>
                <c:pt idx="5">
                  <c:v>28.81</c:v>
                </c:pt>
                <c:pt idx="6">
                  <c:v>40.06</c:v>
                </c:pt>
                <c:pt idx="7">
                  <c:v>51.31</c:v>
                </c:pt>
                <c:pt idx="8">
                  <c:v>49.31</c:v>
                </c:pt>
                <c:pt idx="9">
                  <c:v>47.31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DE-4512-8370-FA388CD65929}"/>
            </c:ext>
          </c:extLst>
        </c:ser>
        <c:ser>
          <c:idx val="2"/>
          <c:order val="2"/>
          <c:tx>
            <c:strRef>
              <c:f>'Multi-prod - Planning (new)'!$T$7</c:f>
              <c:strCache>
                <c:ptCount val="1"/>
                <c:pt idx="0">
                  <c:v> Import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'Multi-prod - Planning (new)'!$T$25:$T$34</c:f>
              <c:numCache>
                <c:formatCode>_-* #,##0.0_-;\-* #,##0.0_-;_-* "-"??_-;_-@_-</c:formatCode>
                <c:ptCount val="10"/>
                <c:pt idx="0">
                  <c:v>4.5045045000000004</c:v>
                </c:pt>
                <c:pt idx="1">
                  <c:v>17.767768</c:v>
                </c:pt>
                <c:pt idx="2">
                  <c:v>31.031030999999999</c:v>
                </c:pt>
                <c:pt idx="3">
                  <c:v>44.294294000000001</c:v>
                </c:pt>
                <c:pt idx="4">
                  <c:v>57.557558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DE-4512-8370-FA388CD65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8273583"/>
        <c:axId val="1368277423"/>
      </c:barChart>
      <c:catAx>
        <c:axId val="1368273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77423"/>
        <c:crosses val="autoZero"/>
        <c:auto val="1"/>
        <c:lblAlgn val="ctr"/>
        <c:lblOffset val="100"/>
        <c:noMultiLvlLbl val="0"/>
      </c:catAx>
      <c:valAx>
        <c:axId val="136827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7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Operative</a:t>
            </a:r>
            <a:r>
              <a:rPr lang="en-US" baseline="0"/>
              <a:t> Installed Capacity @EOH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6828175981108"/>
          <c:y val="0.18690358245572791"/>
          <c:w val="0.81927547876391227"/>
          <c:h val="0.561157246482581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'Results Comparison'!$C$5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Comparison'!$B$6:$B$8</c:f>
              <c:strCache>
                <c:ptCount val="3"/>
                <c:pt idx="0">
                  <c:v>Solar-PV</c:v>
                </c:pt>
                <c:pt idx="1">
                  <c:v>CCGT</c:v>
                </c:pt>
                <c:pt idx="2">
                  <c:v>Import</c:v>
                </c:pt>
              </c:strCache>
            </c:strRef>
          </c:cat>
          <c:val>
            <c:numRef>
              <c:f>'Results Comparison'!$C$6:$C$8</c:f>
              <c:numCache>
                <c:formatCode>0.00</c:formatCode>
                <c:ptCount val="3"/>
                <c:pt idx="0">
                  <c:v>105</c:v>
                </c:pt>
                <c:pt idx="1">
                  <c:v>184.52500000000001</c:v>
                </c:pt>
                <c:pt idx="2">
                  <c:v>59.999999400000007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E-4E21-B91D-476DF9161F2C}"/>
            </c:ext>
          </c:extLst>
        </c:ser>
        <c:ser>
          <c:idx val="1"/>
          <c:order val="1"/>
          <c:tx>
            <c:strRef>
              <c:f>'Results Comparison'!$D$5</c:f>
              <c:strCache>
                <c:ptCount val="1"/>
                <c:pt idx="0">
                  <c:v>Improved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'Results Comparison'!$B$6:$B$8</c:f>
              <c:strCache>
                <c:ptCount val="3"/>
                <c:pt idx="0">
                  <c:v>Solar-PV</c:v>
                </c:pt>
                <c:pt idx="1">
                  <c:v>CCGT</c:v>
                </c:pt>
                <c:pt idx="2">
                  <c:v>Import</c:v>
                </c:pt>
              </c:strCache>
            </c:strRef>
          </c:cat>
          <c:val>
            <c:numRef>
              <c:f>'Results Comparison'!$D$6:$D$8</c:f>
              <c:numCache>
                <c:formatCode>0.00</c:formatCode>
                <c:ptCount val="3"/>
                <c:pt idx="0">
                  <c:v>211</c:v>
                </c:pt>
                <c:pt idx="1">
                  <c:v>118.27500000000001</c:v>
                </c:pt>
                <c:pt idx="2">
                  <c:v>59.999999400000007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E-4E21-B91D-476DF9161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35231"/>
        <c:axId val="135231871"/>
      </c:barChart>
      <c:catAx>
        <c:axId val="13523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31871"/>
        <c:crosses val="autoZero"/>
        <c:auto val="1"/>
        <c:lblAlgn val="ctr"/>
        <c:lblOffset val="100"/>
        <c:noMultiLvlLbl val="0"/>
      </c:catAx>
      <c:valAx>
        <c:axId val="1352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3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Activity by Tech @EOH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 Comparison'!$C$11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Comparison'!$B$12:$B$14</c:f>
              <c:strCache>
                <c:ptCount val="3"/>
                <c:pt idx="0">
                  <c:v>Solar-PV</c:v>
                </c:pt>
                <c:pt idx="1">
                  <c:v>CCGT</c:v>
                </c:pt>
                <c:pt idx="2">
                  <c:v>Import</c:v>
                </c:pt>
              </c:strCache>
            </c:strRef>
          </c:cat>
          <c:val>
            <c:numRef>
              <c:f>'Results Comparison'!$C$12:$C$14</c:f>
              <c:numCache>
                <c:formatCode>0.00</c:formatCode>
                <c:ptCount val="3"/>
                <c:pt idx="0">
                  <c:v>26.25</c:v>
                </c:pt>
                <c:pt idx="1">
                  <c:v>73.81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0-4431-9155-D084D3B7BDD6}"/>
            </c:ext>
          </c:extLst>
        </c:ser>
        <c:ser>
          <c:idx val="1"/>
          <c:order val="1"/>
          <c:tx>
            <c:strRef>
              <c:f>'Results Comparison'!$D$11</c:f>
              <c:strCache>
                <c:ptCount val="1"/>
                <c:pt idx="0">
                  <c:v>Improved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'Results Comparison'!$B$12:$B$14</c:f>
              <c:strCache>
                <c:ptCount val="3"/>
                <c:pt idx="0">
                  <c:v>Solar-PV</c:v>
                </c:pt>
                <c:pt idx="1">
                  <c:v>CCGT</c:v>
                </c:pt>
                <c:pt idx="2">
                  <c:v>Import</c:v>
                </c:pt>
              </c:strCache>
            </c:strRef>
          </c:cat>
          <c:val>
            <c:numRef>
              <c:f>'Results Comparison'!$D$12:$D$14</c:f>
              <c:numCache>
                <c:formatCode>0.00</c:formatCode>
                <c:ptCount val="3"/>
                <c:pt idx="0">
                  <c:v>52.75</c:v>
                </c:pt>
                <c:pt idx="1">
                  <c:v>47.31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80-4431-9155-D084D3B7B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35231"/>
        <c:axId val="135231871"/>
      </c:barChart>
      <c:catAx>
        <c:axId val="13523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31871"/>
        <c:crosses val="autoZero"/>
        <c:auto val="1"/>
        <c:lblAlgn val="ctr"/>
        <c:lblOffset val="100"/>
        <c:noMultiLvlLbl val="0"/>
      </c:catAx>
      <c:valAx>
        <c:axId val="1352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3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373111</xdr:colOff>
      <xdr:row>25</xdr:row>
      <xdr:rowOff>79758</xdr:rowOff>
    </xdr:from>
    <xdr:to>
      <xdr:col>51</xdr:col>
      <xdr:colOff>45592</xdr:colOff>
      <xdr:row>41</xdr:row>
      <xdr:rowOff>2028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629E8F-20BF-4906-AF2B-1A0D91B10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6996" y="4659085"/>
          <a:ext cx="7578231" cy="2853039"/>
        </a:xfrm>
        <a:prstGeom prst="rect">
          <a:avLst/>
        </a:prstGeom>
      </xdr:spPr>
    </xdr:pic>
    <xdr:clientData/>
  </xdr:twoCellAnchor>
  <xdr:twoCellAnchor>
    <xdr:from>
      <xdr:col>36</xdr:col>
      <xdr:colOff>106765</xdr:colOff>
      <xdr:row>43</xdr:row>
      <xdr:rowOff>153866</xdr:rowOff>
    </xdr:from>
    <xdr:to>
      <xdr:col>50</xdr:col>
      <xdr:colOff>377114</xdr:colOff>
      <xdr:row>57</xdr:row>
      <xdr:rowOff>153866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2B85ED-24F2-4FA5-8805-D788B2DC6299}"/>
            </a:ext>
          </a:extLst>
        </xdr:cNvPr>
        <xdr:cNvSpPr txBox="1"/>
      </xdr:nvSpPr>
      <xdr:spPr>
        <a:xfrm>
          <a:off x="16848784" y="8030308"/>
          <a:ext cx="6959830" cy="25644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 b="1"/>
            <a:t>General co-product management in</a:t>
          </a:r>
          <a:r>
            <a:rPr lang="it-IT" sz="1000" b="1" baseline="0"/>
            <a:t> a supply-use</a:t>
          </a:r>
          <a:r>
            <a:rPr lang="it-IT" sz="1000" b="1"/>
            <a:t> system with mixed recruitment</a:t>
          </a:r>
        </a:p>
        <a:p>
          <a:endParaRPr lang="it-IT" sz="1000" b="1"/>
        </a:p>
        <a:p>
          <a:r>
            <a:rPr lang="it-IT" sz="1000" b="0"/>
            <a:t>The</a:t>
          </a:r>
          <a:r>
            <a:rPr lang="it-IT" sz="1000" b="0" baseline="0"/>
            <a:t> model shows how to handle different types of technologies supplying one or multiple products.</a:t>
          </a:r>
        </a:p>
        <a:p>
          <a:endParaRPr lang="it-IT" sz="1000" b="0" baseline="0"/>
        </a:p>
        <a:p>
          <a:r>
            <a:rPr lang="it-IT" sz="1000" b="1" baseline="0"/>
            <a:t>Single-product technologies </a:t>
          </a:r>
          <a:r>
            <a:rPr lang="it-IT" sz="1000" b="0" baseline="0"/>
            <a:t>provide one unique useful product (e.g. the </a:t>
          </a:r>
          <a:r>
            <a:rPr lang="it-IT" sz="1000" b="0" i="1" baseline="0"/>
            <a:t>boiler</a:t>
          </a:r>
          <a:r>
            <a:rPr lang="it-IT" sz="1000" b="0" baseline="0"/>
            <a:t> in this example)</a:t>
          </a:r>
        </a:p>
        <a:p>
          <a:r>
            <a:rPr lang="it-IT" sz="1000" b="1" baseline="0"/>
            <a:t>Multi-product technoliges </a:t>
          </a:r>
          <a:r>
            <a:rPr lang="it-IT" sz="1000" b="0" baseline="0"/>
            <a:t>provide multiple useful products: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a primary product as the main output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secondary products, which may be independent on the primary (</a:t>
          </a:r>
          <a:r>
            <a:rPr lang="it-IT" sz="1000" b="1" baseline="0"/>
            <a:t>subisidary products</a:t>
          </a:r>
          <a:r>
            <a:rPr lang="it-IT" sz="1000" b="0" baseline="0"/>
            <a:t>, e.g. </a:t>
          </a:r>
          <a:r>
            <a:rPr lang="it-IT" sz="1000" b="0" i="1" baseline="0"/>
            <a:t>industry </a:t>
          </a:r>
          <a:r>
            <a:rPr lang="it-IT" sz="1000" b="0" i="0" baseline="0"/>
            <a:t>supplying </a:t>
          </a:r>
          <a:r>
            <a:rPr lang="it-IT" sz="1000" b="0" i="1" baseline="0"/>
            <a:t>product A </a:t>
          </a:r>
          <a:r>
            <a:rPr lang="it-IT" sz="1000" b="0" i="0" baseline="0"/>
            <a:t>and </a:t>
          </a:r>
          <a:r>
            <a:rPr lang="it-IT" sz="1000" b="0" i="1" baseline="0"/>
            <a:t>product B</a:t>
          </a:r>
          <a:r>
            <a:rPr lang="it-IT" sz="1000" b="0" baseline="0"/>
            <a:t>)</a:t>
          </a:r>
          <a:r>
            <a:rPr lang="it-IT" sz="1000" b="0" i="1" baseline="0"/>
            <a:t> </a:t>
          </a:r>
          <a:r>
            <a:rPr lang="it-IT" sz="1000" b="0" i="0" baseline="0"/>
            <a:t>or dependent on the primary product. These may be classified as: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by-products</a:t>
          </a:r>
          <a:r>
            <a:rPr lang="it-IT" sz="1000" b="0" i="0" baseline="0"/>
            <a:t>, in case another technology produces them as primary (</a:t>
          </a:r>
          <a:r>
            <a:rPr lang="it-IT" sz="1000" b="0" i="1" baseline="0"/>
            <a:t>electricity</a:t>
          </a:r>
          <a:r>
            <a:rPr lang="it-IT" sz="1000" b="0" i="0" baseline="0"/>
            <a:t> for the </a:t>
          </a:r>
          <a:r>
            <a:rPr lang="it-IT" sz="1000" b="0" i="1" baseline="0"/>
            <a:t>chp engine</a:t>
          </a:r>
          <a:r>
            <a:rPr lang="it-IT" sz="1000" b="0" i="0" baseline="0"/>
            <a:t>, since </a:t>
          </a:r>
          <a:r>
            <a:rPr lang="it-IT" sz="1000" b="0" i="1" baseline="0"/>
            <a:t>electricity</a:t>
          </a:r>
          <a:r>
            <a:rPr lang="it-IT" sz="1000" b="0" i="0" baseline="0"/>
            <a:t> is supplied as primary by the </a:t>
          </a:r>
          <a:r>
            <a:rPr lang="it-IT" sz="1000" b="0" i="1" baseline="0"/>
            <a:t>pv plant</a:t>
          </a:r>
          <a:r>
            <a:rPr lang="it-IT" sz="1000" b="0" i="0" baseline="0"/>
            <a:t>)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joint-products</a:t>
          </a:r>
          <a:r>
            <a:rPr lang="it-IT" sz="1000" b="0" i="0" baseline="0"/>
            <a:t>, in case they are not the primary product of any other technology (e.g. </a:t>
          </a:r>
          <a:r>
            <a:rPr lang="it-IT" sz="1000" b="0" i="1" baseline="0"/>
            <a:t>fuel A </a:t>
          </a:r>
          <a:r>
            <a:rPr lang="it-IT" sz="1000" b="0" i="0" baseline="0"/>
            <a:t>and </a:t>
          </a:r>
          <a:r>
            <a:rPr lang="it-IT" sz="1000" b="0" i="1" baseline="0"/>
            <a:t>fuel B</a:t>
          </a:r>
          <a:r>
            <a:rPr lang="it-IT" sz="1000" b="0" i="0" baseline="0"/>
            <a:t> are supplied only by </a:t>
          </a:r>
          <a:r>
            <a:rPr lang="it-IT" sz="1000" b="0" i="1" baseline="0"/>
            <a:t>oil refinery</a:t>
          </a:r>
          <a:r>
            <a:rPr lang="it-IT" sz="1000" b="0" i="0" baseline="0"/>
            <a:t>). </a:t>
          </a:r>
        </a:p>
        <a:p>
          <a:pPr marL="0" indent="0">
            <a:buFont typeface="Wingdings" panose="05000000000000000000" pitchFamily="2" charset="2"/>
            <a:buNone/>
          </a:pPr>
          <a:endParaRPr lang="it-IT" sz="1000" b="1" i="1" baseline="0"/>
        </a:p>
        <a:p>
          <a:pPr marL="0" indent="0">
            <a:buFont typeface="Wingdings" panose="05000000000000000000" pitchFamily="2" charset="2"/>
            <a:buNone/>
          </a:pPr>
          <a:r>
            <a:rPr lang="it-IT" sz="1000" b="0" i="0" baseline="0"/>
            <a:t>Starting from a supply-use table it is possible to arrange a model allowing to account for </a:t>
          </a:r>
          <a:r>
            <a:rPr lang="it-IT" sz="1000" b="1" i="0" baseline="0"/>
            <a:t>hybrid technology assumptions</a:t>
          </a:r>
          <a:r>
            <a:rPr lang="it-IT" sz="1000" b="0" i="0" baseline="0"/>
            <a:t>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Industry-based technology assumption (it)</a:t>
          </a:r>
          <a:r>
            <a:rPr lang="it-IT" sz="1000" b="0" i="0" baseline="0"/>
            <a:t>: each product is produced by technologies with fixed shares. </a:t>
          </a:r>
          <a:r>
            <a:rPr lang="it-IT" sz="1000" b="0" i="0" u="none" baseline="0"/>
            <a:t>Every time a product is delivered for intermediate or final use, technologies are activated in proportion with values in columns of market share matrix 𝐝 (e.g. </a:t>
          </a:r>
          <a:r>
            <a:rPr lang="it-IT" sz="1000" b="0" i="1" u="none" baseline="0"/>
            <a:t>industry</a:t>
          </a:r>
          <a:r>
            <a:rPr lang="it-IT" sz="1000" b="0" i="0" u="none" baseline="0"/>
            <a:t>).  </a:t>
          </a:r>
          <a:endParaRPr lang="it-IT" sz="1000" b="0" i="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Product-based technology assumption (pt)</a:t>
          </a:r>
          <a:r>
            <a:rPr lang="it-IT" sz="1000" b="0" i="0" baseline="0"/>
            <a:t>: every technology supplies a fixed mix of products. Every time a tecnology is activated, it produces a mix of products with a sharte in columns of the product mix matrix </a:t>
          </a:r>
          <a:r>
            <a:rPr lang="it-IT" sz="1000" b="1" i="0" baseline="0"/>
            <a:t>c </a:t>
          </a:r>
          <a:r>
            <a:rPr lang="it-IT" sz="1000" b="0" i="0" baseline="0"/>
            <a:t>(i.e the </a:t>
          </a:r>
          <a:r>
            <a:rPr lang="it-IT" sz="1000" b="0" i="1" baseline="0"/>
            <a:t>oil refinery </a:t>
          </a:r>
          <a:r>
            <a:rPr lang="it-IT" sz="1000" b="0" i="0" baseline="0"/>
            <a:t>and </a:t>
          </a:r>
          <a:r>
            <a:rPr lang="it-IT" sz="1000" b="0" i="1" baseline="0"/>
            <a:t>chp engine</a:t>
          </a:r>
          <a:r>
            <a:rPr lang="it-IT" sz="1000" b="0" i="0" baseline="0"/>
            <a:t>). </a:t>
          </a:r>
        </a:p>
        <a:p>
          <a:pPr marL="0" indent="0">
            <a:buFont typeface="Arial" panose="020B0604020202020204" pitchFamily="34" charset="0"/>
            <a:buNone/>
          </a:pPr>
          <a:r>
            <a:rPr lang="it-IT" sz="1000" b="1" i="0" baseline="0"/>
            <a:t>Single-product technologies </a:t>
          </a:r>
          <a:r>
            <a:rPr lang="it-IT" sz="1000" b="0" i="0" baseline="0"/>
            <a:t>can be alternatively represented under any of these assumptions.</a:t>
          </a:r>
          <a:endParaRPr lang="it-IT" sz="1000" b="1" i="0" baseline="0"/>
        </a:p>
        <a:p>
          <a:endParaRPr lang="it-IT" sz="1000" b="0" i="1" baseline="0"/>
        </a:p>
        <a:p>
          <a:endParaRPr lang="it-IT" sz="1000" b="1" baseline="0"/>
        </a:p>
      </xdr:txBody>
    </xdr:sp>
    <xdr:clientData/>
  </xdr:twoCellAnchor>
  <xdr:twoCellAnchor>
    <xdr:from>
      <xdr:col>5</xdr:col>
      <xdr:colOff>309630</xdr:colOff>
      <xdr:row>8</xdr:row>
      <xdr:rowOff>77719</xdr:rowOff>
    </xdr:from>
    <xdr:to>
      <xdr:col>12</xdr:col>
      <xdr:colOff>5107</xdr:colOff>
      <xdr:row>13</xdr:row>
      <xdr:rowOff>160545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4C3441-F673-9EEE-781D-3166306BEA62}"/>
            </a:ext>
          </a:extLst>
        </xdr:cNvPr>
        <xdr:cNvSpPr txBox="1"/>
      </xdr:nvSpPr>
      <xdr:spPr>
        <a:xfrm>
          <a:off x="3225108" y="1171023"/>
          <a:ext cx="2221673" cy="99391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Product-based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joint</a:t>
          </a:r>
          <a:r>
            <a:rPr lang="en-US" sz="800" baseline="0"/>
            <a:t>- and by-products are linked to the production of the main product. Therfore, a product-based assumption is preferred.</a:t>
          </a:r>
        </a:p>
        <a:p>
          <a:endParaRPr lang="en-US" sz="800" baseline="0"/>
        </a:p>
        <a:p>
          <a:r>
            <a:rPr lang="en-US" sz="800" baseline="0"/>
            <a:t>By doing that, any time I activate that tech, it will produce with a given product-mix!</a:t>
          </a:r>
          <a:endParaRPr lang="en-US" sz="800"/>
        </a:p>
      </xdr:txBody>
    </xdr:sp>
    <xdr:clientData/>
  </xdr:twoCellAnchor>
  <xdr:twoCellAnchor>
    <xdr:from>
      <xdr:col>13</xdr:col>
      <xdr:colOff>240195</xdr:colOff>
      <xdr:row>15</xdr:row>
      <xdr:rowOff>91110</xdr:rowOff>
    </xdr:from>
    <xdr:to>
      <xdr:col>22</xdr:col>
      <xdr:colOff>109607</xdr:colOff>
      <xdr:row>20</xdr:row>
      <xdr:rowOff>180286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880E6E-491D-47A4-86EC-02256A84BD60}"/>
            </a:ext>
          </a:extLst>
        </xdr:cNvPr>
        <xdr:cNvSpPr txBox="1"/>
      </xdr:nvSpPr>
      <xdr:spPr>
        <a:xfrm>
          <a:off x="5913782" y="2459936"/>
          <a:ext cx="2221673" cy="100026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Industry-based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Subsidary products</a:t>
          </a:r>
          <a:r>
            <a:rPr lang="en-US" sz="800" baseline="0"/>
            <a:t> are independent! It implies that once a tech is activated, any co-product can be released without fixed shares!  By contrary, in case the same product is delivered by other tech, each tech will be activated to keep the same technology-mix (i.e. market-share).</a:t>
          </a:r>
        </a:p>
      </xdr:txBody>
    </xdr:sp>
    <xdr:clientData/>
  </xdr:twoCellAnchor>
  <xdr:twoCellAnchor>
    <xdr:from>
      <xdr:col>16</xdr:col>
      <xdr:colOff>247252</xdr:colOff>
      <xdr:row>41</xdr:row>
      <xdr:rowOff>155179</xdr:rowOff>
    </xdr:from>
    <xdr:to>
      <xdr:col>33</xdr:col>
      <xdr:colOff>178990</xdr:colOff>
      <xdr:row>51</xdr:row>
      <xdr:rowOff>131885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4303826-BA68-2DA6-80D3-A76445220026}"/>
            </a:ext>
          </a:extLst>
        </xdr:cNvPr>
        <xdr:cNvSpPr txBox="1"/>
      </xdr:nvSpPr>
      <xdr:spPr>
        <a:xfrm>
          <a:off x="8658560" y="7665275"/>
          <a:ext cx="6906968" cy="1808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Rational</a:t>
          </a:r>
          <a:endParaRPr lang="en-US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Generally, if</a:t>
          </a:r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 != t, the system</a:t>
          </a:r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could be</a:t>
          </a:r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either</a:t>
          </a:r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infeasible, or</a:t>
          </a:r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unlimited solutions. Since we have more product demand categories than activities, for a given set of final demand the problem will likely be unbalanced (more constraints conflict!), leading to infeasibility. </a:t>
          </a:r>
        </a:p>
        <a:p>
          <a:endParaRPr lang="en-US" sz="800">
            <a:effectLst/>
          </a:endParaRP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However, it could happen that a given set of final product demands (Y_tot) match the existing constraints. In these cases, some constraints would turn out to be redoundand, making the unique solution possible. The choice of Y_tot makes the exceeding equations (i.e. constraint) a linear combination of other equations, leading to #eq = #variables</a:t>
          </a:r>
        </a:p>
        <a:p>
          <a:endParaRPr lang="en-US" sz="800">
            <a:effectLst/>
          </a:endParaRP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 This is why, by randomly choosing Y_tot it is extremely unlike to have feasible solution. However, when leaving the system choose the values of Y_tot to find a feasible solution, it would always lead to a solution: the closest, according to the first guest for each decision variable.</a:t>
          </a:r>
          <a:endParaRPr lang="en-US" sz="800">
            <a:effectLst/>
          </a:endParaRPr>
        </a:p>
        <a:p>
          <a:endParaRPr lang="en-US" sz="800"/>
        </a:p>
      </xdr:txBody>
    </xdr:sp>
    <xdr:clientData/>
  </xdr:twoCellAnchor>
  <xdr:twoCellAnchor>
    <xdr:from>
      <xdr:col>13</xdr:col>
      <xdr:colOff>56355</xdr:colOff>
      <xdr:row>43</xdr:row>
      <xdr:rowOff>26986</xdr:rowOff>
    </xdr:from>
    <xdr:to>
      <xdr:col>29</xdr:col>
      <xdr:colOff>68262</xdr:colOff>
      <xdr:row>51</xdr:row>
      <xdr:rowOff>73269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9203133-A245-766B-5834-8F518E7B50F5}"/>
            </a:ext>
          </a:extLst>
        </xdr:cNvPr>
        <xdr:cNvSpPr txBox="1"/>
      </xdr:nvSpPr>
      <xdr:spPr>
        <a:xfrm>
          <a:off x="7251393" y="7903428"/>
          <a:ext cx="6825946" cy="15116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1) Rational</a:t>
          </a:r>
        </a:p>
        <a:p>
          <a:endParaRPr lang="en-US" sz="800"/>
        </a:p>
        <a:p>
          <a:r>
            <a:rPr lang="en-US" sz="800"/>
            <a:t>Being the</a:t>
          </a:r>
          <a:r>
            <a:rPr lang="en-US" sz="800" baseline="0"/>
            <a:t> product-mix matrix (c)</a:t>
          </a:r>
          <a:r>
            <a:rPr lang="en-US" sz="800"/>
            <a:t> singular</a:t>
          </a:r>
          <a:r>
            <a:rPr lang="en-US" sz="800" baseline="0"/>
            <a:t> (i.e. it can't be inverted), the problem doesn't have a unique solution. The criticality is summarized by the following:</a:t>
          </a:r>
          <a:br>
            <a:rPr lang="en-US" sz="800" baseline="0"/>
          </a:br>
          <a:endParaRPr lang="en-US" sz="800" baseline="0"/>
        </a:p>
        <a:p>
          <a:r>
            <a:rPr lang="en-US" sz="800" baseline="0"/>
            <a:t>Q = cX</a:t>
          </a:r>
        </a:p>
        <a:p>
          <a:r>
            <a:rPr lang="en-US" sz="800" baseline="0"/>
            <a:t>+</a:t>
          </a:r>
        </a:p>
        <a:p>
          <a:r>
            <a:rPr lang="en-US" sz="800" baseline="0"/>
            <a:t>Q = uX + Y_tot</a:t>
          </a:r>
        </a:p>
        <a:p>
          <a:endParaRPr lang="en-US" sz="800" baseline="0"/>
        </a:p>
        <a:p>
          <a:r>
            <a:rPr lang="en-US" sz="800" baseline="0"/>
            <a:t>--&gt; (c-u)X = Y_tot</a:t>
          </a:r>
        </a:p>
        <a:p>
          <a:endParaRPr lang="en-US" sz="800" baseline="0"/>
        </a:p>
        <a:p>
          <a:r>
            <a:rPr lang="en-US" sz="800" baseline="0"/>
            <a:t>where X(t,1), Y_tot(p,1), [c-u](p,t), with p &gt; t, making [c-u] singular! Equations are more than variables = overconstrained system (likely no solutions available).</a:t>
          </a:r>
        </a:p>
      </xdr:txBody>
    </xdr:sp>
    <xdr:clientData/>
  </xdr:twoCellAnchor>
  <xdr:twoCellAnchor>
    <xdr:from>
      <xdr:col>5</xdr:col>
      <xdr:colOff>582222</xdr:colOff>
      <xdr:row>39</xdr:row>
      <xdr:rowOff>112004</xdr:rowOff>
    </xdr:from>
    <xdr:to>
      <xdr:col>12</xdr:col>
      <xdr:colOff>284049</xdr:colOff>
      <xdr:row>51</xdr:row>
      <xdr:rowOff>33948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896225B-8AD3-4039-9712-681D102D4C0D}"/>
            </a:ext>
          </a:extLst>
        </xdr:cNvPr>
        <xdr:cNvSpPr txBox="1"/>
      </xdr:nvSpPr>
      <xdr:spPr>
        <a:xfrm>
          <a:off x="3491010" y="7255754"/>
          <a:ext cx="3651039" cy="212002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0) Mixing</a:t>
          </a:r>
          <a:r>
            <a:rPr lang="en-US" sz="800" b="1" baseline="0"/>
            <a:t> assumptions: effects</a:t>
          </a:r>
          <a:endParaRPr lang="en-US" sz="800" b="1"/>
        </a:p>
        <a:p>
          <a:r>
            <a:rPr lang="en-US" sz="800" baseline="0"/>
            <a:t>By using a product-mix matrix (c) singular (i.e. not invertible), I can't make the explicit comutation of X_pt. Instead, I can compute Q_pt = c*X_pt because I don't need to use c^-1</a:t>
          </a:r>
        </a:p>
        <a:p>
          <a:endParaRPr lang="en-US" sz="800" baseline="0"/>
        </a:p>
        <a:p>
          <a:r>
            <a:rPr lang="en-US" sz="800" baseline="0"/>
            <a:t>Therefore, instead of make both essential balances (technology-based equations + energy balance) explicit by allowing the direct computation of X = (I - u*v)Y_tot, I (making t-equations sufficient), I need to get the same output by using (t-m)-equations like X_it = d*Q_it, plus (p-n)-equations like Q_pt = c*X_pt. </a:t>
          </a:r>
          <a:br>
            <a:rPr lang="en-US" sz="800" baseline="0"/>
          </a:br>
          <a:endParaRPr lang="en-US" sz="800" baseline="0"/>
        </a:p>
        <a:p>
          <a:r>
            <a:rPr lang="en-US" sz="800" baseline="0"/>
            <a:t>Still I need no more than (t-m)+(p-n) = t equations to make my system feasible with unique solution ==&gt; m = p-n (indeed, in this example I made m=3, and n=3)</a:t>
          </a:r>
        </a:p>
        <a:p>
          <a:endParaRPr lang="en-US" sz="800" baseline="0"/>
        </a:p>
        <a:p>
          <a:r>
            <a:rPr lang="en-US" sz="800" baseline="0"/>
            <a:t>Then, I need to couple these t-equations (ruling the technology-based constraints) with the energy balances, for which we need p-equations (indeed, this is the reason why we have balances on the right)</a:t>
          </a:r>
          <a:endParaRPr lang="en-US" sz="800"/>
        </a:p>
      </xdr:txBody>
    </xdr:sp>
    <xdr:clientData/>
  </xdr:twoCellAnchor>
  <xdr:twoCellAnchor>
    <xdr:from>
      <xdr:col>27</xdr:col>
      <xdr:colOff>517555</xdr:colOff>
      <xdr:row>26</xdr:row>
      <xdr:rowOff>99860</xdr:rowOff>
    </xdr:from>
    <xdr:to>
      <xdr:col>32</xdr:col>
      <xdr:colOff>197826</xdr:colOff>
      <xdr:row>31</xdr:row>
      <xdr:rowOff>58616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499358E-088C-9CF6-F59B-EFB62B5108A5}"/>
            </a:ext>
          </a:extLst>
        </xdr:cNvPr>
        <xdr:cNvSpPr txBox="1"/>
      </xdr:nvSpPr>
      <xdr:spPr>
        <a:xfrm>
          <a:off x="14240882" y="4862360"/>
          <a:ext cx="1665867" cy="8746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Needed p-</a:t>
          </a:r>
          <a:r>
            <a:rPr lang="en-US" sz="800" b="1" baseline="0"/>
            <a:t>equations</a:t>
          </a:r>
          <a:endParaRPr lang="en-US" sz="800" b="1"/>
        </a:p>
        <a:p>
          <a:endParaRPr lang="en-US" sz="800"/>
        </a:p>
        <a:p>
          <a:r>
            <a:rPr lang="en-US" sz="800"/>
            <a:t>To</a:t>
          </a:r>
          <a:r>
            <a:rPr lang="en-US" sz="800" baseline="0"/>
            <a:t> solve it, I need to set a ficticious objective function. Therefore, I leave 1 (out of p) equation to make it solved by the OF</a:t>
          </a:r>
          <a:endParaRPr lang="en-US" sz="800"/>
        </a:p>
      </xdr:txBody>
    </xdr:sp>
    <xdr:clientData/>
  </xdr:twoCellAnchor>
  <xdr:twoCellAnchor>
    <xdr:from>
      <xdr:col>27</xdr:col>
      <xdr:colOff>559594</xdr:colOff>
      <xdr:row>34</xdr:row>
      <xdr:rowOff>5006</xdr:rowOff>
    </xdr:from>
    <xdr:to>
      <xdr:col>33</xdr:col>
      <xdr:colOff>209702</xdr:colOff>
      <xdr:row>38</xdr:row>
      <xdr:rowOff>62768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CB4A6B7-47A1-488D-8DB4-39662391E925}"/>
            </a:ext>
          </a:extLst>
        </xdr:cNvPr>
        <xdr:cNvSpPr txBox="1"/>
      </xdr:nvSpPr>
      <xdr:spPr>
        <a:xfrm>
          <a:off x="14282921" y="6232891"/>
          <a:ext cx="1980069" cy="7904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Check</a:t>
          </a:r>
        </a:p>
        <a:p>
          <a:endParaRPr lang="en-US" sz="800"/>
        </a:p>
        <a:p>
          <a:r>
            <a:rPr lang="en-US" sz="800"/>
            <a:t>If</a:t>
          </a:r>
          <a:r>
            <a:rPr lang="en-US" sz="800" baseline="0"/>
            <a:t> the problem is consistent, I'm expecting these equations to release always "zero" (without constraining them)</a:t>
          </a:r>
          <a:endParaRPr lang="en-US" sz="800"/>
        </a:p>
      </xdr:txBody>
    </xdr:sp>
    <xdr:clientData/>
  </xdr:twoCellAnchor>
  <xdr:twoCellAnchor>
    <xdr:from>
      <xdr:col>27</xdr:col>
      <xdr:colOff>139211</xdr:colOff>
      <xdr:row>28</xdr:row>
      <xdr:rowOff>158017</xdr:rowOff>
    </xdr:from>
    <xdr:to>
      <xdr:col>27</xdr:col>
      <xdr:colOff>517555</xdr:colOff>
      <xdr:row>28</xdr:row>
      <xdr:rowOff>170825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705CF3B-AB5C-9715-4C63-2082E5342800}"/>
            </a:ext>
          </a:extLst>
        </xdr:cNvPr>
        <xdr:cNvCxnSpPr>
          <a:stCxn id="9" idx="1"/>
        </xdr:cNvCxnSpPr>
      </xdr:nvCxnSpPr>
      <xdr:spPr>
        <a:xfrm flipH="1" flipV="1">
          <a:off x="13862538" y="5286863"/>
          <a:ext cx="378344" cy="128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142386</xdr:colOff>
      <xdr:row>36</xdr:row>
      <xdr:rowOff>33887</xdr:rowOff>
    </xdr:from>
    <xdr:to>
      <xdr:col>27</xdr:col>
      <xdr:colOff>562769</xdr:colOff>
      <xdr:row>36</xdr:row>
      <xdr:rowOff>47137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C25186D-49AB-4C6A-AC88-3BC2A142D2EC}"/>
            </a:ext>
          </a:extLst>
        </xdr:cNvPr>
        <xdr:cNvCxnSpPr>
          <a:stCxn id="10" idx="1"/>
        </xdr:cNvCxnSpPr>
      </xdr:nvCxnSpPr>
      <xdr:spPr>
        <a:xfrm flipH="1">
          <a:off x="13865713" y="6628118"/>
          <a:ext cx="420383" cy="13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227133</xdr:colOff>
      <xdr:row>0</xdr:row>
      <xdr:rowOff>50312</xdr:rowOff>
    </xdr:from>
    <xdr:to>
      <xdr:col>28</xdr:col>
      <xdr:colOff>238612</xdr:colOff>
      <xdr:row>2</xdr:row>
      <xdr:rowOff>139212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037D5CE-7EE0-1265-D12C-32E4BC9A7FBB}"/>
            </a:ext>
          </a:extLst>
        </xdr:cNvPr>
        <xdr:cNvSpPr txBox="1"/>
      </xdr:nvSpPr>
      <xdr:spPr>
        <a:xfrm>
          <a:off x="3744056" y="50312"/>
          <a:ext cx="10950575" cy="455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Simulation</a:t>
          </a:r>
          <a:r>
            <a:rPr lang="en-US" sz="1000" b="1" baseline="0"/>
            <a:t> Model</a:t>
          </a:r>
          <a:r>
            <a:rPr lang="en-US" sz="1000" baseline="0"/>
            <a:t>: there is no competition among technologies, once the total final demand is set to be conisistent. There is only one solution, once the final total demand values are such in a way that the model turns out feasible! ==&gt; for a given (consistent) set of total final demand, there is only one combination of production working!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77836</xdr:colOff>
      <xdr:row>34</xdr:row>
      <xdr:rowOff>112238</xdr:rowOff>
    </xdr:from>
    <xdr:to>
      <xdr:col>51</xdr:col>
      <xdr:colOff>361626</xdr:colOff>
      <xdr:row>50</xdr:row>
      <xdr:rowOff>31333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7589A-4200-4ECC-B956-AD8CB5FE7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7624" y="6340123"/>
          <a:ext cx="7588733" cy="2849864"/>
        </a:xfrm>
        <a:prstGeom prst="rect">
          <a:avLst/>
        </a:prstGeom>
      </xdr:spPr>
    </xdr:pic>
    <xdr:clientData/>
  </xdr:twoCellAnchor>
  <xdr:twoCellAnchor>
    <xdr:from>
      <xdr:col>36</xdr:col>
      <xdr:colOff>106765</xdr:colOff>
      <xdr:row>51</xdr:row>
      <xdr:rowOff>153866</xdr:rowOff>
    </xdr:from>
    <xdr:to>
      <xdr:col>50</xdr:col>
      <xdr:colOff>377114</xdr:colOff>
      <xdr:row>65</xdr:row>
      <xdr:rowOff>153866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A6DEF6-C26D-4C11-A826-0821086950B6}"/>
            </a:ext>
          </a:extLst>
        </xdr:cNvPr>
        <xdr:cNvSpPr txBox="1"/>
      </xdr:nvSpPr>
      <xdr:spPr>
        <a:xfrm>
          <a:off x="17429565" y="7935791"/>
          <a:ext cx="6975949" cy="2533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 b="1"/>
            <a:t>General co-product management in</a:t>
          </a:r>
          <a:r>
            <a:rPr lang="it-IT" sz="1000" b="1" baseline="0"/>
            <a:t> a supply-use</a:t>
          </a:r>
          <a:r>
            <a:rPr lang="it-IT" sz="1000" b="1"/>
            <a:t> system with mixed recruitment</a:t>
          </a:r>
        </a:p>
        <a:p>
          <a:endParaRPr lang="it-IT" sz="1000" b="1"/>
        </a:p>
        <a:p>
          <a:r>
            <a:rPr lang="it-IT" sz="1000" b="0"/>
            <a:t>The</a:t>
          </a:r>
          <a:r>
            <a:rPr lang="it-IT" sz="1000" b="0" baseline="0"/>
            <a:t> model shows how to handle different types of technologies supplying one or multiple products.</a:t>
          </a:r>
        </a:p>
        <a:p>
          <a:endParaRPr lang="it-IT" sz="1000" b="0" baseline="0"/>
        </a:p>
        <a:p>
          <a:r>
            <a:rPr lang="it-IT" sz="1000" b="1" baseline="0"/>
            <a:t>Single-product technologies </a:t>
          </a:r>
          <a:r>
            <a:rPr lang="it-IT" sz="1000" b="0" baseline="0"/>
            <a:t>provide one unique useful product (e.g. the </a:t>
          </a:r>
          <a:r>
            <a:rPr lang="it-IT" sz="1000" b="0" i="1" baseline="0"/>
            <a:t>boiler</a:t>
          </a:r>
          <a:r>
            <a:rPr lang="it-IT" sz="1000" b="0" baseline="0"/>
            <a:t> in this example)</a:t>
          </a:r>
        </a:p>
        <a:p>
          <a:r>
            <a:rPr lang="it-IT" sz="1000" b="1" baseline="0"/>
            <a:t>Multi-product technoliges </a:t>
          </a:r>
          <a:r>
            <a:rPr lang="it-IT" sz="1000" b="0" baseline="0"/>
            <a:t>provide multiple useful products: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a primary product as the main output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secondary products, which may be independent on the primary (</a:t>
          </a:r>
          <a:r>
            <a:rPr lang="it-IT" sz="1000" b="1" baseline="0"/>
            <a:t>subisidary products</a:t>
          </a:r>
          <a:r>
            <a:rPr lang="it-IT" sz="1000" b="0" baseline="0"/>
            <a:t>, e.g. </a:t>
          </a:r>
          <a:r>
            <a:rPr lang="it-IT" sz="1000" b="0" i="1" baseline="0"/>
            <a:t>industry </a:t>
          </a:r>
          <a:r>
            <a:rPr lang="it-IT" sz="1000" b="0" i="0" baseline="0"/>
            <a:t>supplying </a:t>
          </a:r>
          <a:r>
            <a:rPr lang="it-IT" sz="1000" b="0" i="1" baseline="0"/>
            <a:t>product A </a:t>
          </a:r>
          <a:r>
            <a:rPr lang="it-IT" sz="1000" b="0" i="0" baseline="0"/>
            <a:t>and </a:t>
          </a:r>
          <a:r>
            <a:rPr lang="it-IT" sz="1000" b="0" i="1" baseline="0"/>
            <a:t>product B</a:t>
          </a:r>
          <a:r>
            <a:rPr lang="it-IT" sz="1000" b="0" baseline="0"/>
            <a:t>)</a:t>
          </a:r>
          <a:r>
            <a:rPr lang="it-IT" sz="1000" b="0" i="1" baseline="0"/>
            <a:t> </a:t>
          </a:r>
          <a:r>
            <a:rPr lang="it-IT" sz="1000" b="0" i="0" baseline="0"/>
            <a:t>or dependent on the primary product. These may be classified as: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by-products</a:t>
          </a:r>
          <a:r>
            <a:rPr lang="it-IT" sz="1000" b="0" i="0" baseline="0"/>
            <a:t>, in case another technology produces them as primary (</a:t>
          </a:r>
          <a:r>
            <a:rPr lang="it-IT" sz="1000" b="0" i="1" baseline="0"/>
            <a:t>electricity</a:t>
          </a:r>
          <a:r>
            <a:rPr lang="it-IT" sz="1000" b="0" i="0" baseline="0"/>
            <a:t> for the </a:t>
          </a:r>
          <a:r>
            <a:rPr lang="it-IT" sz="1000" b="0" i="1" baseline="0"/>
            <a:t>chp engine</a:t>
          </a:r>
          <a:r>
            <a:rPr lang="it-IT" sz="1000" b="0" i="0" baseline="0"/>
            <a:t>, since </a:t>
          </a:r>
          <a:r>
            <a:rPr lang="it-IT" sz="1000" b="0" i="1" baseline="0"/>
            <a:t>electricity</a:t>
          </a:r>
          <a:r>
            <a:rPr lang="it-IT" sz="1000" b="0" i="0" baseline="0"/>
            <a:t> is supplied as primary by the </a:t>
          </a:r>
          <a:r>
            <a:rPr lang="it-IT" sz="1000" b="0" i="1" baseline="0"/>
            <a:t>pv plant</a:t>
          </a:r>
          <a:r>
            <a:rPr lang="it-IT" sz="1000" b="0" i="0" baseline="0"/>
            <a:t>)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joint-products</a:t>
          </a:r>
          <a:r>
            <a:rPr lang="it-IT" sz="1000" b="0" i="0" baseline="0"/>
            <a:t>, in case they are not the primary product of any other technology (e.g. </a:t>
          </a:r>
          <a:r>
            <a:rPr lang="it-IT" sz="1000" b="0" i="1" baseline="0"/>
            <a:t>fuel A </a:t>
          </a:r>
          <a:r>
            <a:rPr lang="it-IT" sz="1000" b="0" i="0" baseline="0"/>
            <a:t>and </a:t>
          </a:r>
          <a:r>
            <a:rPr lang="it-IT" sz="1000" b="0" i="1" baseline="0"/>
            <a:t>fuel B</a:t>
          </a:r>
          <a:r>
            <a:rPr lang="it-IT" sz="1000" b="0" i="0" baseline="0"/>
            <a:t> are supplied only by </a:t>
          </a:r>
          <a:r>
            <a:rPr lang="it-IT" sz="1000" b="0" i="1" baseline="0"/>
            <a:t>oil refinery</a:t>
          </a:r>
          <a:r>
            <a:rPr lang="it-IT" sz="1000" b="0" i="0" baseline="0"/>
            <a:t>). </a:t>
          </a:r>
        </a:p>
        <a:p>
          <a:pPr marL="0" indent="0">
            <a:buFont typeface="Wingdings" panose="05000000000000000000" pitchFamily="2" charset="2"/>
            <a:buNone/>
          </a:pPr>
          <a:endParaRPr lang="it-IT" sz="1000" b="1" i="1" baseline="0"/>
        </a:p>
        <a:p>
          <a:pPr marL="0" indent="0">
            <a:buFont typeface="Wingdings" panose="05000000000000000000" pitchFamily="2" charset="2"/>
            <a:buNone/>
          </a:pPr>
          <a:r>
            <a:rPr lang="it-IT" sz="1000" b="0" i="0" baseline="0"/>
            <a:t>Starting from a supply-use table it is possible to arrange a model allowing to account for </a:t>
          </a:r>
          <a:r>
            <a:rPr lang="it-IT" sz="1000" b="1" i="0" baseline="0"/>
            <a:t>hybrid technology assumptions</a:t>
          </a:r>
          <a:r>
            <a:rPr lang="it-IT" sz="1000" b="0" i="0" baseline="0"/>
            <a:t>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Industry-based technology assumption (it)</a:t>
          </a:r>
          <a:r>
            <a:rPr lang="it-IT" sz="1000" b="0" i="0" baseline="0"/>
            <a:t>: each product is produced by technologies with fixed shares. </a:t>
          </a:r>
          <a:r>
            <a:rPr lang="it-IT" sz="1000" b="0" i="0" u="none" baseline="0"/>
            <a:t>Every time a product is delivered for intermediate or final use, technologies are activated in proportion with values in columns of market share matrix 𝐝 (e.g. </a:t>
          </a:r>
          <a:r>
            <a:rPr lang="it-IT" sz="1000" b="0" i="1" u="none" baseline="0"/>
            <a:t>industry</a:t>
          </a:r>
          <a:r>
            <a:rPr lang="it-IT" sz="1000" b="0" i="0" u="none" baseline="0"/>
            <a:t>).  </a:t>
          </a:r>
          <a:endParaRPr lang="it-IT" sz="1000" b="0" i="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Product-based technology assumption (pt)</a:t>
          </a:r>
          <a:r>
            <a:rPr lang="it-IT" sz="1000" b="0" i="0" baseline="0"/>
            <a:t>: every technology supplies a fixed mix of products. Every time a tecnology is activated, it produces a mix of products with a sharte in columns of the product mix matrix </a:t>
          </a:r>
          <a:r>
            <a:rPr lang="it-IT" sz="1000" b="1" i="0" baseline="0"/>
            <a:t>c </a:t>
          </a:r>
          <a:r>
            <a:rPr lang="it-IT" sz="1000" b="0" i="0" baseline="0"/>
            <a:t>(i.e the </a:t>
          </a:r>
          <a:r>
            <a:rPr lang="it-IT" sz="1000" b="0" i="1" baseline="0"/>
            <a:t>oil refinery </a:t>
          </a:r>
          <a:r>
            <a:rPr lang="it-IT" sz="1000" b="0" i="0" baseline="0"/>
            <a:t>and </a:t>
          </a:r>
          <a:r>
            <a:rPr lang="it-IT" sz="1000" b="0" i="1" baseline="0"/>
            <a:t>chp engine</a:t>
          </a:r>
          <a:r>
            <a:rPr lang="it-IT" sz="1000" b="0" i="0" baseline="0"/>
            <a:t>). </a:t>
          </a:r>
        </a:p>
        <a:p>
          <a:pPr marL="0" indent="0">
            <a:buFont typeface="Arial" panose="020B0604020202020204" pitchFamily="34" charset="0"/>
            <a:buNone/>
          </a:pPr>
          <a:r>
            <a:rPr lang="it-IT" sz="1000" b="1" i="0" baseline="0"/>
            <a:t>Single-product technologies </a:t>
          </a:r>
          <a:r>
            <a:rPr lang="it-IT" sz="1000" b="0" i="0" baseline="0"/>
            <a:t>can be alternatively represented under any of these assumptions.</a:t>
          </a:r>
          <a:endParaRPr lang="it-IT" sz="1000" b="1" i="0" baseline="0"/>
        </a:p>
        <a:p>
          <a:endParaRPr lang="it-IT" sz="1000" b="0" i="1" baseline="0"/>
        </a:p>
        <a:p>
          <a:endParaRPr lang="it-IT" sz="1000" b="1" baseline="0"/>
        </a:p>
      </xdr:txBody>
    </xdr:sp>
    <xdr:clientData/>
  </xdr:twoCellAnchor>
  <xdr:twoCellAnchor>
    <xdr:from>
      <xdr:col>5</xdr:col>
      <xdr:colOff>309630</xdr:colOff>
      <xdr:row>8</xdr:row>
      <xdr:rowOff>77719</xdr:rowOff>
    </xdr:from>
    <xdr:to>
      <xdr:col>12</xdr:col>
      <xdr:colOff>5107</xdr:colOff>
      <xdr:row>13</xdr:row>
      <xdr:rowOff>160545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59920D-566C-406D-9013-A37C3DDEBFF5}"/>
            </a:ext>
          </a:extLst>
        </xdr:cNvPr>
        <xdr:cNvSpPr txBox="1"/>
      </xdr:nvSpPr>
      <xdr:spPr>
        <a:xfrm>
          <a:off x="3227455" y="1525519"/>
          <a:ext cx="3686452" cy="99087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Product-based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joint</a:t>
          </a:r>
          <a:r>
            <a:rPr lang="en-US" sz="800" baseline="0"/>
            <a:t>- and by-products are linked to the production of the main product. Therfore, a product-based assumption is preferred.</a:t>
          </a:r>
        </a:p>
        <a:p>
          <a:endParaRPr lang="en-US" sz="800" baseline="0"/>
        </a:p>
        <a:p>
          <a:r>
            <a:rPr lang="en-US" sz="800" baseline="0"/>
            <a:t>By doing that, any time I activate that tech, it will produce with a given product-mix!</a:t>
          </a:r>
          <a:endParaRPr lang="en-US" sz="800"/>
        </a:p>
      </xdr:txBody>
    </xdr:sp>
    <xdr:clientData/>
  </xdr:twoCellAnchor>
  <xdr:twoCellAnchor>
    <xdr:from>
      <xdr:col>13</xdr:col>
      <xdr:colOff>240195</xdr:colOff>
      <xdr:row>15</xdr:row>
      <xdr:rowOff>91110</xdr:rowOff>
    </xdr:from>
    <xdr:to>
      <xdr:col>22</xdr:col>
      <xdr:colOff>109607</xdr:colOff>
      <xdr:row>20</xdr:row>
      <xdr:rowOff>180286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892489-586D-4160-A3CA-1FD7656F25E0}"/>
            </a:ext>
          </a:extLst>
        </xdr:cNvPr>
        <xdr:cNvSpPr txBox="1"/>
      </xdr:nvSpPr>
      <xdr:spPr>
        <a:xfrm>
          <a:off x="7485545" y="2802560"/>
          <a:ext cx="3203162" cy="10004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Industry-based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Subsidary products</a:t>
          </a:r>
          <a:r>
            <a:rPr lang="en-US" sz="800" baseline="0"/>
            <a:t> are independent! It implies that once a tech is activated, any co-product can be released without fixed shares!  By contrary, in case the same product is delivered by other tech, each tech will be activated to keep the same technology-mix (i.e. market-share).</a:t>
          </a:r>
        </a:p>
      </xdr:txBody>
    </xdr:sp>
    <xdr:clientData/>
  </xdr:twoCellAnchor>
  <xdr:twoCellAnchor>
    <xdr:from>
      <xdr:col>5</xdr:col>
      <xdr:colOff>508953</xdr:colOff>
      <xdr:row>34</xdr:row>
      <xdr:rowOff>185273</xdr:rowOff>
    </xdr:from>
    <xdr:to>
      <xdr:col>12</xdr:col>
      <xdr:colOff>210780</xdr:colOff>
      <xdr:row>39</xdr:row>
      <xdr:rowOff>21981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2AA4A09-D762-4B6E-BF40-5BBA1514F5B2}"/>
            </a:ext>
          </a:extLst>
        </xdr:cNvPr>
        <xdr:cNvSpPr txBox="1"/>
      </xdr:nvSpPr>
      <xdr:spPr>
        <a:xfrm>
          <a:off x="3300511" y="6654946"/>
          <a:ext cx="3636384" cy="7892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0) Mixing</a:t>
          </a:r>
          <a:r>
            <a:rPr lang="en-US" sz="800" b="1" baseline="0"/>
            <a:t> assumptions: effects</a:t>
          </a:r>
          <a:endParaRPr lang="en-US" sz="800" b="1"/>
        </a:p>
        <a:p>
          <a:r>
            <a:rPr lang="en-US" sz="800" baseline="0"/>
            <a:t>Same reasoning as before, BUT now we are running an optimization problem.</a:t>
          </a:r>
          <a:br>
            <a:rPr lang="en-US" sz="800" baseline="0"/>
          </a:br>
          <a:br>
            <a:rPr lang="en-US" sz="800" baseline="0"/>
          </a:br>
          <a:r>
            <a:rPr lang="en-US" sz="800" baseline="0"/>
            <a:t>To do so, we need to make the system undetermined, leading to (p-1)-equations (p-1 energy balances). The last equation will be the objective function!</a:t>
          </a:r>
          <a:endParaRPr lang="en-US" sz="800"/>
        </a:p>
      </xdr:txBody>
    </xdr:sp>
    <xdr:clientData/>
  </xdr:twoCellAnchor>
  <xdr:twoCellAnchor>
    <xdr:from>
      <xdr:col>28</xdr:col>
      <xdr:colOff>37152</xdr:colOff>
      <xdr:row>35</xdr:row>
      <xdr:rowOff>132342</xdr:rowOff>
    </xdr:from>
    <xdr:to>
      <xdr:col>32</xdr:col>
      <xdr:colOff>325558</xdr:colOff>
      <xdr:row>39</xdr:row>
      <xdr:rowOff>87923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4072CD-EEAC-4C56-9C9E-D4DF681C6733}"/>
            </a:ext>
          </a:extLst>
        </xdr:cNvPr>
        <xdr:cNvSpPr txBox="1"/>
      </xdr:nvSpPr>
      <xdr:spPr>
        <a:xfrm>
          <a:off x="14434556" y="6543400"/>
          <a:ext cx="1665867" cy="688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Needed p-</a:t>
          </a:r>
          <a:r>
            <a:rPr lang="en-US" sz="800" b="1" baseline="0"/>
            <a:t>equations</a:t>
          </a:r>
          <a:endParaRPr lang="en-US" sz="800" b="1"/>
        </a:p>
        <a:p>
          <a:endParaRPr lang="en-US" sz="800"/>
        </a:p>
        <a:p>
          <a:r>
            <a:rPr lang="en-US" sz="800"/>
            <a:t>To</a:t>
          </a:r>
          <a:r>
            <a:rPr lang="en-US" sz="800" baseline="0"/>
            <a:t> solve it, I need to set a ficticious objective function. Therefore, I leave 1 (out of p) equation to make it solved by the OF</a:t>
          </a:r>
          <a:endParaRPr lang="en-US" sz="800"/>
        </a:p>
      </xdr:txBody>
    </xdr:sp>
    <xdr:clientData/>
  </xdr:twoCellAnchor>
  <xdr:twoCellAnchor>
    <xdr:from>
      <xdr:col>27</xdr:col>
      <xdr:colOff>559594</xdr:colOff>
      <xdr:row>42</xdr:row>
      <xdr:rowOff>5006</xdr:rowOff>
    </xdr:from>
    <xdr:to>
      <xdr:col>33</xdr:col>
      <xdr:colOff>209702</xdr:colOff>
      <xdr:row>46</xdr:row>
      <xdr:rowOff>62768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1E0551A-E0A5-47BA-858E-12C2181E9BAF}"/>
            </a:ext>
          </a:extLst>
        </xdr:cNvPr>
        <xdr:cNvSpPr txBox="1"/>
      </xdr:nvSpPr>
      <xdr:spPr>
        <a:xfrm>
          <a:off x="14269244" y="6161331"/>
          <a:ext cx="1971033" cy="781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Check</a:t>
          </a:r>
        </a:p>
        <a:p>
          <a:endParaRPr lang="en-US" sz="800"/>
        </a:p>
        <a:p>
          <a:r>
            <a:rPr lang="en-US" sz="800"/>
            <a:t>If</a:t>
          </a:r>
          <a:r>
            <a:rPr lang="en-US" sz="800" baseline="0"/>
            <a:t> the problem is consistent, I'm expecting these equations to release always "zero" (without constraining them)</a:t>
          </a:r>
          <a:endParaRPr lang="en-US" sz="800"/>
        </a:p>
      </xdr:txBody>
    </xdr:sp>
    <xdr:clientData/>
  </xdr:twoCellAnchor>
  <xdr:twoCellAnchor>
    <xdr:from>
      <xdr:col>27</xdr:col>
      <xdr:colOff>266943</xdr:colOff>
      <xdr:row>38</xdr:row>
      <xdr:rowOff>7326</xdr:rowOff>
    </xdr:from>
    <xdr:to>
      <xdr:col>28</xdr:col>
      <xdr:colOff>37152</xdr:colOff>
      <xdr:row>38</xdr:row>
      <xdr:rowOff>16959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34931B4-3915-4992-8B0F-167E06E4D989}"/>
            </a:ext>
          </a:extLst>
        </xdr:cNvPr>
        <xdr:cNvCxnSpPr>
          <a:stCxn id="9" idx="1"/>
        </xdr:cNvCxnSpPr>
      </xdr:nvCxnSpPr>
      <xdr:spPr>
        <a:xfrm flipH="1" flipV="1">
          <a:off x="14056212" y="6967903"/>
          <a:ext cx="378344" cy="96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142386</xdr:colOff>
      <xdr:row>44</xdr:row>
      <xdr:rowOff>33887</xdr:rowOff>
    </xdr:from>
    <xdr:to>
      <xdr:col>27</xdr:col>
      <xdr:colOff>562769</xdr:colOff>
      <xdr:row>44</xdr:row>
      <xdr:rowOff>47137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FF32BEA-AEE1-4284-90D1-A7FE83379617}"/>
            </a:ext>
          </a:extLst>
        </xdr:cNvPr>
        <xdr:cNvCxnSpPr>
          <a:stCxn id="10" idx="1"/>
        </xdr:cNvCxnSpPr>
      </xdr:nvCxnSpPr>
      <xdr:spPr>
        <a:xfrm flipH="1">
          <a:off x="13852036" y="6545812"/>
          <a:ext cx="414033" cy="1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168519</xdr:colOff>
      <xdr:row>0</xdr:row>
      <xdr:rowOff>102577</xdr:rowOff>
    </xdr:from>
    <xdr:to>
      <xdr:col>28</xdr:col>
      <xdr:colOff>235438</xdr:colOff>
      <xdr:row>3</xdr:row>
      <xdr:rowOff>14654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98F3199-A07C-4818-9FED-18F9201D2562}"/>
            </a:ext>
          </a:extLst>
        </xdr:cNvPr>
        <xdr:cNvSpPr txBox="1"/>
      </xdr:nvSpPr>
      <xdr:spPr>
        <a:xfrm>
          <a:off x="3685442" y="102577"/>
          <a:ext cx="10947400" cy="461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Optimization</a:t>
          </a:r>
          <a:r>
            <a:rPr lang="en-US" sz="1000" b="1" baseline="0"/>
            <a:t> Model</a:t>
          </a:r>
          <a:r>
            <a:rPr lang="en-US" sz="1000" baseline="0"/>
            <a:t>: there is competition among technologies, once the total final demand is set to be conisistent. There are potentially infinite solutions available, once the final total demand values are such in a way that the model turns out feasible! ==&gt; for this reason, the objective function is needed to guide the solution towards teh "optimal" according to the objective!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426357</xdr:colOff>
      <xdr:row>21</xdr:row>
      <xdr:rowOff>64329</xdr:rowOff>
    </xdr:from>
    <xdr:to>
      <xdr:col>29</xdr:col>
      <xdr:colOff>521155</xdr:colOff>
      <xdr:row>34</xdr:row>
      <xdr:rowOff>79345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8DE54EFF-7791-4365-A61D-FEEF0FD96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3843907" y="3944179"/>
          <a:ext cx="5089072" cy="2408966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36</xdr:row>
      <xdr:rowOff>84364</xdr:rowOff>
    </xdr:from>
    <xdr:to>
      <xdr:col>28</xdr:col>
      <xdr:colOff>226786</xdr:colOff>
      <xdr:row>53</xdr:row>
      <xdr:rowOff>106135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10FBAF-BBE3-4D22-A00A-C0BF5C4D1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24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4" name="OpenSolver1">
          <a:extLst>
            <a:ext uri="{FF2B5EF4-FFF2-40B4-BE49-F238E27FC236}">
              <a16:creationId xmlns:a16="http://schemas.microsoft.com/office/drawing/2014/main" id="{8334E056-6FCC-4F82-9332-CE9AB4E4C988}"/>
            </a:ext>
          </a:extLst>
        </xdr:cNvPr>
        <xdr:cNvSpPr/>
      </xdr:nvSpPr>
      <xdr:spPr>
        <a:xfrm>
          <a:off x="8655050" y="4432300"/>
          <a:ext cx="3460750" cy="184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15</xdr:col>
      <xdr:colOff>0</xdr:colOff>
      <xdr:row>65</xdr:row>
      <xdr:rowOff>0</xdr:rowOff>
    </xdr:from>
    <xdr:to>
      <xdr:col>20</xdr:col>
      <xdr:colOff>0</xdr:colOff>
      <xdr:row>75</xdr:row>
      <xdr:rowOff>0</xdr:rowOff>
    </xdr:to>
    <xdr:sp macro="" textlink="">
      <xdr:nvSpPr>
        <xdr:cNvPr id="5" name="OpenSolver2">
          <a:extLst>
            <a:ext uri="{FF2B5EF4-FFF2-40B4-BE49-F238E27FC236}">
              <a16:creationId xmlns:a16="http://schemas.microsoft.com/office/drawing/2014/main" id="{E62C34A4-A238-44CB-9CFB-595D431AB0B1}"/>
            </a:ext>
          </a:extLst>
        </xdr:cNvPr>
        <xdr:cNvSpPr/>
      </xdr:nvSpPr>
      <xdr:spPr>
        <a:xfrm>
          <a:off x="8655050" y="11982450"/>
          <a:ext cx="3460750" cy="184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22</xdr:col>
      <xdr:colOff>0</xdr:colOff>
      <xdr:row>22</xdr:row>
      <xdr:rowOff>0</xdr:rowOff>
    </xdr:to>
    <xdr:sp macro="" textlink="">
      <xdr:nvSpPr>
        <xdr:cNvPr id="6" name="OpenSolver3">
          <a:extLst>
            <a:ext uri="{FF2B5EF4-FFF2-40B4-BE49-F238E27FC236}">
              <a16:creationId xmlns:a16="http://schemas.microsoft.com/office/drawing/2014/main" id="{098B5A00-C1DD-4B61-B1EC-C0B13F57A74C}"/>
            </a:ext>
          </a:extLst>
        </xdr:cNvPr>
        <xdr:cNvSpPr/>
      </xdr:nvSpPr>
      <xdr:spPr>
        <a:xfrm>
          <a:off x="12725400" y="3879850"/>
          <a:ext cx="692150" cy="1841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596900</xdr:colOff>
      <xdr:row>20</xdr:row>
      <xdr:rowOff>114300</xdr:rowOff>
    </xdr:from>
    <xdr:to>
      <xdr:col>21</xdr:col>
      <xdr:colOff>218389</xdr:colOff>
      <xdr:row>21</xdr:row>
      <xdr:rowOff>57150</xdr:rowOff>
    </xdr:to>
    <xdr:sp macro="" textlink="">
      <xdr:nvSpPr>
        <xdr:cNvPr id="7" name="OpenSolver4">
          <a:extLst>
            <a:ext uri="{FF2B5EF4-FFF2-40B4-BE49-F238E27FC236}">
              <a16:creationId xmlns:a16="http://schemas.microsoft.com/office/drawing/2014/main" id="{04D298D4-820E-44EB-8214-D8AE31BA10E7}"/>
            </a:ext>
          </a:extLst>
        </xdr:cNvPr>
        <xdr:cNvSpPr/>
      </xdr:nvSpPr>
      <xdr:spPr>
        <a:xfrm>
          <a:off x="12712700" y="38100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8" name="OpenSolverAG10:AP12">
          <a:extLst>
            <a:ext uri="{FF2B5EF4-FFF2-40B4-BE49-F238E27FC236}">
              <a16:creationId xmlns:a16="http://schemas.microsoft.com/office/drawing/2014/main" id="{90386C2F-5F57-4E45-8F7C-837EBC9A87F1}"/>
            </a:ext>
          </a:extLst>
        </xdr:cNvPr>
        <xdr:cNvSpPr/>
      </xdr:nvSpPr>
      <xdr:spPr>
        <a:xfrm>
          <a:off x="20574000" y="1657350"/>
          <a:ext cx="4533900" cy="5524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32</xdr:col>
      <xdr:colOff>0</xdr:colOff>
      <xdr:row>24</xdr:row>
      <xdr:rowOff>0</xdr:rowOff>
    </xdr:from>
    <xdr:to>
      <xdr:col>37</xdr:col>
      <xdr:colOff>0</xdr:colOff>
      <xdr:row>34</xdr:row>
      <xdr:rowOff>0</xdr:rowOff>
    </xdr:to>
    <xdr:sp macro="" textlink="">
      <xdr:nvSpPr>
        <xdr:cNvPr id="9" name="OpenSolverAG25:AK34">
          <a:extLst>
            <a:ext uri="{FF2B5EF4-FFF2-40B4-BE49-F238E27FC236}">
              <a16:creationId xmlns:a16="http://schemas.microsoft.com/office/drawing/2014/main" id="{4E8C2313-FBC5-4482-B1C0-A936FD26C67E}"/>
            </a:ext>
          </a:extLst>
        </xdr:cNvPr>
        <xdr:cNvSpPr/>
      </xdr:nvSpPr>
      <xdr:spPr>
        <a:xfrm>
          <a:off x="20574000" y="4432300"/>
          <a:ext cx="2787650" cy="184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0≥</a:t>
          </a:r>
        </a:p>
      </xdr:txBody>
    </xdr:sp>
    <xdr:clientData/>
  </xdr:twoCellAnchor>
  <xdr:twoCellAnchor>
    <xdr:from>
      <xdr:col>32</xdr:col>
      <xdr:colOff>0</xdr:colOff>
      <xdr:row>36</xdr:row>
      <xdr:rowOff>0</xdr:rowOff>
    </xdr:from>
    <xdr:to>
      <xdr:col>37</xdr:col>
      <xdr:colOff>0</xdr:colOff>
      <xdr:row>46</xdr:row>
      <xdr:rowOff>0</xdr:rowOff>
    </xdr:to>
    <xdr:sp macro="" textlink="">
      <xdr:nvSpPr>
        <xdr:cNvPr id="10" name="OpenSolverAG37:AK46">
          <a:extLst>
            <a:ext uri="{FF2B5EF4-FFF2-40B4-BE49-F238E27FC236}">
              <a16:creationId xmlns:a16="http://schemas.microsoft.com/office/drawing/2014/main" id="{145701B7-DD20-48BA-BEF8-F68CE67314C4}"/>
            </a:ext>
          </a:extLst>
        </xdr:cNvPr>
        <xdr:cNvSpPr/>
      </xdr:nvSpPr>
      <xdr:spPr>
        <a:xfrm>
          <a:off x="20574000" y="6642100"/>
          <a:ext cx="2787650" cy="1841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426357</xdr:colOff>
      <xdr:row>21</xdr:row>
      <xdr:rowOff>64329</xdr:rowOff>
    </xdr:from>
    <xdr:to>
      <xdr:col>28</xdr:col>
      <xdr:colOff>905091</xdr:colOff>
      <xdr:row>34</xdr:row>
      <xdr:rowOff>79345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8D206F-BD81-AFF8-9770-3ABAFB3AD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2777107" y="3747329"/>
          <a:ext cx="5089072" cy="2408966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36</xdr:row>
      <xdr:rowOff>84364</xdr:rowOff>
    </xdr:from>
    <xdr:to>
      <xdr:col>28</xdr:col>
      <xdr:colOff>226786</xdr:colOff>
      <xdr:row>53</xdr:row>
      <xdr:rowOff>106135</xdr:rowOff>
    </xdr:to>
    <xdr:graphicFrame macro="">
      <xdr:nvGraphicFramePr>
        <xdr:cNvPr id="79" name="Chart 78">
          <a:extLst>
            <a:ext uri="{FF2B5EF4-FFF2-40B4-BE49-F238E27FC236}">
              <a16:creationId xmlns:a16="http://schemas.microsoft.com/office/drawing/2014/main" id="{86FDAE8D-F9FE-F204-2D94-E5BA909CC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24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9" name="OpenSolver1">
          <a:extLst>
            <a:ext uri="{FF2B5EF4-FFF2-40B4-BE49-F238E27FC236}">
              <a16:creationId xmlns:a16="http://schemas.microsoft.com/office/drawing/2014/main" id="{CCE864C7-D1F7-5F0C-A87D-2C9030036834}"/>
            </a:ext>
          </a:extLst>
        </xdr:cNvPr>
        <xdr:cNvSpPr/>
      </xdr:nvSpPr>
      <xdr:spPr>
        <a:xfrm>
          <a:off x="8655050" y="4432300"/>
          <a:ext cx="3460750" cy="184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15</xdr:col>
      <xdr:colOff>0</xdr:colOff>
      <xdr:row>65</xdr:row>
      <xdr:rowOff>0</xdr:rowOff>
    </xdr:from>
    <xdr:to>
      <xdr:col>20</xdr:col>
      <xdr:colOff>0</xdr:colOff>
      <xdr:row>75</xdr:row>
      <xdr:rowOff>0</xdr:rowOff>
    </xdr:to>
    <xdr:sp macro="" textlink="">
      <xdr:nvSpPr>
        <xdr:cNvPr id="10" name="OpenSolver2">
          <a:extLst>
            <a:ext uri="{FF2B5EF4-FFF2-40B4-BE49-F238E27FC236}">
              <a16:creationId xmlns:a16="http://schemas.microsoft.com/office/drawing/2014/main" id="{83466A5D-8415-F475-4282-B92E21DC1115}"/>
            </a:ext>
          </a:extLst>
        </xdr:cNvPr>
        <xdr:cNvSpPr/>
      </xdr:nvSpPr>
      <xdr:spPr>
        <a:xfrm>
          <a:off x="8655050" y="11798300"/>
          <a:ext cx="3460750" cy="184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22</xdr:col>
      <xdr:colOff>0</xdr:colOff>
      <xdr:row>22</xdr:row>
      <xdr:rowOff>0</xdr:rowOff>
    </xdr:to>
    <xdr:sp macro="" textlink="">
      <xdr:nvSpPr>
        <xdr:cNvPr id="11" name="OpenSolver3">
          <a:extLst>
            <a:ext uri="{FF2B5EF4-FFF2-40B4-BE49-F238E27FC236}">
              <a16:creationId xmlns:a16="http://schemas.microsoft.com/office/drawing/2014/main" id="{0D15FBC4-4DD1-9237-827B-49C8AFB4E722}"/>
            </a:ext>
          </a:extLst>
        </xdr:cNvPr>
        <xdr:cNvSpPr/>
      </xdr:nvSpPr>
      <xdr:spPr>
        <a:xfrm>
          <a:off x="12725400" y="3879850"/>
          <a:ext cx="596900" cy="1841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596900</xdr:colOff>
      <xdr:row>20</xdr:row>
      <xdr:rowOff>114300</xdr:rowOff>
    </xdr:from>
    <xdr:to>
      <xdr:col>21</xdr:col>
      <xdr:colOff>218389</xdr:colOff>
      <xdr:row>21</xdr:row>
      <xdr:rowOff>57150</xdr:rowOff>
    </xdr:to>
    <xdr:sp macro="" textlink="">
      <xdr:nvSpPr>
        <xdr:cNvPr id="12" name="OpenSolver4">
          <a:extLst>
            <a:ext uri="{FF2B5EF4-FFF2-40B4-BE49-F238E27FC236}">
              <a16:creationId xmlns:a16="http://schemas.microsoft.com/office/drawing/2014/main" id="{DAC06BE5-9E6C-6069-DB9A-303C01545C2C}"/>
            </a:ext>
          </a:extLst>
        </xdr:cNvPr>
        <xdr:cNvSpPr/>
      </xdr:nvSpPr>
      <xdr:spPr>
        <a:xfrm>
          <a:off x="12712700" y="38100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OpenSolverAG10:AP12">
          <a:extLst>
            <a:ext uri="{FF2B5EF4-FFF2-40B4-BE49-F238E27FC236}">
              <a16:creationId xmlns:a16="http://schemas.microsoft.com/office/drawing/2014/main" id="{560C6B14-A1E6-87A1-4BE5-D7AD78DB123D}"/>
            </a:ext>
          </a:extLst>
        </xdr:cNvPr>
        <xdr:cNvSpPr/>
      </xdr:nvSpPr>
      <xdr:spPr>
        <a:xfrm>
          <a:off x="20104100" y="1657350"/>
          <a:ext cx="4533900" cy="5524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32</xdr:col>
      <xdr:colOff>0</xdr:colOff>
      <xdr:row>24</xdr:row>
      <xdr:rowOff>0</xdr:rowOff>
    </xdr:from>
    <xdr:to>
      <xdr:col>37</xdr:col>
      <xdr:colOff>0</xdr:colOff>
      <xdr:row>34</xdr:row>
      <xdr:rowOff>0</xdr:rowOff>
    </xdr:to>
    <xdr:sp macro="" textlink="">
      <xdr:nvSpPr>
        <xdr:cNvPr id="14" name="OpenSolverAG25:AK34">
          <a:extLst>
            <a:ext uri="{FF2B5EF4-FFF2-40B4-BE49-F238E27FC236}">
              <a16:creationId xmlns:a16="http://schemas.microsoft.com/office/drawing/2014/main" id="{36893EA6-A6BE-BB17-57FB-FE9835387C38}"/>
            </a:ext>
          </a:extLst>
        </xdr:cNvPr>
        <xdr:cNvSpPr/>
      </xdr:nvSpPr>
      <xdr:spPr>
        <a:xfrm>
          <a:off x="20104100" y="4432300"/>
          <a:ext cx="2787650" cy="184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0≥</a:t>
          </a:r>
        </a:p>
      </xdr:txBody>
    </xdr:sp>
    <xdr:clientData/>
  </xdr:twoCellAnchor>
  <xdr:twoCellAnchor>
    <xdr:from>
      <xdr:col>32</xdr:col>
      <xdr:colOff>0</xdr:colOff>
      <xdr:row>36</xdr:row>
      <xdr:rowOff>0</xdr:rowOff>
    </xdr:from>
    <xdr:to>
      <xdr:col>37</xdr:col>
      <xdr:colOff>0</xdr:colOff>
      <xdr:row>46</xdr:row>
      <xdr:rowOff>0</xdr:rowOff>
    </xdr:to>
    <xdr:sp macro="" textlink="">
      <xdr:nvSpPr>
        <xdr:cNvPr id="15" name="OpenSolverAG37:AK46">
          <a:extLst>
            <a:ext uri="{FF2B5EF4-FFF2-40B4-BE49-F238E27FC236}">
              <a16:creationId xmlns:a16="http://schemas.microsoft.com/office/drawing/2014/main" id="{B7F183F6-E15D-C786-8382-F659836DF7EE}"/>
            </a:ext>
          </a:extLst>
        </xdr:cNvPr>
        <xdr:cNvSpPr/>
      </xdr:nvSpPr>
      <xdr:spPr>
        <a:xfrm>
          <a:off x="20104100" y="6642100"/>
          <a:ext cx="2787650" cy="1841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0≥</a:t>
          </a:r>
        </a:p>
      </xdr:txBody>
    </xdr:sp>
    <xdr:clientData/>
  </xdr:twoCellAnchor>
  <xdr:twoCellAnchor>
    <xdr:from>
      <xdr:col>20</xdr:col>
      <xdr:colOff>114300</xdr:colOff>
      <xdr:row>134</xdr:row>
      <xdr:rowOff>12700</xdr:rowOff>
    </xdr:from>
    <xdr:to>
      <xdr:col>23</xdr:col>
      <xdr:colOff>405806</xdr:colOff>
      <xdr:row>138</xdr:row>
      <xdr:rowOff>176889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B259ACB1-EF76-0442-BE82-98A2AE52AAAD}"/>
            </a:ext>
          </a:extLst>
        </xdr:cNvPr>
        <xdr:cNvGrpSpPr/>
      </xdr:nvGrpSpPr>
      <xdr:grpSpPr>
        <a:xfrm>
          <a:off x="12496800" y="24057349"/>
          <a:ext cx="2435005" cy="887715"/>
          <a:chOff x="12293600" y="24555450"/>
          <a:chExt cx="2431456" cy="900789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6" name="TextBox 10">
                <a:extLst>
                  <a:ext uri="{FF2B5EF4-FFF2-40B4-BE49-F238E27FC236}">
                    <a16:creationId xmlns:a16="http://schemas.microsoft.com/office/drawing/2014/main" id="{87852BD3-DBF4-857A-0785-ED044D5B2C46}"/>
                  </a:ext>
                </a:extLst>
              </xdr:cNvPr>
              <xdr:cNvSpPr txBox="1"/>
            </xdr:nvSpPr>
            <xdr:spPr>
              <a:xfrm>
                <a:off x="12293600" y="24834850"/>
                <a:ext cx="2412406" cy="621389"/>
              </a:xfrm>
              <a:prstGeom prst="rect">
                <a:avLst/>
              </a:prstGeom>
              <a:solidFill>
                <a:sysClr val="window" lastClr="FFFFFF"/>
              </a:solidFill>
            </xdr:spPr>
            <xdr:txBody>
              <a:bodyPr wrap="square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r>
                        <a:rPr lang="en-GB" sz="1600" i="1">
                          <a:latin typeface="Cambria Math" panose="02040503050406030204" pitchFamily="18" charset="0"/>
                        </a:rPr>
                        <m:t>𝐶</m:t>
                      </m:r>
                      <m:r>
                        <a:rPr lang="en-GB" sz="1600" b="0" i="1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GB" sz="16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GB" sz="1600" b="0" i="1">
                              <a:latin typeface="Cambria Math" panose="02040503050406030204" pitchFamily="18" charset="0"/>
                            </a:rPr>
                            <m:t>𝐹</m:t>
                          </m:r>
                        </m:e>
                        <m:sup>
                          <m:r>
                            <a:rPr lang="en-GB" sz="1600" b="0" i="1">
                              <a:latin typeface="Cambria Math" panose="02040503050406030204" pitchFamily="18" charset="0"/>
                            </a:rPr>
                            <m:t>′</m:t>
                          </m:r>
                        </m:sup>
                      </m:sSup>
                      <m:r>
                        <a:rPr lang="en-GB" sz="16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GB" sz="16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GB" sz="1600" b="0" i="1">
                              <a:latin typeface="Cambria Math" panose="02040503050406030204" pitchFamily="18" charset="0"/>
                            </a:rPr>
                            <m:t>𝑟</m:t>
                          </m:r>
                          <m:r>
                            <a:rPr lang="en-GB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∙</m:t>
                          </m:r>
                          <m:sSup>
                            <m:sSupPr>
                              <m:ctrlPr>
                                <a:rPr lang="en-GB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en-GB" sz="160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GB" sz="16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1+</m:t>
                                  </m:r>
                                  <m:r>
                                    <a:rPr lang="en-GB" sz="16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𝑟</m:t>
                                  </m:r>
                                </m:e>
                              </m:d>
                            </m:e>
                            <m:sup>
                              <m:r>
                                <a:rPr lang="en-GB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𝑇</m:t>
                              </m:r>
                              <m:sSub>
                                <m:sSubPr>
                                  <m:ctrlPr>
                                    <a:rPr lang="en-GB" sz="16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6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𝐿</m:t>
                                  </m:r>
                                </m:e>
                                <m:sub>
                                  <m:r>
                                    <a:rPr lang="en-GB" sz="16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𝑒</m:t>
                                  </m:r>
                                </m:sub>
                              </m:sSub>
                              <m:r>
                                <a:rPr lang="en-GB" sz="1600" b="0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−1</m:t>
                              </m:r>
                            </m:sup>
                          </m:sSup>
                        </m:num>
                        <m:den>
                          <m:sSup>
                            <m:sSupPr>
                              <m:ctrlPr>
                                <a:rPr lang="en-GB" sz="16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en-GB" sz="160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GB" sz="160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1+</m:t>
                                  </m:r>
                                  <m:r>
                                    <a:rPr lang="en-GB" sz="16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𝑟</m:t>
                                  </m:r>
                                </m:e>
                              </m:d>
                            </m:e>
                            <m:sup>
                              <m:r>
                                <a:rPr lang="en-GB" sz="16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𝑇</m:t>
                              </m:r>
                              <m:sSub>
                                <m:sSubPr>
                                  <m:ctrlPr>
                                    <a:rPr lang="en-GB" sz="160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60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𝐿</m:t>
                                  </m:r>
                                </m:e>
                                <m:sub>
                                  <m:r>
                                    <a:rPr lang="en-GB" sz="160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𝑒</m:t>
                                  </m:r>
                                </m:sub>
                              </m:sSub>
                            </m:sup>
                          </m:sSup>
                          <m:r>
                            <a:rPr lang="en-GB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−1</m:t>
                          </m:r>
                        </m:den>
                      </m:f>
                    </m:oMath>
                  </m:oMathPara>
                </a14:m>
                <a:endParaRPr lang="en-US" sz="1600"/>
              </a:p>
            </xdr:txBody>
          </xdr:sp>
        </mc:Choice>
        <mc:Fallback xmlns="">
          <xdr:sp macro="" textlink="">
            <xdr:nvSpPr>
              <xdr:cNvPr id="16" name="TextBox 10">
                <a:extLst>
                  <a:ext uri="{FF2B5EF4-FFF2-40B4-BE49-F238E27FC236}">
                    <a16:creationId xmlns:a16="http://schemas.microsoft.com/office/drawing/2014/main" id="{87852BD3-DBF4-857A-0785-ED044D5B2C46}"/>
                  </a:ext>
                </a:extLst>
              </xdr:cNvPr>
              <xdr:cNvSpPr txBox="1"/>
            </xdr:nvSpPr>
            <xdr:spPr>
              <a:xfrm>
                <a:off x="12293600" y="24834850"/>
                <a:ext cx="2412406" cy="621389"/>
              </a:xfrm>
              <a:prstGeom prst="rect">
                <a:avLst/>
              </a:prstGeom>
              <a:solidFill>
                <a:sysClr val="window" lastClr="FFFFFF"/>
              </a:solidFill>
            </xdr:spPr>
            <xdr:txBody>
              <a:bodyPr wrap="square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en-GB" sz="1600" i="0">
                    <a:latin typeface="Cambria Math" panose="02040503050406030204" pitchFamily="18" charset="0"/>
                  </a:rPr>
                  <a:t>𝐶</a:t>
                </a:r>
                <a:r>
                  <a:rPr lang="en-GB" sz="1600" b="0" i="0">
                    <a:latin typeface="Cambria Math" panose="02040503050406030204" pitchFamily="18" charset="0"/>
                  </a:rPr>
                  <a:t>𝑅𝐹^′=</a:t>
                </a:r>
                <a:r>
                  <a:rPr lang="en-GB" sz="1600" i="0">
                    <a:latin typeface="Cambria Math" panose="02040503050406030204" pitchFamily="18" charset="0"/>
                  </a:rPr>
                  <a:t>(</a:t>
                </a:r>
                <a:r>
                  <a:rPr lang="en-GB" sz="1600" b="0" i="0">
                    <a:latin typeface="Cambria Math" panose="02040503050406030204" pitchFamily="18" charset="0"/>
                  </a:rPr>
                  <a:t>𝑟</a:t>
                </a:r>
                <a:r>
                  <a:rPr lang="en-GB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∙(1+𝑟)^(𝑇𝐿_𝑒</a:t>
                </a:r>
                <a:r>
                  <a:rPr lang="en-GB" sz="16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−1))/((</a:t>
                </a:r>
                <a:r>
                  <a:rPr lang="en-GB" sz="160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1+</a:t>
                </a:r>
                <a:r>
                  <a:rPr lang="en-GB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𝑟)^(</a:t>
                </a:r>
                <a:r>
                  <a:rPr lang="en-GB" sz="160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𝑇𝐿_𝑒 )</a:t>
                </a:r>
                <a:r>
                  <a:rPr lang="en-GB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−1)</a:t>
                </a:r>
                <a:endParaRPr lang="en-US" sz="1600"/>
              </a:p>
            </xdr:txBody>
          </xdr:sp>
        </mc:Fallback>
      </mc:AlternateContent>
      <xdr:sp macro="" textlink="">
        <xdr:nvSpPr>
          <xdr:cNvPr id="17" name="TextBox 18">
            <a:extLst>
              <a:ext uri="{FF2B5EF4-FFF2-40B4-BE49-F238E27FC236}">
                <a16:creationId xmlns:a16="http://schemas.microsoft.com/office/drawing/2014/main" id="{5D4E46A6-64C6-6CEE-E818-E711CEE4593E}"/>
              </a:ext>
            </a:extLst>
          </xdr:cNvPr>
          <xdr:cNvSpPr txBox="1"/>
        </xdr:nvSpPr>
        <xdr:spPr>
          <a:xfrm>
            <a:off x="12312650" y="24555450"/>
            <a:ext cx="2412406" cy="264560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it-I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t-IT" sz="1050" b="1" i="1">
                <a:latin typeface="Trebuchet MS" panose="020B0603020202020204" pitchFamily="34" charset="0"/>
              </a:rPr>
              <a:t>beginning-of-year discounting:</a:t>
            </a:r>
            <a:endParaRPr lang="en-US" sz="1050" b="1"/>
          </a:p>
        </xdr:txBody>
      </xdr:sp>
    </xdr:grpSp>
    <xdr:clientData/>
  </xdr:twoCellAnchor>
  <xdr:twoCellAnchor>
    <xdr:from>
      <xdr:col>26</xdr:col>
      <xdr:colOff>349250</xdr:colOff>
      <xdr:row>124</xdr:row>
      <xdr:rowOff>0</xdr:rowOff>
    </xdr:from>
    <xdr:to>
      <xdr:col>30</xdr:col>
      <xdr:colOff>0</xdr:colOff>
      <xdr:row>132</xdr:row>
      <xdr:rowOff>101600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B1A2AE7F-905B-AC3E-0DFF-9C48832199C3}"/>
            </a:ext>
          </a:extLst>
        </xdr:cNvPr>
        <xdr:cNvGrpSpPr/>
      </xdr:nvGrpSpPr>
      <xdr:grpSpPr>
        <a:xfrm>
          <a:off x="17138837" y="22254882"/>
          <a:ext cx="2852457" cy="1539128"/>
          <a:chOff x="16684078" y="22824966"/>
          <a:chExt cx="2475405" cy="1573048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9" name="TextBox 64">
                <a:extLst>
                  <a:ext uri="{FF2B5EF4-FFF2-40B4-BE49-F238E27FC236}">
                    <a16:creationId xmlns:a16="http://schemas.microsoft.com/office/drawing/2014/main" id="{68936E14-6D46-6A4A-DC71-9A503E1035BD}"/>
                  </a:ext>
                </a:extLst>
              </xdr:cNvPr>
              <xdr:cNvSpPr txBox="1"/>
            </xdr:nvSpPr>
            <xdr:spPr>
              <a:xfrm>
                <a:off x="16734879" y="22824966"/>
                <a:ext cx="1455681" cy="724221"/>
              </a:xfrm>
              <a:prstGeom prst="rect">
                <a:avLst/>
              </a:prstGeom>
              <a:noFill/>
            </xdr:spPr>
            <xdr:txBody>
              <a:bodyPr wrap="square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nary>
                        <m:naryPr>
                          <m:chr m:val="∑"/>
                          <m:ctrlPr>
                            <a:rPr lang="en-GB" sz="1400" b="0" i="1">
                              <a:solidFill>
                                <a:srgbClr val="0E2841"/>
                              </a:solidFill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en-GB" sz="1400" b="0" i="1">
                              <a:solidFill>
                                <a:srgbClr val="0E2841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  <m:r>
                            <a:rPr lang="en-GB" sz="1400" b="0" i="1">
                              <a:solidFill>
                                <a:srgbClr val="0E2841"/>
                              </a:solidFill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lang="en-GB" sz="1400" b="0" i="1">
                              <a:solidFill>
                                <a:srgbClr val="0E2841"/>
                              </a:solidFill>
                              <a:latin typeface="Cambria Math" panose="02040503050406030204" pitchFamily="18" charset="0"/>
                            </a:rPr>
                            <m:t>𝑘</m:t>
                          </m:r>
                        </m:sub>
                        <m:sup>
                          <m:r>
                            <a:rPr lang="en-GB" sz="1400" b="0" i="1">
                              <a:solidFill>
                                <a:srgbClr val="0E2841"/>
                              </a:solidFill>
                              <a:latin typeface="Cambria Math" panose="02040503050406030204" pitchFamily="18" charset="0"/>
                            </a:rPr>
                            <m:t>𝑘</m:t>
                          </m:r>
                          <m:r>
                            <a:rPr lang="en-GB" sz="1400" b="0" i="1">
                              <a:solidFill>
                                <a:srgbClr val="0E2841"/>
                              </a:solidFill>
                              <a:latin typeface="Cambria Math" panose="02040503050406030204" pitchFamily="18" charset="0"/>
                            </a:rPr>
                            <m:t>+</m:t>
                          </m:r>
                          <m:r>
                            <a:rPr lang="en-GB" sz="1400" b="0" i="1">
                              <a:solidFill>
                                <a:srgbClr val="0E2841"/>
                              </a:solidFill>
                              <a:latin typeface="Cambria Math" panose="02040503050406030204" pitchFamily="18" charset="0"/>
                            </a:rPr>
                            <m:t>𝑇</m:t>
                          </m:r>
                          <m:sSub>
                            <m:sSubPr>
                              <m:ctrlPr>
                                <a:rPr lang="en-GB" sz="1400" b="0" i="1">
                                  <a:solidFill>
                                    <a:srgbClr val="0E284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GB" sz="1400" b="0" i="1">
                                  <a:solidFill>
                                    <a:srgbClr val="0E2841"/>
                                  </a:solidFill>
                                  <a:latin typeface="Cambria Math" panose="02040503050406030204" pitchFamily="18" charset="0"/>
                                </a:rPr>
                                <m:t>𝐿</m:t>
                              </m:r>
                            </m:e>
                            <m:sub>
                              <m:r>
                                <a:rPr lang="en-GB" sz="1400" b="0" i="1">
                                  <a:solidFill>
                                    <a:srgbClr val="0E2841"/>
                                  </a:solidFill>
                                  <a:latin typeface="Cambria Math" panose="02040503050406030204" pitchFamily="18" charset="0"/>
                                </a:rPr>
                                <m:t>𝑒</m:t>
                              </m:r>
                            </m:sub>
                          </m:sSub>
                          <m:r>
                            <a:rPr lang="en-GB" sz="1400" b="0" i="1">
                              <a:solidFill>
                                <a:srgbClr val="0E2841"/>
                              </a:solidFill>
                              <a:latin typeface="Cambria Math" panose="02040503050406030204" pitchFamily="18" charset="0"/>
                            </a:rPr>
                            <m:t>−1</m:t>
                          </m:r>
                        </m:sup>
                        <m:e>
                          <m:f>
                            <m:fPr>
                              <m:ctrlPr>
                                <a:rPr lang="en-GB" sz="1400" b="0" i="1">
                                  <a:solidFill>
                                    <a:srgbClr val="0E284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GB" sz="1400" b="0" i="1">
                                  <a:solidFill>
                                    <a:srgbClr val="0E2841"/>
                                  </a:solidFill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sSup>
                                <m:sSupPr>
                                  <m:ctrlPr>
                                    <a:rPr lang="en-GB" sz="1400" b="0" i="1">
                                      <a:solidFill>
                                        <a:srgbClr val="0E2841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GB" sz="1400" b="0" i="1">
                                          <a:solidFill>
                                            <a:srgbClr val="0E2841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GB" sz="1400" b="0" i="1">
                                          <a:solidFill>
                                            <a:srgbClr val="0E2841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1+</m:t>
                                      </m:r>
                                      <m:r>
                                        <a:rPr lang="en-GB" sz="1400" b="0" i="1">
                                          <a:solidFill>
                                            <a:srgbClr val="0E2841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GB" sz="1400" b="0" i="1">
                                      <a:solidFill>
                                        <a:srgbClr val="0E2841"/>
                                      </a:solidFill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p>
                              </m:sSup>
                            </m:den>
                          </m:f>
                        </m:e>
                      </m:nary>
                    </m:oMath>
                  </m:oMathPara>
                </a14:m>
                <a:endParaRPr lang="it-IT" sz="1400"/>
              </a:p>
            </xdr:txBody>
          </xdr:sp>
        </mc:Choice>
        <mc:Fallback xmlns="">
          <xdr:sp macro="" textlink="">
            <xdr:nvSpPr>
              <xdr:cNvPr id="19" name="TextBox 64">
                <a:extLst>
                  <a:ext uri="{FF2B5EF4-FFF2-40B4-BE49-F238E27FC236}">
                    <a16:creationId xmlns:a16="http://schemas.microsoft.com/office/drawing/2014/main" id="{68936E14-6D46-6A4A-DC71-9A503E1035BD}"/>
                  </a:ext>
                </a:extLst>
              </xdr:cNvPr>
              <xdr:cNvSpPr txBox="1"/>
            </xdr:nvSpPr>
            <xdr:spPr>
              <a:xfrm>
                <a:off x="16734879" y="22824966"/>
                <a:ext cx="1455681" cy="724221"/>
              </a:xfrm>
              <a:prstGeom prst="rect">
                <a:avLst/>
              </a:prstGeom>
              <a:noFill/>
            </xdr:spPr>
            <xdr:txBody>
              <a:bodyPr wrap="square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en-GB" sz="1400" b="0" i="0">
                    <a:solidFill>
                      <a:srgbClr val="0E2841"/>
                    </a:solidFill>
                    <a:latin typeface="Cambria Math" panose="02040503050406030204" pitchFamily="18" charset="0"/>
                  </a:rPr>
                  <a:t>∑_(𝑦=𝑘)^(𝑘+𝑇𝐿_𝑒−1)▒1/(1+𝑑)^𝑦 </a:t>
                </a:r>
                <a:endParaRPr lang="it-IT" sz="1400"/>
              </a:p>
            </xdr:txBody>
          </xdr:sp>
        </mc:Fallback>
      </mc:AlternateContent>
      <xdr:sp macro="" textlink="">
        <xdr:nvSpPr>
          <xdr:cNvPr id="20" name="TextBox 18">
            <a:extLst>
              <a:ext uri="{FF2B5EF4-FFF2-40B4-BE49-F238E27FC236}">
                <a16:creationId xmlns:a16="http://schemas.microsoft.com/office/drawing/2014/main" id="{7B66471A-02C2-4D05-B74C-27BE53193C99}"/>
              </a:ext>
            </a:extLst>
          </xdr:cNvPr>
          <xdr:cNvSpPr txBox="1"/>
        </xdr:nvSpPr>
        <xdr:spPr>
          <a:xfrm>
            <a:off x="16684078" y="23605140"/>
            <a:ext cx="2475405" cy="792874"/>
          </a:xfrm>
          <a:prstGeom prst="rect">
            <a:avLst/>
          </a:prstGeom>
          <a:noFill/>
        </xdr:spPr>
        <xdr:txBody>
          <a:bodyPr wrap="square">
            <a:noAutofit/>
          </a:bodyPr>
          <a:lstStyle>
            <a:defPPr>
              <a:defRPr lang="it-I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it-IT" sz="1050" b="0" i="1">
                <a:latin typeface="Trebuchet MS" panose="020B0603020202020204" pitchFamily="34" charset="0"/>
              </a:rPr>
              <a:t>with:</a:t>
            </a:r>
          </a:p>
          <a:p>
            <a:pPr lvl="1" algn="l"/>
            <a:r>
              <a:rPr lang="it-IT" sz="1050" b="0" i="1">
                <a:latin typeface="Trebuchet MS" panose="020B0603020202020204" pitchFamily="34" charset="0"/>
              </a:rPr>
              <a:t>k: investment</a:t>
            </a:r>
            <a:r>
              <a:rPr lang="it-IT" sz="1050" b="0" i="1" baseline="0">
                <a:latin typeface="Trebuchet MS" panose="020B0603020202020204" pitchFamily="34" charset="0"/>
              </a:rPr>
              <a:t> year</a:t>
            </a:r>
          </a:p>
          <a:p>
            <a:pPr lvl="1" algn="l"/>
            <a:r>
              <a:rPr lang="it-IT" sz="1050" b="0" i="1" baseline="0">
                <a:latin typeface="Trebuchet MS" panose="020B0603020202020204" pitchFamily="34" charset="0"/>
              </a:rPr>
              <a:t>d: discount rate</a:t>
            </a:r>
            <a:endParaRPr lang="en-US" sz="1050" b="0"/>
          </a:p>
        </xdr:txBody>
      </xdr:sp>
    </xdr:grpSp>
    <xdr:clientData/>
  </xdr:twoCellAnchor>
  <xdr:twoCellAnchor>
    <xdr:from>
      <xdr:col>20</xdr:col>
      <xdr:colOff>158751</xdr:colOff>
      <xdr:row>152</xdr:row>
      <xdr:rowOff>127000</xdr:rowOff>
    </xdr:from>
    <xdr:to>
      <xdr:col>23</xdr:col>
      <xdr:colOff>787401</xdr:colOff>
      <xdr:row>156</xdr:row>
      <xdr:rowOff>11789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4">
              <a:extLst>
                <a:ext uri="{FF2B5EF4-FFF2-40B4-BE49-F238E27FC236}">
                  <a16:creationId xmlns:a16="http://schemas.microsoft.com/office/drawing/2014/main" id="{9B1247BA-B48A-4F53-AB51-BE0816BD20D5}"/>
                </a:ext>
              </a:extLst>
            </xdr:cNvPr>
            <xdr:cNvSpPr txBox="1"/>
          </xdr:nvSpPr>
          <xdr:spPr>
            <a:xfrm>
              <a:off x="12547601" y="28130500"/>
              <a:ext cx="2768600" cy="621389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 panose="02040503050406030204" pitchFamily="18" charset="0"/>
                      </a:rPr>
                      <m:t>𝑆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GB" sz="16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GB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6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600" b="0" i="1"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GB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it-IT" sz="16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6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(1+</m:t>
                            </m:r>
                            <m:r>
                              <a:rPr lang="it-IT" sz="16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  <m:r>
                              <a:rPr lang="it-IT" sz="16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sSub>
                              <m:sSubPr>
                                <m:ctrlPr>
                                  <a:rPr lang="en-GB" sz="16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6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GB" sz="16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</m:sup>
                        </m:sSup>
                        <m:r>
                          <a:rPr lang="en-GB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it-IT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GB" sz="16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it-IT" sz="16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6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it-IT" sz="16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lang="en-GB" sz="16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𝑇𝐿</m:t>
                            </m:r>
                          </m:sup>
                        </m:sSup>
                        <m:r>
                          <a:rPr lang="en-GB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it-IT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2" name="TextBox 4">
              <a:extLst>
                <a:ext uri="{FF2B5EF4-FFF2-40B4-BE49-F238E27FC236}">
                  <a16:creationId xmlns:a16="http://schemas.microsoft.com/office/drawing/2014/main" id="{9B1247BA-B48A-4F53-AB51-BE0816BD20D5}"/>
                </a:ext>
              </a:extLst>
            </xdr:cNvPr>
            <xdr:cNvSpPr txBox="1"/>
          </xdr:nvSpPr>
          <xdr:spPr>
            <a:xfrm>
              <a:off x="12547601" y="28130500"/>
              <a:ext cx="2768600" cy="621389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1600" b="0" i="0">
                  <a:latin typeface="Cambria Math" panose="02040503050406030204" pitchFamily="18" charset="0"/>
                </a:rPr>
                <a:t>𝑆𝑉_𝑓 (𝑘)=</a:t>
              </a:r>
              <a:r>
                <a:rPr lang="en-GB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it-IT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〖(1+𝑑)〗^(</a:t>
              </a:r>
              <a:r>
                <a:rPr lang="en-GB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𝑌_𝑟 </a:t>
              </a:r>
              <a:r>
                <a:rPr lang="it-IT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GB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it-IT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n-GB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)/(</a:t>
              </a:r>
              <a:r>
                <a:rPr lang="it-IT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(1+𝑑)</a:t>
              </a:r>
              <a:r>
                <a:rPr lang="en-GB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^𝑇𝐿−</a:t>
              </a:r>
              <a:r>
                <a:rPr lang="it-IT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n-GB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20</xdr:col>
      <xdr:colOff>184151</xdr:colOff>
      <xdr:row>141</xdr:row>
      <xdr:rowOff>88900</xdr:rowOff>
    </xdr:from>
    <xdr:to>
      <xdr:col>23</xdr:col>
      <xdr:colOff>615951</xdr:colOff>
      <xdr:row>143</xdr:row>
      <xdr:rowOff>71374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">
              <a:extLst>
                <a:ext uri="{FF2B5EF4-FFF2-40B4-BE49-F238E27FC236}">
                  <a16:creationId xmlns:a16="http://schemas.microsoft.com/office/drawing/2014/main" id="{BA25332C-1713-BCC5-A6B1-89021B9998FD}"/>
                </a:ext>
              </a:extLst>
            </xdr:cNvPr>
            <xdr:cNvSpPr txBox="1"/>
          </xdr:nvSpPr>
          <xdr:spPr>
            <a:xfrm>
              <a:off x="12573001" y="26066750"/>
              <a:ext cx="2571750" cy="350774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60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GB" sz="1600" b="0" i="1">
                        <a:latin typeface="Cambria Math" panose="02040503050406030204" pitchFamily="18" charset="0"/>
                      </a:rPr>
                      <m:t>=(</m:t>
                    </m:r>
                    <m:r>
                      <a:rPr lang="en-GB" sz="16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600" b="0" i="1">
                        <a:latin typeface="Cambria Math" panose="02040503050406030204" pitchFamily="18" charset="0"/>
                      </a:rPr>
                      <m:t>𝑇𝐿</m:t>
                    </m:r>
                    <m:r>
                      <a:rPr lang="en-GB" sz="1600" b="0" i="1">
                        <a:latin typeface="Cambria Math" panose="02040503050406030204" pitchFamily="18" charset="0"/>
                      </a:rPr>
                      <m:t>−1)−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600" b="0" i="1">
                            <a:latin typeface="Cambria Math" panose="02040503050406030204" pitchFamily="18" charset="0"/>
                          </a:rPr>
                          <m:t>𝑚𝑜𝑑𝑒𝑙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3" name="TextBox 2">
              <a:extLst>
                <a:ext uri="{FF2B5EF4-FFF2-40B4-BE49-F238E27FC236}">
                  <a16:creationId xmlns:a16="http://schemas.microsoft.com/office/drawing/2014/main" id="{BA25332C-1713-BCC5-A6B1-89021B9998FD}"/>
                </a:ext>
              </a:extLst>
            </xdr:cNvPr>
            <xdr:cNvSpPr txBox="1"/>
          </xdr:nvSpPr>
          <xdr:spPr>
            <a:xfrm>
              <a:off x="12573001" y="26066750"/>
              <a:ext cx="2571750" cy="350774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sz="1600" i="0">
                  <a:latin typeface="Cambria Math" panose="02040503050406030204" pitchFamily="18" charset="0"/>
                </a:rPr>
                <a:t>𝑌_𝑟</a:t>
              </a:r>
              <a:r>
                <a:rPr lang="en-GB" sz="1600" b="0" i="0">
                  <a:latin typeface="Cambria Math" panose="02040503050406030204" pitchFamily="18" charset="0"/>
                </a:rPr>
                <a:t>=(𝑘+𝑇𝐿−1)−𝑌_𝑚𝑜𝑑𝑒𝑙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20</xdr:col>
      <xdr:colOff>177800</xdr:colOff>
      <xdr:row>165</xdr:row>
      <xdr:rowOff>139700</xdr:rowOff>
    </xdr:from>
    <xdr:to>
      <xdr:col>32</xdr:col>
      <xdr:colOff>108815</xdr:colOff>
      <xdr:row>173</xdr:row>
      <xdr:rowOff>47647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18">
              <a:extLst>
                <a:ext uri="{FF2B5EF4-FFF2-40B4-BE49-F238E27FC236}">
                  <a16:creationId xmlns:a16="http://schemas.microsoft.com/office/drawing/2014/main" id="{F48C0B0C-0A4C-8D79-4B7A-D9863632F1F6}"/>
                </a:ext>
              </a:extLst>
            </xdr:cNvPr>
            <xdr:cNvSpPr txBox="1"/>
          </xdr:nvSpPr>
          <xdr:spPr>
            <a:xfrm>
              <a:off x="12566650" y="30537150"/>
              <a:ext cx="8389215" cy="1381147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 panose="02040503050406030204" pitchFamily="18" charset="0"/>
                      </a:rPr>
                      <m:t>𝑆𝐴𝐿𝑉𝐺𝐸</m:t>
                    </m:r>
                    <m:d>
                      <m:d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600" b="0" i="1">
                            <a:latin typeface="Cambria Math" panose="02040503050406030204" pitchFamily="18" charset="0"/>
                          </a:rPr>
                          <m:t>𝐵𝑂𝐻</m:t>
                        </m:r>
                      </m:e>
                    </m:d>
                    <m:r>
                      <a:rPr lang="en-GB" sz="16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GB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6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n-GB" sz="16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lang="en-GB" sz="1600" b="0" i="1">
                                <a:latin typeface="Cambria Math" panose="02040503050406030204" pitchFamily="18" charset="0"/>
                              </a:rPr>
                              <m:t>𝐸𝑂𝐻</m:t>
                            </m:r>
                            <m:r>
                              <a:rPr lang="en-GB" sz="16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p>
                        </m:sSup>
                      </m:den>
                    </m:f>
                    <m:r>
                      <a:rPr lang="en-GB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d>
                      <m:dPr>
                        <m:begChr m:val="{"/>
                        <m:endChr m:val="}"/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GB" sz="1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6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60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en-GB" sz="1600" b="0" i="1">
                                    <a:latin typeface="Cambria Math" panose="02040503050406030204" pitchFamily="18" charset="0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GB" sz="160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GB" sz="16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6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</m:d>
                            <m:sSup>
                              <m:sSupPr>
                                <m:ctrlPr>
                                  <a:rPr lang="it-IT" sz="16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6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∙</m:t>
                                </m:r>
                                <m:d>
                                  <m:dPr>
                                    <m:ctrlPr>
                                      <a:rPr lang="it-IT" sz="16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it-IT" sz="16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1+</m:t>
                                    </m:r>
                                    <m:r>
                                      <a:rPr lang="it-IT" sz="16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sSub>
                                  <m:sSubPr>
                                    <m:ctrlPr>
                                      <a:rPr lang="en-GB" sz="16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6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GB" sz="16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𝑢</m:t>
                                    </m:r>
                                  </m:sub>
                                </m:sSub>
                                <m:r>
                                  <a:rPr lang="en-GB" sz="16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+1</m:t>
                                </m:r>
                              </m:sup>
                            </m:sSup>
                            <m:r>
                              <a:rPr lang="en-GB" sz="1600" i="1">
                                <a:latin typeface="Cambria Math" panose="02040503050406030204" pitchFamily="18" charset="0"/>
                              </a:rPr>
                              <m:t>∙</m:t>
                            </m:r>
                            <m:d>
                              <m:dPr>
                                <m:ctrlPr>
                                  <a:rPr lang="en-GB" sz="16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GB" sz="16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GB" sz="16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𝐶𝑅</m:t>
                                    </m:r>
                                    <m:sSubSup>
                                      <m:sSubSupPr>
                                        <m:ctrlPr>
                                          <a:rPr lang="en-GB" sz="16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GB" sz="16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𝐹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en-GB" sz="16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6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e>
                                          <m:sub>
                                            <m:r>
                                              <a:rPr lang="en-GB" sz="16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sub>
                                        </m:sSub>
                                      </m:sub>
                                      <m:sup>
                                        <m:r>
                                          <a:rPr lang="en-GB" sz="16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′</m:t>
                                        </m:r>
                                      </m:sup>
                                    </m:sSubSup>
                                  </m:num>
                                  <m:den>
                                    <m:r>
                                      <a:rPr lang="en-GB" sz="16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𝐶𝑅</m:t>
                                    </m:r>
                                    <m:sSubSup>
                                      <m:sSubSupPr>
                                        <m:ctrlPr>
                                          <a:rPr lang="en-GB" sz="16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GB" sz="16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𝐹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en-GB" sz="16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60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𝑑</m:t>
                                            </m:r>
                                          </m:e>
                                          <m:sub>
                                            <m:r>
                                              <a:rPr lang="en-GB" sz="16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sub>
                                        </m:sSub>
                                      </m:sub>
                                      <m:sup>
                                        <m:r>
                                          <a:rPr lang="en-GB" sz="16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′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d>
                          </m:e>
                        </m:d>
                        <m:r>
                          <a:rPr lang="en-GB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GB" sz="16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𝐶𝐴𝑃𝐸𝑋</m:t>
                            </m:r>
                            <m:r>
                              <a:rPr lang="en-GB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b>
                              <m:sSubPr>
                                <m:ctrlPr>
                                  <a:rPr lang="en-GB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GB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𝑛𝑒𝑤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GB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8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</m:d>
                          </m:e>
                        </m:d>
                      </m:e>
                    </m:d>
                  </m:oMath>
                </m:oMathPara>
              </a14:m>
              <a:endParaRPr lang="en-GB" sz="1600" b="0"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GB" sz="16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6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GB" sz="16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6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6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6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lang="en-GB" sz="16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p>
                        </m:sSup>
                      </m:den>
                    </m:f>
                    <m:r>
                      <a:rPr lang="en-GB" sz="16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GB" sz="16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6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  <m:r>
                          <a:rPr lang="en-GB" sz="16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GB" sz="16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sub>
                    </m:sSub>
                    <m:d>
                      <m:dPr>
                        <m:ctrlPr>
                          <a:rPr lang="en-GB" sz="16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GB" sz="16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</m:d>
                    <m:r>
                      <a:rPr lang="en-GB" sz="16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d>
                      <m:dPr>
                        <m:ctrlPr>
                          <a:rPr lang="en-GB" sz="16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6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6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𝐶𝑅</m:t>
                            </m:r>
                            <m:sSubSup>
                              <m:sSubSupPr>
                                <m:ctrlPr>
                                  <a:rPr lang="en-GB" sz="16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6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en-GB" sz="16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6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GB" sz="16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sub>
                                </m:sSub>
                              </m:sub>
                              <m:sup>
                                <m:r>
                                  <a:rPr lang="en-GB" sz="16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num>
                          <m:den>
                            <m:r>
                              <a:rPr lang="en-GB" sz="16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𝐶𝑅</m:t>
                            </m:r>
                            <m:sSubSup>
                              <m:sSubSupPr>
                                <m:ctrlPr>
                                  <a:rPr lang="en-GB" sz="16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6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en-GB" sz="16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6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n-GB" sz="16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sub>
                                </m:sSub>
                              </m:sub>
                              <m:sup>
                                <m:r>
                                  <a:rPr lang="en-GB" sz="16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den>
                        </m:f>
                      </m:e>
                    </m:d>
                    <m:r>
                      <a:rPr lang="en-GB" sz="160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d>
                      <m:dPr>
                        <m:begChr m:val="["/>
                        <m:endChr m:val="]"/>
                        <m:ctrlPr>
                          <a:rPr lang="en-GB" sz="18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GB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𝐶𝐴𝑃𝐸𝑋</m:t>
                        </m:r>
                        <m:r>
                          <a:rPr lang="en-GB" sz="18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lang="en-GB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en-GB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𝑛𝑒𝑤</m:t>
                            </m:r>
                          </m:sub>
                        </m:sSub>
                        <m:d>
                          <m:dPr>
                            <m:ctrlPr>
                              <a:rPr lang="en-GB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4" name="TextBox 18">
              <a:extLst>
                <a:ext uri="{FF2B5EF4-FFF2-40B4-BE49-F238E27FC236}">
                  <a16:creationId xmlns:a16="http://schemas.microsoft.com/office/drawing/2014/main" id="{F48C0B0C-0A4C-8D79-4B7A-D9863632F1F6}"/>
                </a:ext>
              </a:extLst>
            </xdr:cNvPr>
            <xdr:cNvSpPr txBox="1"/>
          </xdr:nvSpPr>
          <xdr:spPr>
            <a:xfrm>
              <a:off x="12566650" y="30537150"/>
              <a:ext cx="8389215" cy="1381147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1600" b="0" i="0">
                  <a:latin typeface="Cambria Math" panose="02040503050406030204" pitchFamily="18" charset="0"/>
                </a:rPr>
                <a:t>𝑆𝐴𝐿𝑉𝐺𝐸(𝐵𝑂𝐻)=  1/(1+𝑑)^(𝐸𝑂𝐻+1) </a:t>
              </a:r>
              <a:r>
                <a:rPr lang="en-GB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GB" sz="1600" b="0" i="0">
                  <a:latin typeface="Cambria Math" panose="02040503050406030204" pitchFamily="18" charset="0"/>
                </a:rPr>
                <a:t>{[〖</a:t>
              </a:r>
              <a:r>
                <a:rPr lang="en-GB" sz="1600" i="0">
                  <a:latin typeface="Cambria Math" panose="02040503050406030204" pitchFamily="18" charset="0"/>
                </a:rPr>
                <a:t>𝑆</a:t>
              </a:r>
              <a:r>
                <a:rPr lang="en-GB" sz="1600" b="0" i="0">
                  <a:latin typeface="Cambria Math" panose="02040503050406030204" pitchFamily="18" charset="0"/>
                </a:rPr>
                <a:t>𝑉〗_</a:t>
              </a:r>
              <a:r>
                <a:rPr lang="en-GB" sz="1600" i="0">
                  <a:latin typeface="Cambria Math" panose="02040503050406030204" pitchFamily="18" charset="0"/>
                </a:rPr>
                <a:t>𝑓 (</a:t>
              </a:r>
              <a:r>
                <a:rPr lang="en-GB" sz="1600" b="0" i="0">
                  <a:latin typeface="Cambria Math" panose="02040503050406030204" pitchFamily="18" charset="0"/>
                </a:rPr>
                <a:t>𝑘)</a:t>
              </a:r>
              <a:r>
                <a:rPr lang="it-IT" sz="16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it-IT" sz="16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it-IT" sz="16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(1+𝑑)〗^(</a:t>
              </a:r>
              <a:r>
                <a:rPr lang="en-GB" sz="16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𝑌_𝑢+1</a:t>
              </a:r>
              <a:r>
                <a:rPr lang="it-IT" sz="16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GB" sz="1600" i="0">
                  <a:latin typeface="Cambria Math" panose="02040503050406030204" pitchFamily="18" charset="0"/>
                </a:rPr>
                <a:t>∙</a:t>
              </a:r>
              <a:r>
                <a:rPr lang="en-GB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((𝐶𝑅𝐹</a:t>
              </a:r>
              <a:r>
                <a:rPr lang="en-GB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_(𝑖_𝑟)^′)/(</a:t>
              </a:r>
              <a:r>
                <a:rPr lang="en-GB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𝐶𝑅𝐹</a:t>
              </a:r>
              <a:r>
                <a:rPr lang="en-GB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en-GB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</a:t>
              </a:r>
              <a:r>
                <a:rPr lang="en-GB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_𝑟)^′ ))]</a:t>
              </a:r>
              <a:r>
                <a:rPr lang="en-GB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×[</a:t>
              </a:r>
              <a:r>
                <a:rPr lang="en-GB" sz="18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𝐶𝐴𝑃𝐸𝑋∙𝑐_𝑛𝑒𝑤 (𝑘)</a:t>
              </a:r>
              <a:r>
                <a:rPr lang="en-GB" sz="16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]}</a:t>
              </a:r>
              <a:endParaRPr lang="en-GB" sz="1600" b="0">
                <a:ea typeface="Cambria Math" panose="02040503050406030204" pitchFamily="18" charset="0"/>
              </a:endParaRPr>
            </a:p>
            <a:p>
              <a:pPr/>
              <a:r>
                <a:rPr lang="en-GB" sz="1600" b="0" i="0">
                  <a:latin typeface="Cambria Math" panose="02040503050406030204" pitchFamily="18" charset="0"/>
                </a:rPr>
                <a:t>= </a:t>
              </a:r>
              <a:r>
                <a:rPr lang="en-GB" sz="16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1/(1+𝑑)^</a:t>
              </a:r>
              <a:r>
                <a:rPr lang="en-GB" sz="16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en-GB" sz="16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×</a:t>
              </a:r>
              <a:r>
                <a:rPr lang="en-GB" sz="16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〖𝑆</a:t>
              </a:r>
              <a:r>
                <a:rPr lang="en-GB" sz="16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𝑉〗_</a:t>
              </a:r>
              <a:r>
                <a:rPr lang="en-GB" sz="16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 (</a:t>
              </a:r>
              <a:r>
                <a:rPr lang="en-GB" sz="16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𝑘)</a:t>
              </a:r>
              <a:r>
                <a:rPr lang="en-GB" sz="16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GB" sz="16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((𝐶𝑅𝐹</a:t>
              </a:r>
              <a:r>
                <a:rPr lang="en-GB" sz="16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_(𝑖_𝑟)^′)/(</a:t>
              </a:r>
              <a:r>
                <a:rPr lang="en-GB" sz="16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𝐶𝑅𝐹</a:t>
              </a:r>
              <a:r>
                <a:rPr lang="en-GB" sz="16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GB" sz="16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</a:t>
              </a:r>
              <a:r>
                <a:rPr lang="en-GB" sz="16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_𝑟)^′ ))</a:t>
              </a:r>
              <a:r>
                <a:rPr lang="en-GB" sz="16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</a:t>
              </a:r>
              <a:r>
                <a:rPr lang="en-GB" sz="18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</a:t>
              </a:r>
              <a:r>
                <a:rPr lang="en-GB" sz="18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𝐶𝐴𝑃𝐸𝑋∙𝑐_𝑛𝑒𝑤 (𝑘)]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20</xdr:col>
      <xdr:colOff>311150</xdr:colOff>
      <xdr:row>164</xdr:row>
      <xdr:rowOff>0</xdr:rowOff>
    </xdr:from>
    <xdr:to>
      <xdr:col>23</xdr:col>
      <xdr:colOff>742950</xdr:colOff>
      <xdr:row>165</xdr:row>
      <xdr:rowOff>158636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">
              <a:extLst>
                <a:ext uri="{FF2B5EF4-FFF2-40B4-BE49-F238E27FC236}">
                  <a16:creationId xmlns:a16="http://schemas.microsoft.com/office/drawing/2014/main" id="{C4C16A80-A24A-4FC4-9DFD-73830D25016C}"/>
                </a:ext>
              </a:extLst>
            </xdr:cNvPr>
            <xdr:cNvSpPr txBox="1"/>
          </xdr:nvSpPr>
          <xdr:spPr>
            <a:xfrm>
              <a:off x="12700000" y="30213300"/>
              <a:ext cx="2571750" cy="342786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sz="1600" b="0" i="1"/>
                <a:t>with:      </a:t>
              </a:r>
              <a:r>
                <a:rPr lang="en-GB" sz="1600" b="0" baseline="0"/>
                <a:t> </a:t>
              </a:r>
              <a14:m>
                <m:oMath xmlns:m="http://schemas.openxmlformats.org/officeDocument/2006/math">
                  <m:r>
                    <a:rPr lang="en-GB" sz="1600" b="0" i="1">
                      <a:latin typeface="Cambria Math" panose="02040503050406030204" pitchFamily="18" charset="0"/>
                    </a:rPr>
                    <m:t>𝐸𝑂𝐻</m:t>
                  </m:r>
                  <m:r>
                    <a:rPr lang="en-GB" sz="1600" b="0" i="1">
                      <a:latin typeface="Cambria Math" panose="02040503050406030204" pitchFamily="18" charset="0"/>
                    </a:rPr>
                    <m:t>=</m:t>
                  </m:r>
                  <m:r>
                    <a:rPr lang="en-GB" sz="1600" b="0" i="1">
                      <a:latin typeface="Cambria Math" panose="02040503050406030204" pitchFamily="18" charset="0"/>
                    </a:rPr>
                    <m:t>𝑘</m:t>
                  </m:r>
                  <m:r>
                    <a:rPr lang="en-GB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GB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6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lang="en-GB" sz="1600" b="0" i="1">
                          <a:latin typeface="Cambria Math" panose="02040503050406030204" pitchFamily="18" charset="0"/>
                        </a:rPr>
                        <m:t>𝑢</m:t>
                      </m:r>
                    </m:sub>
                  </m:sSub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25" name="TextBox 2">
              <a:extLst>
                <a:ext uri="{FF2B5EF4-FFF2-40B4-BE49-F238E27FC236}">
                  <a16:creationId xmlns:a16="http://schemas.microsoft.com/office/drawing/2014/main" id="{C4C16A80-A24A-4FC4-9DFD-73830D25016C}"/>
                </a:ext>
              </a:extLst>
            </xdr:cNvPr>
            <xdr:cNvSpPr txBox="1"/>
          </xdr:nvSpPr>
          <xdr:spPr>
            <a:xfrm>
              <a:off x="12700000" y="30213300"/>
              <a:ext cx="2571750" cy="342786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sz="1600" b="0" i="1"/>
                <a:t>with:      </a:t>
              </a:r>
              <a:r>
                <a:rPr lang="en-GB" sz="1600" b="0" baseline="0"/>
                <a:t> </a:t>
              </a:r>
              <a:r>
                <a:rPr lang="en-GB" sz="1600" b="0" i="0">
                  <a:latin typeface="Cambria Math" panose="02040503050406030204" pitchFamily="18" charset="0"/>
                </a:rPr>
                <a:t>𝐸𝑂𝐻=𝑘+𝑌_𝑢</a:t>
              </a:r>
              <a:endParaRPr lang="en-US" sz="16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46037</xdr:rowOff>
    </xdr:from>
    <xdr:to>
      <xdr:col>12</xdr:col>
      <xdr:colOff>57150</xdr:colOff>
      <xdr:row>17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665441-1C1D-0E35-FF75-63D085E3F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387351</xdr:colOff>
      <xdr:row>3</xdr:row>
      <xdr:rowOff>6350</xdr:rowOff>
    </xdr:from>
    <xdr:to>
      <xdr:col>18</xdr:col>
      <xdr:colOff>285751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045E08-0843-49D2-9F68-AD62504C9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mmaso Zacconi" id="{3DE56473-E309-4175-9E04-2A2F2A45446E}" userId="S::10608230@polimi.it::a10af20d-9ac8-484e-be87-e7ff8a1727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8" dT="2025-10-23T13:31:05.00" personId="{3DE56473-E309-4175-9E04-2A2F2A45446E}" id="{526EF239-DE95-4DEB-BFEA-0FE06398BBB2}">
    <text>(6,5)</text>
  </threadedComment>
  <threadedComment ref="AQ8" dT="2025-10-23T14:02:34.48" personId="{3DE56473-E309-4175-9E04-2A2F2A45446E}" id="{1474A65B-F6FA-4D60-8AD3-6C1E565D0962}">
    <text>HP: product-based
--&gt; product-mix matrix (c’)</text>
  </threadedComment>
  <threadedComment ref="D11" dT="2025-10-23T13:21:49.26" personId="{3DE56473-E309-4175-9E04-2A2F2A45446E}" id="{1BE59145-22A2-4074-BDF6-C2FB4DB6CC31}">
    <text>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ext>
  </threadedComment>
  <threadedComment ref="D13" dT="2025-10-23T13:23:32.17" personId="{3DE56473-E309-4175-9E04-2A2F2A45446E}" id="{B45F9B41-B8DB-4C7F-A9A6-47B397D8816A}">
    <text>HP: electricity = main_prod + by-prod
--&gt; to distinguish the different nature between the two flows, I need to separate them. Thanks to this, I can define different assumptions on them</text>
  </threadedComment>
  <threadedComment ref="G16" dT="2025-10-23T13:31:16.33" personId="{3DE56473-E309-4175-9E04-2A2F2A45446E}" id="{052CDC5A-53C4-4A1C-A7A4-02DED377478D}">
    <text>(5,6)</text>
  </threadedComment>
  <threadedComment ref="AC16" dT="2025-10-23T14:02:18.23" personId="{3DE56473-E309-4175-9E04-2A2F2A45446E}" id="{32FF2F35-0289-4407-9D6F-AFD05387A17E}">
    <text>HP: Industry-based 
--&gt; Market-share matrix (d)</text>
  </threadedComment>
  <threadedComment ref="D19" dT="2025-10-23T15:08:17.57" personId="{3DE56473-E309-4175-9E04-2A2F2A45446E}" id="{3F7E5E09-F5BA-42AA-9489-90EF79D3FAD8}">
    <text>In reality, it works under product-based assumption (per unit of activity, it works with fixed carrier-ratios)
--&gt; for this reason, I need to separate electricity_CHP from electricity_other</text>
  </threadedComment>
  <threadedComment ref="W26" dT="2025-10-24T09:40:08.46" personId="{3DE56473-E309-4175-9E04-2A2F2A45446E}" id="{7CCC46CF-1057-4212-AF08-E43237C0EF54}">
    <text>PLEASE NOTE:
By changing the first guess, I could get a different solution!</text>
  </threadedComment>
  <threadedComment ref="D29" dT="2025-10-23T13:21:49.26" personId="{3DE56473-E309-4175-9E04-2A2F2A45446E}" id="{234F9614-C0C2-414C-9940-875D65FC32A9}">
    <text>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ext>
  </threadedComment>
  <threadedComment ref="D31" dT="2025-10-23T13:23:32.17" personId="{3DE56473-E309-4175-9E04-2A2F2A45446E}" id="{8D869B35-4F78-4346-880E-E8017FBDC1C1}">
    <text>HP: electricity = main_prod + by-prod
--&gt; to distinguish the different nature between the two flows, I need to separate them. Thanks to this, I can define different assumptions on them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8" dT="2025-10-23T13:31:05.00" personId="{3DE56473-E309-4175-9E04-2A2F2A45446E}" id="{E8AA27AC-6BF4-4353-B329-1FFB824A5766}">
    <text>(6,5)</text>
  </threadedComment>
  <threadedComment ref="AQ8" dT="2025-10-23T14:02:34.48" personId="{3DE56473-E309-4175-9E04-2A2F2A45446E}" id="{B967F269-43ED-4C27-A19F-1AB32D270829}">
    <text>HP: product-based
--&gt; product-mix matrix (c’)</text>
  </threadedComment>
  <threadedComment ref="D11" dT="2025-10-23T13:21:49.26" personId="{3DE56473-E309-4175-9E04-2A2F2A45446E}" id="{4F21BC6B-08A0-491E-9048-6880A7C803C9}">
    <text>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ext>
  </threadedComment>
  <threadedComment ref="D13" dT="2025-10-23T13:23:32.17" personId="{3DE56473-E309-4175-9E04-2A2F2A45446E}" id="{9118A93E-EE42-4DEC-9C43-F132CDD957EE}">
    <text>HP: electricity = main_prod + by-prod
--&gt; to distinguish the different nature between the two flows, I need to separate them. Thanks to this, I can define different assumptions on them</text>
  </threadedComment>
  <threadedComment ref="G16" dT="2025-10-23T13:31:16.33" personId="{3DE56473-E309-4175-9E04-2A2F2A45446E}" id="{743637DD-ECF7-4AB1-ABA8-25A970F4F4D9}">
    <text>(5,6)</text>
  </threadedComment>
  <threadedComment ref="AC16" dT="2025-10-23T14:02:18.23" personId="{3DE56473-E309-4175-9E04-2A2F2A45446E}" id="{163173D1-3F42-43DE-B7E9-A81A4921DAC4}">
    <text>HP: Industry-based 
--&gt; Market-share matrix (d)</text>
  </threadedComment>
  <threadedComment ref="D19" dT="2025-10-23T15:08:17.57" personId="{3DE56473-E309-4175-9E04-2A2F2A45446E}" id="{6C249F3A-14CF-4509-84FC-B138E53D3981}">
    <text>In reality, it works under product-based assumption (per unit of activity, it works with fixed carrier-ratios)
--&gt; for this reason, I need to separate electricity_CHP from electricity_other</text>
  </threadedComment>
  <threadedComment ref="W35" dT="2025-10-24T09:40:08.46" personId="{3DE56473-E309-4175-9E04-2A2F2A45446E}" id="{D6685514-3955-44ED-95E9-471C08B06EE4}">
    <text>PLEASE NOTE:
By changing the level of the final demand of products, I could get a different solution!
NOTE that this time, I don’t need a specific guess to get a feasible solution!  The system will adjust itself (there is flexibility now, there is no demand for EE by one source or another) to make it work.
Moreover, for a given set of demand, there could be more solutions! It depends on where the OF brings you!</text>
  </threadedComment>
  <threadedComment ref="W35" dT="2025-10-24T16:35:40.06" personId="{3DE56473-E309-4175-9E04-2A2F2A45446E}" id="{399820FA-BE81-4FFE-8A66-DE4C56AAED53}" parentId="{D6685514-3955-44ED-95E9-471C08B06EE4}">
    <text>For instance, if you change MIN/MAX, the OF should bring you to a different solution. If it does not happen, it’s due to the weakness of the Excel Solver (indeed, by changing the first guess for the decision variables, the solution changes!)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42" dT="2025-10-28T15:12:41.34" personId="{3DE56473-E309-4175-9E04-2A2F2A45446E}" id="{B9B0EC03-DBAF-461C-ACB5-7D94923DEFF9}">
    <text>This is the way TIMES does it.
However, I disagree with this formulation: Remaining Years should be computed taking into account the “installation year” instead of the “investment year”!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zoomScale="130" zoomScaleNormal="130" workbookViewId="0">
      <pane xSplit="5" ySplit="7" topLeftCell="F23" activePane="bottomRight" state="frozen"/>
      <selection pane="topRight" activeCell="F1" sqref="F1"/>
      <selection pane="bottomLeft" activeCell="A6" sqref="A6"/>
      <selection pane="bottomRight" activeCell="Z54" sqref="Z54"/>
    </sheetView>
  </sheetViews>
  <sheetFormatPr defaultRowHeight="14.5" x14ac:dyDescent="0.35"/>
  <cols>
    <col min="1" max="1" width="11.1796875" bestFit="1" customWidth="1"/>
    <col min="2" max="2" width="6" bestFit="1" customWidth="1"/>
    <col min="3" max="3" width="5.81640625" bestFit="1" customWidth="1"/>
    <col min="4" max="4" width="13.26953125" bestFit="1" customWidth="1"/>
    <col min="5" max="5" width="5.54296875" bestFit="1" customWidth="1"/>
    <col min="7" max="7" width="13.81640625" bestFit="1" customWidth="1"/>
    <col min="8" max="10" width="6.54296875" bestFit="1" customWidth="1"/>
    <col min="11" max="11" width="8.54296875" customWidth="1"/>
    <col min="12" max="12" width="5.81640625" bestFit="1" customWidth="1"/>
    <col min="13" max="13" width="4.81640625" bestFit="1" customWidth="1"/>
    <col min="14" max="14" width="3.81640625" customWidth="1"/>
    <col min="15" max="17" width="6.54296875" bestFit="1" customWidth="1"/>
    <col min="18" max="18" width="4.54296875" bestFit="1" customWidth="1"/>
    <col min="19" max="19" width="6.54296875" bestFit="1" customWidth="1"/>
    <col min="20" max="20" width="3.54296875" customWidth="1"/>
    <col min="21" max="21" width="4.453125" bestFit="1" customWidth="1"/>
    <col min="22" max="22" width="4.453125" customWidth="1"/>
    <col min="23" max="23" width="9" bestFit="1" customWidth="1"/>
    <col min="24" max="24" width="5.54296875" bestFit="1" customWidth="1"/>
    <col min="25" max="25" width="9.54296875" bestFit="1" customWidth="1"/>
    <col min="26" max="26" width="14.1796875" customWidth="1"/>
    <col min="29" max="35" width="4.81640625" bestFit="1" customWidth="1"/>
    <col min="37" max="37" width="8.1796875" bestFit="1" customWidth="1"/>
    <col min="38" max="39" width="6" bestFit="1" customWidth="1"/>
    <col min="40" max="40" width="5" bestFit="1" customWidth="1"/>
    <col min="41" max="41" width="6" bestFit="1" customWidth="1"/>
    <col min="43" max="47" width="6" style="3" bestFit="1" customWidth="1"/>
  </cols>
  <sheetData>
    <row r="1" spans="1:47" x14ac:dyDescent="0.35">
      <c r="A1" t="s">
        <v>56</v>
      </c>
      <c r="C1" s="52" t="s">
        <v>57</v>
      </c>
      <c r="D1" s="52"/>
    </row>
    <row r="2" spans="1:47" x14ac:dyDescent="0.35">
      <c r="C2" s="74" t="s">
        <v>58</v>
      </c>
      <c r="D2" s="74"/>
    </row>
    <row r="3" spans="1:47" x14ac:dyDescent="0.35">
      <c r="C3" s="75" t="s">
        <v>59</v>
      </c>
      <c r="D3" s="75"/>
    </row>
    <row r="4" spans="1:47" x14ac:dyDescent="0.35">
      <c r="A4" s="1" t="s">
        <v>37</v>
      </c>
    </row>
    <row r="5" spans="1:47" x14ac:dyDescent="0.35">
      <c r="B5" s="1" t="s">
        <v>1</v>
      </c>
      <c r="C5" s="1"/>
      <c r="D5" s="1"/>
      <c r="E5" s="1"/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AC5" t="s">
        <v>12</v>
      </c>
      <c r="AD5" t="s">
        <v>13</v>
      </c>
      <c r="AE5" t="s">
        <v>14</v>
      </c>
      <c r="AF5" t="s">
        <v>15</v>
      </c>
      <c r="AG5" t="s">
        <v>16</v>
      </c>
      <c r="AH5" t="s">
        <v>17</v>
      </c>
      <c r="AI5" t="s">
        <v>18</v>
      </c>
    </row>
    <row r="6" spans="1:47" x14ac:dyDescent="0.35">
      <c r="B6" s="1"/>
      <c r="C6" s="1" t="s">
        <v>0</v>
      </c>
      <c r="D6" s="1"/>
      <c r="E6" s="1"/>
      <c r="O6" t="s">
        <v>24</v>
      </c>
      <c r="P6" t="s">
        <v>25</v>
      </c>
      <c r="Q6" t="s">
        <v>26</v>
      </c>
      <c r="R6" t="s">
        <v>27</v>
      </c>
      <c r="S6" t="s">
        <v>28</v>
      </c>
      <c r="U6" t="s">
        <v>33</v>
      </c>
      <c r="W6" s="36" t="s">
        <v>44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Q6" s="3" t="s">
        <v>24</v>
      </c>
      <c r="AR6" s="3" t="s">
        <v>25</v>
      </c>
      <c r="AS6" s="3" t="s">
        <v>26</v>
      </c>
      <c r="AT6" s="3" t="s">
        <v>27</v>
      </c>
      <c r="AU6" s="3" t="s">
        <v>28</v>
      </c>
    </row>
    <row r="7" spans="1:47" x14ac:dyDescent="0.35">
      <c r="B7" s="1"/>
      <c r="C7" s="1"/>
      <c r="D7" s="1" t="s">
        <v>2</v>
      </c>
      <c r="E7" s="1" t="s">
        <v>3</v>
      </c>
    </row>
    <row r="8" spans="1:47" x14ac:dyDescent="0.35">
      <c r="O8" t="s">
        <v>32</v>
      </c>
      <c r="U8" t="s">
        <v>34</v>
      </c>
      <c r="Y8" t="s">
        <v>35</v>
      </c>
      <c r="AC8" s="23"/>
      <c r="AD8" s="23"/>
      <c r="AE8" s="23"/>
      <c r="AF8" s="23"/>
      <c r="AG8" s="23"/>
      <c r="AH8" s="23"/>
      <c r="AI8" s="23"/>
      <c r="AJ8" s="23"/>
      <c r="AK8" s="23" t="s">
        <v>41</v>
      </c>
      <c r="AL8" s="23"/>
      <c r="AM8" s="23"/>
      <c r="AN8" s="23"/>
      <c r="AO8" s="23"/>
      <c r="AP8" s="23"/>
      <c r="AQ8" s="44" t="s">
        <v>46</v>
      </c>
      <c r="AR8" s="44"/>
      <c r="AS8" s="44"/>
    </row>
    <row r="9" spans="1:47" x14ac:dyDescent="0.35">
      <c r="B9" t="s">
        <v>12</v>
      </c>
      <c r="D9" t="s">
        <v>4</v>
      </c>
      <c r="E9" t="s">
        <v>29</v>
      </c>
      <c r="G9" s="5"/>
      <c r="H9" s="5"/>
      <c r="I9" s="5"/>
      <c r="J9" s="5"/>
      <c r="K9" s="5"/>
      <c r="L9" s="5"/>
      <c r="M9" s="5"/>
      <c r="N9" s="5"/>
      <c r="O9" s="6">
        <v>0</v>
      </c>
      <c r="P9" s="7">
        <v>50</v>
      </c>
      <c r="Q9" s="7">
        <v>100</v>
      </c>
      <c r="R9" s="7">
        <v>0</v>
      </c>
      <c r="S9" s="8">
        <v>0</v>
      </c>
      <c r="T9" s="5"/>
      <c r="U9" s="9">
        <v>0</v>
      </c>
      <c r="V9" s="11"/>
      <c r="W9" s="5"/>
      <c r="Y9" s="9">
        <f t="shared" ref="Y9:Y15" si="0">SUM(O9:S9,U9)</f>
        <v>150</v>
      </c>
      <c r="AC9" s="23"/>
      <c r="AD9" s="23"/>
      <c r="AE9" s="23"/>
      <c r="AF9" s="23"/>
      <c r="AG9" s="23"/>
      <c r="AH9" s="23"/>
      <c r="AI9" s="23"/>
      <c r="AJ9" s="23"/>
      <c r="AK9" s="24" cm="1">
        <f t="array" ref="AK9:AO15">MMULT(O9:S15,MINVERSE(Y17:Y21*_xlfn.MUNIT(COUNTA(Y17:Y21))))</f>
        <v>0</v>
      </c>
      <c r="AL9" s="25">
        <v>1.25</v>
      </c>
      <c r="AM9" s="25">
        <v>2</v>
      </c>
      <c r="AN9" s="25">
        <v>0</v>
      </c>
      <c r="AO9" s="26">
        <v>0</v>
      </c>
      <c r="AP9" s="23"/>
      <c r="AQ9" s="24" cm="1">
        <f t="array" ref="AQ9:AU15">MMULT(TRANSPOSE(G17:M21),MINVERSE(Y17:Y21*_xlfn.MUNIT(COUNTA(Y17:Y21))))</f>
        <v>0.88235294117647056</v>
      </c>
      <c r="AR9" s="25">
        <v>0</v>
      </c>
      <c r="AS9" s="26">
        <v>0</v>
      </c>
      <c r="AT9" s="25">
        <v>0</v>
      </c>
      <c r="AU9" s="26">
        <v>0</v>
      </c>
    </row>
    <row r="10" spans="1:47" x14ac:dyDescent="0.35">
      <c r="B10" t="s">
        <v>13</v>
      </c>
      <c r="D10" t="s">
        <v>5</v>
      </c>
      <c r="E10" t="s">
        <v>29</v>
      </c>
      <c r="G10" s="5"/>
      <c r="H10" s="5"/>
      <c r="I10" s="5"/>
      <c r="J10" s="5"/>
      <c r="K10" s="5"/>
      <c r="L10" s="5"/>
      <c r="M10" s="5"/>
      <c r="N10" s="5"/>
      <c r="O10" s="10">
        <v>0</v>
      </c>
      <c r="P10" s="11">
        <v>0</v>
      </c>
      <c r="Q10" s="11">
        <v>0</v>
      </c>
      <c r="R10" s="12">
        <v>0</v>
      </c>
      <c r="S10" s="13">
        <v>0</v>
      </c>
      <c r="T10" s="5"/>
      <c r="U10" s="14">
        <v>20</v>
      </c>
      <c r="V10" s="11"/>
      <c r="W10" s="5"/>
      <c r="Y10" s="14">
        <f t="shared" si="0"/>
        <v>20</v>
      </c>
      <c r="AC10" s="23"/>
      <c r="AD10" s="23"/>
      <c r="AE10" s="23"/>
      <c r="AF10" s="23"/>
      <c r="AG10" s="23"/>
      <c r="AH10" s="23"/>
      <c r="AI10" s="23"/>
      <c r="AJ10" s="23"/>
      <c r="AK10" s="27">
        <v>0</v>
      </c>
      <c r="AL10" s="28">
        <v>0</v>
      </c>
      <c r="AM10" s="28">
        <v>0</v>
      </c>
      <c r="AN10" s="28">
        <v>0</v>
      </c>
      <c r="AO10" s="29">
        <v>0</v>
      </c>
      <c r="AP10" s="23"/>
      <c r="AQ10" s="27">
        <v>0.11764705882352941</v>
      </c>
      <c r="AR10" s="28">
        <v>0</v>
      </c>
      <c r="AS10" s="29">
        <v>0</v>
      </c>
      <c r="AT10" s="28">
        <v>0</v>
      </c>
      <c r="AU10" s="29">
        <v>0</v>
      </c>
    </row>
    <row r="11" spans="1:47" x14ac:dyDescent="0.35">
      <c r="B11" t="s">
        <v>14</v>
      </c>
      <c r="D11" t="s">
        <v>6</v>
      </c>
      <c r="E11" t="s">
        <v>29</v>
      </c>
      <c r="G11" s="5"/>
      <c r="H11" s="5"/>
      <c r="I11" s="5"/>
      <c r="J11" s="5"/>
      <c r="K11" s="5"/>
      <c r="L11" s="5"/>
      <c r="M11" s="5"/>
      <c r="N11" s="5"/>
      <c r="O11" s="10">
        <v>0</v>
      </c>
      <c r="P11" s="11">
        <v>0</v>
      </c>
      <c r="Q11" s="11">
        <v>0</v>
      </c>
      <c r="R11" s="12">
        <v>0</v>
      </c>
      <c r="S11" s="13">
        <v>0</v>
      </c>
      <c r="T11" s="5"/>
      <c r="U11" s="14">
        <v>50</v>
      </c>
      <c r="V11" s="11"/>
      <c r="W11" s="5"/>
      <c r="Y11" s="14">
        <f t="shared" si="0"/>
        <v>50</v>
      </c>
      <c r="AC11" s="23"/>
      <c r="AD11" s="23"/>
      <c r="AE11" s="23"/>
      <c r="AF11" s="23"/>
      <c r="AG11" s="23"/>
      <c r="AH11" s="23"/>
      <c r="AI11" s="23"/>
      <c r="AJ11" s="23"/>
      <c r="AK11" s="27">
        <v>0</v>
      </c>
      <c r="AL11" s="28">
        <v>0</v>
      </c>
      <c r="AM11" s="28">
        <v>0</v>
      </c>
      <c r="AN11" s="28">
        <v>0</v>
      </c>
      <c r="AO11" s="29">
        <v>0</v>
      </c>
      <c r="AP11" s="23"/>
      <c r="AQ11" s="27">
        <v>0</v>
      </c>
      <c r="AR11" s="28">
        <v>1</v>
      </c>
      <c r="AS11" s="29">
        <v>0.2</v>
      </c>
      <c r="AT11" s="28">
        <v>0</v>
      </c>
      <c r="AU11" s="29">
        <v>0</v>
      </c>
    </row>
    <row r="12" spans="1:47" x14ac:dyDescent="0.35">
      <c r="B12" t="s">
        <v>15</v>
      </c>
      <c r="D12" t="s">
        <v>9</v>
      </c>
      <c r="E12" t="s">
        <v>29</v>
      </c>
      <c r="G12" s="5"/>
      <c r="H12" s="5"/>
      <c r="I12" s="5"/>
      <c r="J12" s="5"/>
      <c r="K12" s="5"/>
      <c r="L12" s="5"/>
      <c r="M12" s="5"/>
      <c r="N12" s="5"/>
      <c r="O12" s="10">
        <v>0</v>
      </c>
      <c r="P12" s="12">
        <v>0</v>
      </c>
      <c r="Q12" s="12">
        <v>0</v>
      </c>
      <c r="R12" s="12">
        <v>0</v>
      </c>
      <c r="S12" s="13">
        <v>40</v>
      </c>
      <c r="T12" s="5"/>
      <c r="U12" s="14">
        <v>0</v>
      </c>
      <c r="V12" s="11"/>
      <c r="W12" s="5"/>
      <c r="Y12" s="14">
        <f t="shared" si="0"/>
        <v>40</v>
      </c>
      <c r="AC12" s="23"/>
      <c r="AD12" s="23"/>
      <c r="AE12" s="23"/>
      <c r="AF12" s="23"/>
      <c r="AG12" s="23"/>
      <c r="AH12" s="23"/>
      <c r="AI12" s="23"/>
      <c r="AJ12" s="23"/>
      <c r="AK12" s="27">
        <v>0</v>
      </c>
      <c r="AL12" s="28">
        <v>0</v>
      </c>
      <c r="AM12" s="28">
        <v>0</v>
      </c>
      <c r="AN12" s="28">
        <v>0</v>
      </c>
      <c r="AO12" s="29">
        <v>2</v>
      </c>
      <c r="AP12" s="23"/>
      <c r="AQ12" s="30">
        <v>0</v>
      </c>
      <c r="AR12" s="31">
        <v>0</v>
      </c>
      <c r="AS12" s="32">
        <v>0.8</v>
      </c>
      <c r="AT12" s="28">
        <v>0</v>
      </c>
      <c r="AU12" s="29">
        <v>0</v>
      </c>
    </row>
    <row r="13" spans="1:47" x14ac:dyDescent="0.35">
      <c r="B13" t="s">
        <v>16</v>
      </c>
      <c r="D13" t="s">
        <v>8</v>
      </c>
      <c r="E13" t="s">
        <v>29</v>
      </c>
      <c r="G13" s="5"/>
      <c r="H13" s="5"/>
      <c r="I13" s="5"/>
      <c r="J13" s="5"/>
      <c r="K13" s="5"/>
      <c r="L13" s="5"/>
      <c r="M13" s="5"/>
      <c r="N13" s="5"/>
      <c r="O13" s="10">
        <v>0</v>
      </c>
      <c r="P13" s="12">
        <v>0</v>
      </c>
      <c r="Q13" s="12">
        <v>0</v>
      </c>
      <c r="R13" s="12">
        <v>0</v>
      </c>
      <c r="S13" s="13">
        <v>30</v>
      </c>
      <c r="T13" s="5"/>
      <c r="U13" s="14">
        <v>0</v>
      </c>
      <c r="V13" s="11"/>
      <c r="W13" s="5"/>
      <c r="Y13" s="14">
        <f t="shared" si="0"/>
        <v>30</v>
      </c>
      <c r="AC13" s="23"/>
      <c r="AD13" s="23"/>
      <c r="AE13" s="23"/>
      <c r="AF13" s="23"/>
      <c r="AG13" s="23"/>
      <c r="AH13" s="23"/>
      <c r="AI13" s="23"/>
      <c r="AJ13" s="23"/>
      <c r="AK13" s="27">
        <v>0</v>
      </c>
      <c r="AL13" s="28">
        <v>0</v>
      </c>
      <c r="AM13" s="28">
        <v>0</v>
      </c>
      <c r="AN13" s="28">
        <v>0</v>
      </c>
      <c r="AO13" s="29">
        <v>1.5</v>
      </c>
      <c r="AP13" s="23"/>
      <c r="AQ13" s="27">
        <v>0</v>
      </c>
      <c r="AR13" s="28">
        <v>0</v>
      </c>
      <c r="AS13" s="28">
        <v>0</v>
      </c>
      <c r="AT13" s="28">
        <v>1</v>
      </c>
      <c r="AU13" s="29">
        <v>0</v>
      </c>
    </row>
    <row r="14" spans="1:47" x14ac:dyDescent="0.35">
      <c r="B14" t="s">
        <v>17</v>
      </c>
      <c r="D14" t="s">
        <v>10</v>
      </c>
      <c r="E14" t="s">
        <v>30</v>
      </c>
      <c r="G14" s="5"/>
      <c r="H14" s="5"/>
      <c r="I14" s="5"/>
      <c r="J14" s="5"/>
      <c r="K14" s="5"/>
      <c r="L14" s="5"/>
      <c r="M14" s="5"/>
      <c r="N14" s="5"/>
      <c r="O14" s="10">
        <v>0</v>
      </c>
      <c r="P14" s="12">
        <v>0</v>
      </c>
      <c r="Q14" s="12">
        <v>0</v>
      </c>
      <c r="R14" s="12">
        <v>0</v>
      </c>
      <c r="S14" s="13">
        <v>0</v>
      </c>
      <c r="T14" s="5"/>
      <c r="U14" s="14">
        <v>15</v>
      </c>
      <c r="V14" s="11"/>
      <c r="W14" s="5"/>
      <c r="Y14" s="14">
        <f t="shared" si="0"/>
        <v>15</v>
      </c>
      <c r="AC14" s="23"/>
      <c r="AD14" s="23"/>
      <c r="AE14" s="23"/>
      <c r="AF14" s="23"/>
      <c r="AG14" s="23"/>
      <c r="AH14" s="23"/>
      <c r="AI14" s="23"/>
      <c r="AJ14" s="23"/>
      <c r="AK14" s="27">
        <v>0</v>
      </c>
      <c r="AL14" s="28">
        <v>0</v>
      </c>
      <c r="AM14" s="28">
        <v>0</v>
      </c>
      <c r="AN14" s="28">
        <v>0</v>
      </c>
      <c r="AO14" s="29">
        <v>0</v>
      </c>
      <c r="AP14" s="23"/>
      <c r="AQ14" s="27">
        <v>0</v>
      </c>
      <c r="AR14" s="28">
        <v>0</v>
      </c>
      <c r="AS14" s="28">
        <v>0</v>
      </c>
      <c r="AT14" s="28">
        <v>0</v>
      </c>
      <c r="AU14" s="29">
        <v>0.75</v>
      </c>
    </row>
    <row r="15" spans="1:47" x14ac:dyDescent="0.35">
      <c r="B15" t="s">
        <v>18</v>
      </c>
      <c r="D15" t="s">
        <v>11</v>
      </c>
      <c r="E15" t="s">
        <v>30</v>
      </c>
      <c r="G15" s="5"/>
      <c r="H15" s="5"/>
      <c r="I15" s="5"/>
      <c r="J15" s="5"/>
      <c r="K15" s="5"/>
      <c r="L15" s="5"/>
      <c r="M15" s="5"/>
      <c r="N15" s="5"/>
      <c r="O15" s="15">
        <v>0</v>
      </c>
      <c r="P15" s="16">
        <v>0</v>
      </c>
      <c r="Q15" s="16">
        <v>0</v>
      </c>
      <c r="R15" s="16">
        <v>0</v>
      </c>
      <c r="S15" s="17">
        <v>0</v>
      </c>
      <c r="T15" s="5"/>
      <c r="U15" s="18">
        <v>5</v>
      </c>
      <c r="V15" s="11"/>
      <c r="W15" s="5"/>
      <c r="Y15" s="18">
        <f t="shared" si="0"/>
        <v>5</v>
      </c>
      <c r="AC15" s="23"/>
      <c r="AD15" s="23"/>
      <c r="AE15" s="23"/>
      <c r="AF15" s="23"/>
      <c r="AG15" s="23"/>
      <c r="AH15" s="23"/>
      <c r="AI15" s="23"/>
      <c r="AJ15" s="23"/>
      <c r="AK15" s="30">
        <v>0</v>
      </c>
      <c r="AL15" s="31">
        <v>0</v>
      </c>
      <c r="AM15" s="31">
        <v>0</v>
      </c>
      <c r="AN15" s="31">
        <v>0</v>
      </c>
      <c r="AO15" s="32">
        <v>0</v>
      </c>
      <c r="AP15" s="23"/>
      <c r="AQ15" s="30">
        <v>0</v>
      </c>
      <c r="AR15" s="31">
        <v>0</v>
      </c>
      <c r="AS15" s="31">
        <v>0</v>
      </c>
      <c r="AT15" s="31">
        <v>0</v>
      </c>
      <c r="AU15" s="32">
        <v>0.25</v>
      </c>
    </row>
    <row r="16" spans="1:47" x14ac:dyDescent="0.35">
      <c r="G16" s="5" t="s">
        <v>31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Y16" s="5" t="s">
        <v>36</v>
      </c>
      <c r="AC16" s="43" t="s">
        <v>42</v>
      </c>
      <c r="AD16" s="43"/>
      <c r="AE16" s="43"/>
      <c r="AF16" s="43"/>
      <c r="AG16" s="23"/>
      <c r="AH16" s="23"/>
      <c r="AI16" s="23"/>
      <c r="AJ16" s="23"/>
      <c r="AK16" s="23"/>
      <c r="AL16" s="23"/>
      <c r="AM16" s="23"/>
      <c r="AN16" s="23"/>
      <c r="AO16" s="23"/>
      <c r="AP16" s="23"/>
    </row>
    <row r="17" spans="2:47" x14ac:dyDescent="0.35">
      <c r="C17" t="s">
        <v>24</v>
      </c>
      <c r="D17" s="37" t="s">
        <v>19</v>
      </c>
      <c r="E17" t="s">
        <v>29</v>
      </c>
      <c r="G17" s="38">
        <v>150</v>
      </c>
      <c r="H17" s="39">
        <v>20</v>
      </c>
      <c r="I17" s="7">
        <v>0</v>
      </c>
      <c r="J17" s="8">
        <v>0</v>
      </c>
      <c r="K17" s="7">
        <v>0</v>
      </c>
      <c r="L17" s="7">
        <v>0</v>
      </c>
      <c r="M17" s="8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Y17" s="9">
        <f>SUM(G17:M17)</f>
        <v>170</v>
      </c>
      <c r="AC17" s="24" cm="1">
        <f t="array" ref="AC17:AI21">MMULT(G17:M21,MINVERSE(Y9:Y15*_xlfn.MUNIT(COUNTA(Y9:Y15))))</f>
        <v>1</v>
      </c>
      <c r="AD17" s="25">
        <v>1</v>
      </c>
      <c r="AE17" s="25">
        <v>0</v>
      </c>
      <c r="AF17" s="25">
        <v>0</v>
      </c>
      <c r="AG17" s="25">
        <v>0</v>
      </c>
      <c r="AH17" s="25">
        <v>0</v>
      </c>
      <c r="AI17" s="26">
        <v>0</v>
      </c>
      <c r="AJ17" s="23"/>
      <c r="AK17" s="23"/>
      <c r="AL17" s="23"/>
      <c r="AM17" s="23"/>
      <c r="AN17" s="23"/>
      <c r="AO17" s="23"/>
      <c r="AP17" s="23"/>
    </row>
    <row r="18" spans="2:47" x14ac:dyDescent="0.35">
      <c r="C18" t="s">
        <v>25</v>
      </c>
      <c r="D18" t="s">
        <v>20</v>
      </c>
      <c r="E18" t="s">
        <v>29</v>
      </c>
      <c r="G18" s="10">
        <v>0</v>
      </c>
      <c r="H18" s="11">
        <v>0</v>
      </c>
      <c r="I18" s="11">
        <v>40</v>
      </c>
      <c r="J18" s="46">
        <v>0</v>
      </c>
      <c r="K18" s="12">
        <v>0</v>
      </c>
      <c r="L18" s="12">
        <v>0</v>
      </c>
      <c r="M18" s="13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Y18" s="14">
        <f>SUM(G18:M18)</f>
        <v>40</v>
      </c>
      <c r="AC18" s="27">
        <v>0</v>
      </c>
      <c r="AD18" s="28">
        <v>0</v>
      </c>
      <c r="AE18" s="28">
        <v>0.8</v>
      </c>
      <c r="AF18" s="28">
        <v>0</v>
      </c>
      <c r="AG18" s="28">
        <v>0</v>
      </c>
      <c r="AH18" s="28">
        <v>0</v>
      </c>
      <c r="AI18" s="29">
        <v>0</v>
      </c>
      <c r="AJ18" s="23"/>
      <c r="AK18" s="23"/>
      <c r="AL18" s="23"/>
      <c r="AM18" s="23"/>
      <c r="AN18" s="23"/>
      <c r="AO18" s="23"/>
      <c r="AP18" s="23"/>
    </row>
    <row r="19" spans="2:47" x14ac:dyDescent="0.35">
      <c r="C19" t="s">
        <v>26</v>
      </c>
      <c r="D19" s="37" t="s">
        <v>21</v>
      </c>
      <c r="E19" t="s">
        <v>29</v>
      </c>
      <c r="G19" s="15">
        <v>0</v>
      </c>
      <c r="H19" s="16">
        <v>0</v>
      </c>
      <c r="I19" s="47">
        <v>10</v>
      </c>
      <c r="J19" s="48">
        <v>40</v>
      </c>
      <c r="K19" s="12">
        <v>0</v>
      </c>
      <c r="L19" s="12">
        <v>0</v>
      </c>
      <c r="M19" s="13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Y19" s="14">
        <f>SUM(G19:M19)</f>
        <v>50</v>
      </c>
      <c r="AC19" s="27">
        <v>0</v>
      </c>
      <c r="AD19" s="28">
        <v>0</v>
      </c>
      <c r="AE19" s="28">
        <v>0.2</v>
      </c>
      <c r="AF19" s="28">
        <v>1</v>
      </c>
      <c r="AG19" s="28">
        <v>0</v>
      </c>
      <c r="AH19" s="28">
        <v>0</v>
      </c>
      <c r="AI19" s="29">
        <v>0</v>
      </c>
      <c r="AJ19" s="23"/>
      <c r="AK19" s="23"/>
      <c r="AL19" s="23"/>
      <c r="AM19" s="23"/>
      <c r="AN19" s="23"/>
      <c r="AO19" s="23"/>
      <c r="AP19" s="23"/>
    </row>
    <row r="20" spans="2:47" x14ac:dyDescent="0.35">
      <c r="C20" t="s">
        <v>27</v>
      </c>
      <c r="D20" t="s">
        <v>22</v>
      </c>
      <c r="E20" t="s">
        <v>29</v>
      </c>
      <c r="G20" s="10">
        <v>0</v>
      </c>
      <c r="H20" s="12">
        <v>0</v>
      </c>
      <c r="I20" s="12">
        <v>0</v>
      </c>
      <c r="J20" s="12">
        <v>0</v>
      </c>
      <c r="K20" s="6">
        <v>30</v>
      </c>
      <c r="L20" s="45">
        <v>0</v>
      </c>
      <c r="M20" s="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Y20" s="14">
        <f>SUM(G20:M20)</f>
        <v>30</v>
      </c>
      <c r="AC20" s="27">
        <v>0</v>
      </c>
      <c r="AD20" s="28">
        <v>0</v>
      </c>
      <c r="AE20" s="28">
        <v>0</v>
      </c>
      <c r="AF20" s="28">
        <v>0</v>
      </c>
      <c r="AG20" s="24">
        <v>1</v>
      </c>
      <c r="AH20" s="25">
        <v>0</v>
      </c>
      <c r="AI20" s="26">
        <v>0</v>
      </c>
      <c r="AJ20" s="23"/>
      <c r="AK20" s="23"/>
      <c r="AL20" s="23"/>
      <c r="AM20" s="23"/>
      <c r="AN20" s="23"/>
      <c r="AO20" s="23"/>
      <c r="AP20" s="23"/>
    </row>
    <row r="21" spans="2:47" x14ac:dyDescent="0.35">
      <c r="C21" t="s">
        <v>28</v>
      </c>
      <c r="D21" s="42" t="s">
        <v>23</v>
      </c>
      <c r="E21" t="s">
        <v>30</v>
      </c>
      <c r="G21" s="19">
        <v>0</v>
      </c>
      <c r="H21" s="16">
        <v>0</v>
      </c>
      <c r="I21" s="16">
        <v>0</v>
      </c>
      <c r="J21" s="16">
        <v>0</v>
      </c>
      <c r="K21" s="15">
        <v>0</v>
      </c>
      <c r="L21" s="40">
        <v>15</v>
      </c>
      <c r="M21" s="41">
        <v>5</v>
      </c>
      <c r="N21" s="5"/>
      <c r="O21" s="5"/>
      <c r="P21" s="5"/>
      <c r="Q21" s="5"/>
      <c r="R21" s="5"/>
      <c r="S21" s="5"/>
      <c r="T21" s="5"/>
      <c r="U21" s="5"/>
      <c r="V21" s="5"/>
      <c r="W21" s="5"/>
      <c r="Y21" s="18">
        <f>SUM(G21:M21)</f>
        <v>20</v>
      </c>
      <c r="AC21" s="30">
        <v>0</v>
      </c>
      <c r="AD21" s="31">
        <v>0</v>
      </c>
      <c r="AE21" s="31">
        <v>0</v>
      </c>
      <c r="AF21" s="31">
        <v>0</v>
      </c>
      <c r="AG21" s="30">
        <v>0</v>
      </c>
      <c r="AH21" s="31">
        <v>1</v>
      </c>
      <c r="AI21" s="32">
        <v>1</v>
      </c>
      <c r="AJ21" s="23"/>
      <c r="AK21" s="23"/>
      <c r="AL21" s="23"/>
      <c r="AM21" s="23"/>
      <c r="AN21" s="23"/>
      <c r="AO21" s="23"/>
      <c r="AP21" s="23"/>
    </row>
    <row r="22" spans="2:47" x14ac:dyDescent="0.35">
      <c r="G22" s="5"/>
      <c r="H22" s="5"/>
      <c r="I22" s="5"/>
      <c r="J22" s="5"/>
      <c r="K22" s="5"/>
      <c r="L22" s="5"/>
      <c r="M22" s="5"/>
      <c r="N22" s="5"/>
      <c r="O22" s="5" t="s">
        <v>40</v>
      </c>
      <c r="P22" s="5"/>
      <c r="Q22" s="5"/>
      <c r="R22" s="5"/>
      <c r="S22" s="5"/>
      <c r="T22" s="5"/>
      <c r="U22" s="5"/>
      <c r="V22" s="5"/>
      <c r="W22" s="5"/>
      <c r="X22" s="5"/>
      <c r="AC22" s="23"/>
      <c r="AD22" s="23"/>
      <c r="AE22" s="23"/>
      <c r="AF22" s="23"/>
      <c r="AG22" s="23"/>
      <c r="AH22" s="23"/>
      <c r="AI22" s="23"/>
      <c r="AJ22" s="23"/>
      <c r="AK22" s="23" t="s">
        <v>43</v>
      </c>
      <c r="AL22" s="23"/>
      <c r="AM22" s="23"/>
      <c r="AN22" s="23"/>
      <c r="AO22" s="23"/>
      <c r="AP22" s="23"/>
    </row>
    <row r="23" spans="2:47" x14ac:dyDescent="0.35">
      <c r="D23" t="s">
        <v>38</v>
      </c>
      <c r="E23" t="s">
        <v>39</v>
      </c>
      <c r="G23" s="5"/>
      <c r="H23" s="5"/>
      <c r="I23" s="5"/>
      <c r="J23" s="5"/>
      <c r="K23" s="5"/>
      <c r="L23" s="5"/>
      <c r="M23" s="5"/>
      <c r="N23" s="5"/>
      <c r="O23" s="20">
        <v>15</v>
      </c>
      <c r="P23" s="21">
        <v>7</v>
      </c>
      <c r="Q23" s="21">
        <v>12</v>
      </c>
      <c r="R23" s="21">
        <v>0</v>
      </c>
      <c r="S23" s="22">
        <v>10</v>
      </c>
      <c r="T23" s="5"/>
      <c r="U23" s="5"/>
      <c r="V23" s="5"/>
      <c r="W23" s="5"/>
      <c r="X23" s="5"/>
      <c r="AC23" s="23"/>
      <c r="AD23" s="23"/>
      <c r="AE23" s="23"/>
      <c r="AF23" s="23"/>
      <c r="AG23" s="23"/>
      <c r="AH23" s="23"/>
      <c r="AI23" s="23"/>
      <c r="AJ23" s="23"/>
      <c r="AK23" s="33" cm="1">
        <f t="array" ref="AK23:AO23">MMULT(O23:S23, MINVERSE(Y17:Y21*_xlfn.MUNIT(COUNTA(Y17:Y21))))</f>
        <v>8.8235294117647051E-2</v>
      </c>
      <c r="AL23" s="34">
        <v>0.17500000000000002</v>
      </c>
      <c r="AM23" s="34">
        <v>0.24</v>
      </c>
      <c r="AN23" s="34">
        <v>0</v>
      </c>
      <c r="AO23" s="35">
        <v>0.5</v>
      </c>
      <c r="AP23" s="23"/>
    </row>
    <row r="24" spans="2:47" x14ac:dyDescent="0.35"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X24" s="5"/>
      <c r="Y24" s="5"/>
      <c r="Z24" s="5"/>
    </row>
    <row r="25" spans="2:47" x14ac:dyDescent="0.35">
      <c r="B25" s="2"/>
      <c r="C25" s="2"/>
      <c r="D25" s="2"/>
      <c r="E25" s="2"/>
      <c r="F25" s="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4"/>
      <c r="AR25" s="4"/>
      <c r="AS25" s="4"/>
      <c r="AT25" s="4"/>
      <c r="AU25" s="4"/>
    </row>
    <row r="26" spans="2:47" x14ac:dyDescent="0.35">
      <c r="G26" s="5"/>
      <c r="H26" s="5"/>
      <c r="I26" s="5"/>
      <c r="J26" s="5"/>
      <c r="K26" s="5"/>
      <c r="L26" s="5"/>
      <c r="M26" s="5"/>
      <c r="N26" s="5"/>
      <c r="O26" t="s">
        <v>49</v>
      </c>
      <c r="P26" s="5"/>
      <c r="Q26" s="5"/>
      <c r="R26" s="5"/>
      <c r="S26" s="5"/>
      <c r="T26" s="5"/>
      <c r="U26" t="s">
        <v>34</v>
      </c>
      <c r="V26" s="5"/>
      <c r="W26" t="s">
        <v>45</v>
      </c>
      <c r="X26" s="5"/>
      <c r="Y26" t="s">
        <v>47</v>
      </c>
      <c r="AA26" t="s">
        <v>54</v>
      </c>
    </row>
    <row r="27" spans="2:47" ht="14.5" customHeight="1" x14ac:dyDescent="0.35">
      <c r="B27" t="s">
        <v>12</v>
      </c>
      <c r="D27" t="s">
        <v>4</v>
      </c>
      <c r="E27" t="s">
        <v>29</v>
      </c>
      <c r="G27" s="23"/>
      <c r="H27" s="23"/>
      <c r="I27" s="23"/>
      <c r="J27" s="23"/>
      <c r="K27" s="23"/>
      <c r="L27" s="23"/>
      <c r="M27" s="23"/>
      <c r="N27" s="23"/>
      <c r="O27" s="24" cm="1">
        <f t="array" ref="O27:S33">MMULT(AK9:AO15,Y35:Y39*_xlfn.MUNIT(COUNTA(Y35:Y39)))</f>
        <v>0</v>
      </c>
      <c r="P27" s="25">
        <v>53.731929757799065</v>
      </c>
      <c r="Q27" s="25">
        <v>100.00000004602163</v>
      </c>
      <c r="R27" s="25">
        <v>0</v>
      </c>
      <c r="S27" s="26">
        <v>0</v>
      </c>
      <c r="T27" s="23"/>
      <c r="U27" s="9">
        <v>0</v>
      </c>
      <c r="V27" s="28"/>
      <c r="W27" s="49">
        <v>19.648467336668677</v>
      </c>
      <c r="X27" s="23"/>
      <c r="Y27" s="77" cm="1">
        <f t="array" ref="Y27:Y30">MMULT(AQ9:AS12,Y35:Y37)</f>
        <v>173.38039714048935</v>
      </c>
      <c r="AA27" s="70">
        <f xml:space="preserve"> SUM(O27:S27,U27,W27) - Y27</f>
        <v>0</v>
      </c>
      <c r="AB27" s="94"/>
    </row>
    <row r="28" spans="2:47" x14ac:dyDescent="0.35">
      <c r="B28" t="s">
        <v>13</v>
      </c>
      <c r="D28" t="s">
        <v>5</v>
      </c>
      <c r="E28" t="s">
        <v>29</v>
      </c>
      <c r="G28" s="23"/>
      <c r="H28" s="23"/>
      <c r="I28" s="23"/>
      <c r="J28" s="23"/>
      <c r="K28" s="23"/>
      <c r="L28" s="23"/>
      <c r="M28" s="23"/>
      <c r="N28" s="23"/>
      <c r="O28" s="27">
        <v>0</v>
      </c>
      <c r="P28" s="28">
        <v>0</v>
      </c>
      <c r="Q28" s="28">
        <v>0</v>
      </c>
      <c r="R28" s="28">
        <v>0</v>
      </c>
      <c r="S28" s="29">
        <v>0</v>
      </c>
      <c r="T28" s="23"/>
      <c r="U28" s="14">
        <v>20</v>
      </c>
      <c r="V28" s="28"/>
      <c r="W28" s="50">
        <v>3.1173862853985828</v>
      </c>
      <c r="X28" s="23"/>
      <c r="Y28" s="78">
        <v>23.117386285398581</v>
      </c>
      <c r="Z28" s="76"/>
      <c r="AA28" s="69">
        <f t="shared" ref="AA28:AA33" si="1" xml:space="preserve"> SUM(O28:S28,U28,W28) - Y28</f>
        <v>0</v>
      </c>
      <c r="AB28" s="94"/>
    </row>
    <row r="29" spans="2:47" x14ac:dyDescent="0.35">
      <c r="B29" t="s">
        <v>14</v>
      </c>
      <c r="D29" t="s">
        <v>6</v>
      </c>
      <c r="E29" t="s">
        <v>29</v>
      </c>
      <c r="G29" s="23"/>
      <c r="H29" s="23"/>
      <c r="I29" s="23"/>
      <c r="J29" s="23"/>
      <c r="K29" s="23"/>
      <c r="L29" s="23"/>
      <c r="M29" s="23"/>
      <c r="N29" s="23"/>
      <c r="O29" s="27">
        <v>0</v>
      </c>
      <c r="P29" s="28">
        <v>0</v>
      </c>
      <c r="Q29" s="28">
        <v>0</v>
      </c>
      <c r="R29" s="28">
        <v>0</v>
      </c>
      <c r="S29" s="29">
        <v>0</v>
      </c>
      <c r="T29" s="23"/>
      <c r="U29" s="14">
        <v>50</v>
      </c>
      <c r="V29" s="28"/>
      <c r="W29" s="50">
        <v>2.9855438108414125</v>
      </c>
      <c r="X29" s="23"/>
      <c r="Y29" s="78">
        <v>52.985543810841413</v>
      </c>
      <c r="Z29" s="76"/>
      <c r="AA29" s="69">
        <f t="shared" si="1"/>
        <v>0</v>
      </c>
      <c r="AB29" s="94"/>
    </row>
    <row r="30" spans="2:47" x14ac:dyDescent="0.35">
      <c r="B30" t="s">
        <v>15</v>
      </c>
      <c r="D30" t="s">
        <v>9</v>
      </c>
      <c r="E30" t="s">
        <v>29</v>
      </c>
      <c r="G30" s="23"/>
      <c r="H30" s="23"/>
      <c r="I30" s="23"/>
      <c r="J30" s="23"/>
      <c r="K30" s="23"/>
      <c r="L30" s="23"/>
      <c r="M30" s="23"/>
      <c r="N30" s="23"/>
      <c r="O30" s="27">
        <v>0</v>
      </c>
      <c r="P30" s="28">
        <v>0</v>
      </c>
      <c r="Q30" s="28">
        <v>0</v>
      </c>
      <c r="R30" s="28">
        <v>0</v>
      </c>
      <c r="S30" s="29">
        <v>40.000000018408642</v>
      </c>
      <c r="T30" s="23"/>
      <c r="U30" s="14">
        <v>0</v>
      </c>
      <c r="V30" s="28"/>
      <c r="W30" s="50">
        <v>0</v>
      </c>
      <c r="X30" s="23"/>
      <c r="Y30" s="79">
        <v>40.000000018408656</v>
      </c>
      <c r="Z30" s="80" t="s">
        <v>53</v>
      </c>
      <c r="AA30" s="71">
        <f t="shared" si="1"/>
        <v>0</v>
      </c>
      <c r="AB30" s="94"/>
    </row>
    <row r="31" spans="2:47" x14ac:dyDescent="0.35">
      <c r="B31" t="s">
        <v>16</v>
      </c>
      <c r="D31" t="s">
        <v>8</v>
      </c>
      <c r="E31" t="s">
        <v>29</v>
      </c>
      <c r="G31" s="23"/>
      <c r="H31" s="23"/>
      <c r="I31" s="23"/>
      <c r="J31" s="23"/>
      <c r="K31" s="23"/>
      <c r="L31" s="23"/>
      <c r="M31" s="23"/>
      <c r="N31" s="23"/>
      <c r="O31" s="27">
        <v>0</v>
      </c>
      <c r="P31" s="28">
        <v>0</v>
      </c>
      <c r="Q31" s="28">
        <v>0</v>
      </c>
      <c r="R31" s="28">
        <v>0</v>
      </c>
      <c r="S31" s="29">
        <v>30.000000013806481</v>
      </c>
      <c r="T31" s="23"/>
      <c r="U31" s="14">
        <v>0</v>
      </c>
      <c r="V31" s="28"/>
      <c r="W31" s="50">
        <v>985.00918147579841</v>
      </c>
      <c r="X31" s="23"/>
      <c r="Y31" s="50">
        <v>1015.0091814896049</v>
      </c>
      <c r="Z31" s="28"/>
      <c r="AA31" s="69">
        <f t="shared" si="1"/>
        <v>0</v>
      </c>
      <c r="AB31" s="94"/>
    </row>
    <row r="32" spans="2:47" x14ac:dyDescent="0.35">
      <c r="B32" t="s">
        <v>17</v>
      </c>
      <c r="D32" t="s">
        <v>10</v>
      </c>
      <c r="E32" t="s">
        <v>30</v>
      </c>
      <c r="G32" s="23"/>
      <c r="H32" s="23"/>
      <c r="I32" s="23"/>
      <c r="J32" s="23"/>
      <c r="K32" s="23"/>
      <c r="L32" s="23"/>
      <c r="M32" s="23"/>
      <c r="N32" s="23"/>
      <c r="O32" s="27">
        <v>0</v>
      </c>
      <c r="P32" s="28">
        <v>0</v>
      </c>
      <c r="Q32" s="28">
        <v>0</v>
      </c>
      <c r="R32" s="28">
        <v>0</v>
      </c>
      <c r="S32" s="29">
        <v>0</v>
      </c>
      <c r="T32" s="23"/>
      <c r="U32" s="14">
        <v>15</v>
      </c>
      <c r="V32" s="28"/>
      <c r="W32" s="50">
        <v>0</v>
      </c>
      <c r="X32" s="23"/>
      <c r="Y32" s="50">
        <v>14.999999999999998</v>
      </c>
      <c r="Z32" s="28"/>
      <c r="AA32" s="68">
        <f t="shared" si="1"/>
        <v>0</v>
      </c>
      <c r="AB32" s="94"/>
    </row>
    <row r="33" spans="2:28" x14ac:dyDescent="0.35">
      <c r="B33" t="s">
        <v>18</v>
      </c>
      <c r="D33" t="s">
        <v>11</v>
      </c>
      <c r="E33" t="s">
        <v>30</v>
      </c>
      <c r="G33" s="23"/>
      <c r="H33" s="23"/>
      <c r="I33" s="23"/>
      <c r="J33" s="23"/>
      <c r="K33" s="23"/>
      <c r="L33" s="23"/>
      <c r="M33" s="23"/>
      <c r="N33" s="23"/>
      <c r="O33" s="30">
        <v>0</v>
      </c>
      <c r="P33" s="31">
        <v>0</v>
      </c>
      <c r="Q33" s="31">
        <v>0</v>
      </c>
      <c r="R33" s="31">
        <v>0</v>
      </c>
      <c r="S33" s="32">
        <v>0</v>
      </c>
      <c r="T33" s="23"/>
      <c r="U33" s="18">
        <v>5</v>
      </c>
      <c r="V33" s="28"/>
      <c r="W33" s="51">
        <v>0</v>
      </c>
      <c r="X33" s="23"/>
      <c r="Y33" s="51">
        <v>5.0000000092043226</v>
      </c>
      <c r="Z33" s="28"/>
      <c r="AA33" s="73">
        <f t="shared" si="1"/>
        <v>-9.204322637401674E-9</v>
      </c>
      <c r="AB33" s="94"/>
    </row>
    <row r="34" spans="2:28" x14ac:dyDescent="0.35">
      <c r="G34" t="s">
        <v>50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 t="s">
        <v>48</v>
      </c>
      <c r="Z34" s="23"/>
      <c r="AA34" t="s">
        <v>55</v>
      </c>
    </row>
    <row r="35" spans="2:28" x14ac:dyDescent="0.35">
      <c r="C35" t="s">
        <v>24</v>
      </c>
      <c r="D35" t="s">
        <v>19</v>
      </c>
      <c r="E35" t="s">
        <v>29</v>
      </c>
      <c r="G35" s="59" cm="1">
        <f t="array" ref="G35:J37">TRANSPOSE(MMULT(AQ9:AS12,Y35:Y37*_xlfn.MUNIT(COUNTA(Y35:Y37))))</f>
        <v>173.38039714048935</v>
      </c>
      <c r="H35" s="60">
        <v>23.117386285398581</v>
      </c>
      <c r="I35" s="60">
        <v>0</v>
      </c>
      <c r="J35" s="61">
        <v>0</v>
      </c>
      <c r="K35" s="84">
        <v>0</v>
      </c>
      <c r="L35" s="84">
        <v>0</v>
      </c>
      <c r="M35" s="85">
        <v>0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49">
        <v>196.49778342588795</v>
      </c>
      <c r="Z35" s="28"/>
      <c r="AA35" s="91">
        <f xml:space="preserve"> SUM(G35:M35) - Y35</f>
        <v>0</v>
      </c>
      <c r="AB35" s="94"/>
    </row>
    <row r="36" spans="2:28" x14ac:dyDescent="0.35">
      <c r="C36" t="s">
        <v>25</v>
      </c>
      <c r="D36" t="s">
        <v>20</v>
      </c>
      <c r="E36" t="s">
        <v>29</v>
      </c>
      <c r="G36" s="62">
        <v>0</v>
      </c>
      <c r="H36" s="63">
        <v>0</v>
      </c>
      <c r="I36" s="63">
        <v>42.985543806239249</v>
      </c>
      <c r="J36" s="64">
        <v>0</v>
      </c>
      <c r="K36" s="86">
        <v>0</v>
      </c>
      <c r="L36" s="86">
        <v>0</v>
      </c>
      <c r="M36" s="87">
        <v>0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50">
        <v>42.985543806239249</v>
      </c>
      <c r="Z36" s="28"/>
      <c r="AA36" s="92">
        <f xml:space="preserve"> SUM(G36:M36) - Y36</f>
        <v>0</v>
      </c>
      <c r="AB36" s="94"/>
    </row>
    <row r="37" spans="2:28" x14ac:dyDescent="0.35">
      <c r="C37" t="s">
        <v>26</v>
      </c>
      <c r="D37" t="s">
        <v>21</v>
      </c>
      <c r="E37" t="s">
        <v>29</v>
      </c>
      <c r="G37" s="65">
        <v>0</v>
      </c>
      <c r="H37" s="66">
        <v>0</v>
      </c>
      <c r="I37" s="66">
        <v>10.000000004602164</v>
      </c>
      <c r="J37" s="67">
        <v>40.000000018408656</v>
      </c>
      <c r="K37" s="86">
        <v>0</v>
      </c>
      <c r="L37" s="86">
        <v>0</v>
      </c>
      <c r="M37" s="87">
        <v>0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50">
        <v>50.000000023010813</v>
      </c>
      <c r="Z37" s="28"/>
      <c r="AA37" s="93">
        <f xml:space="preserve"> SUM(G37:M37) - Y37</f>
        <v>0</v>
      </c>
      <c r="AB37" s="94"/>
    </row>
    <row r="38" spans="2:28" ht="14.5" customHeight="1" x14ac:dyDescent="0.35">
      <c r="C38" t="s">
        <v>27</v>
      </c>
      <c r="D38" t="s">
        <v>22</v>
      </c>
      <c r="E38" t="s">
        <v>29</v>
      </c>
      <c r="G38" s="88">
        <v>0</v>
      </c>
      <c r="H38" s="86">
        <v>0</v>
      </c>
      <c r="I38" s="86">
        <v>0</v>
      </c>
      <c r="J38" s="86">
        <v>0</v>
      </c>
      <c r="K38" s="53" cm="1">
        <f t="array" ref="K38:M39">MMULT(AG20:AI21,Y31:Y33*_xlfn.MUNIT(COUNTA(Y31:Y33)))</f>
        <v>1015.0091814896049</v>
      </c>
      <c r="L38" s="54">
        <v>0</v>
      </c>
      <c r="M38" s="55">
        <v>0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81" cm="1">
        <f t="array" ref="Y38:Y39">MMULT(AG20:AI21,Y31:Y33)</f>
        <v>1015.0091814896049</v>
      </c>
      <c r="AA38" s="92">
        <f t="shared" ref="AA38:AA39" si="2" xml:space="preserve"> SUM(G38:M38) - Y38</f>
        <v>0</v>
      </c>
      <c r="AB38" s="94"/>
    </row>
    <row r="39" spans="2:28" x14ac:dyDescent="0.35">
      <c r="C39" t="s">
        <v>28</v>
      </c>
      <c r="D39" t="s">
        <v>23</v>
      </c>
      <c r="E39" t="s">
        <v>30</v>
      </c>
      <c r="G39" s="89">
        <v>0</v>
      </c>
      <c r="H39" s="90">
        <v>0</v>
      </c>
      <c r="I39" s="90">
        <v>0</v>
      </c>
      <c r="J39" s="90">
        <v>0</v>
      </c>
      <c r="K39" s="56">
        <v>0</v>
      </c>
      <c r="L39" s="57">
        <v>14.999999999999998</v>
      </c>
      <c r="M39" s="58">
        <v>5.0000000092043226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82">
        <v>20.000000009204321</v>
      </c>
      <c r="Z39" s="83" t="s">
        <v>52</v>
      </c>
      <c r="AA39" s="93">
        <f t="shared" si="2"/>
        <v>0</v>
      </c>
      <c r="AB39" s="94"/>
    </row>
    <row r="40" spans="2:28" x14ac:dyDescent="0.35">
      <c r="G40" s="23"/>
      <c r="H40" s="23"/>
      <c r="I40" s="23"/>
      <c r="J40" s="23"/>
      <c r="K40" s="23"/>
      <c r="L40" s="23"/>
      <c r="M40" s="23"/>
      <c r="N40" s="23"/>
      <c r="O40" s="23" t="s">
        <v>51</v>
      </c>
      <c r="P40" s="23"/>
      <c r="Q40" s="23"/>
      <c r="R40" s="23"/>
      <c r="S40" s="23"/>
      <c r="T40" s="23"/>
      <c r="U40" s="23"/>
      <c r="V40" s="23"/>
      <c r="W40" s="23" t="s">
        <v>60</v>
      </c>
      <c r="X40" s="23"/>
      <c r="Y40" s="23"/>
      <c r="Z40" s="23"/>
    </row>
    <row r="41" spans="2:28" x14ac:dyDescent="0.35">
      <c r="D41" t="s">
        <v>38</v>
      </c>
      <c r="E41" t="s">
        <v>39</v>
      </c>
      <c r="G41" s="23"/>
      <c r="H41" s="23"/>
      <c r="I41" s="23"/>
      <c r="J41" s="23"/>
      <c r="K41" s="23"/>
      <c r="L41" s="23"/>
      <c r="M41" s="23"/>
      <c r="N41" s="23"/>
      <c r="O41" s="33" cm="1">
        <f t="array" ref="O41:S41">MMULT(AK23:AO23,Y35:Y39*_xlfn.MUNIT(COUNTA(Y35:Y39)))</f>
        <v>17.338039714048936</v>
      </c>
      <c r="P41" s="34">
        <v>7.5224701660918694</v>
      </c>
      <c r="Q41" s="34">
        <v>12.000000005522594</v>
      </c>
      <c r="R41" s="34">
        <v>0</v>
      </c>
      <c r="S41" s="35">
        <v>10.00000000460216</v>
      </c>
      <c r="T41" s="23"/>
      <c r="U41" s="23"/>
      <c r="V41" s="23"/>
      <c r="W41" s="95" cm="1">
        <f t="array" ref="W41">MMULT(O41:S41, Y35:Y39)</f>
        <v>4530.2438443526471</v>
      </c>
      <c r="X41" s="23"/>
      <c r="Y41" s="23"/>
      <c r="Z41" s="23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315C-344D-47D8-827F-77492C2364D5}">
  <dimension ref="A1:AU51"/>
  <sheetViews>
    <sheetView zoomScale="85" zoomScaleNormal="85" workbookViewId="0">
      <pane xSplit="5" ySplit="7" topLeftCell="F20" activePane="bottomRight" state="frozen"/>
      <selection pane="topRight" activeCell="F1" sqref="F1"/>
      <selection pane="bottomLeft" activeCell="A6" sqref="A6"/>
      <selection pane="bottomRight" activeCell="Z41" sqref="Z41"/>
    </sheetView>
  </sheetViews>
  <sheetFormatPr defaultRowHeight="14.5" x14ac:dyDescent="0.35"/>
  <cols>
    <col min="1" max="1" width="11.1796875" bestFit="1" customWidth="1"/>
    <col min="2" max="2" width="6" bestFit="1" customWidth="1"/>
    <col min="3" max="3" width="5.81640625" bestFit="1" customWidth="1"/>
    <col min="4" max="4" width="13.26953125" bestFit="1" customWidth="1"/>
    <col min="5" max="5" width="5.54296875" bestFit="1" customWidth="1"/>
    <col min="7" max="7" width="10" customWidth="1"/>
    <col min="8" max="8" width="7.7265625" customWidth="1"/>
    <col min="9" max="9" width="7.54296875" customWidth="1"/>
    <col min="10" max="10" width="8.453125" bestFit="1" customWidth="1"/>
    <col min="11" max="11" width="8.54296875" customWidth="1"/>
    <col min="12" max="12" width="7.54296875" customWidth="1"/>
    <col min="13" max="13" width="9" bestFit="1" customWidth="1"/>
    <col min="14" max="14" width="3.81640625" customWidth="1"/>
    <col min="15" max="15" width="7.26953125" bestFit="1" customWidth="1"/>
    <col min="16" max="16" width="9" bestFit="1" customWidth="1"/>
    <col min="17" max="18" width="7.26953125" bestFit="1" customWidth="1"/>
    <col min="19" max="19" width="9" bestFit="1" customWidth="1"/>
    <col min="20" max="20" width="3.54296875" customWidth="1"/>
    <col min="21" max="21" width="4.453125" bestFit="1" customWidth="1"/>
    <col min="22" max="22" width="4.453125" customWidth="1"/>
    <col min="23" max="23" width="11.26953125" customWidth="1"/>
    <col min="24" max="24" width="5.54296875" bestFit="1" customWidth="1"/>
    <col min="26" max="26" width="14.1796875" customWidth="1"/>
    <col min="29" max="35" width="4.81640625" bestFit="1" customWidth="1"/>
    <col min="37" max="37" width="8.1796875" bestFit="1" customWidth="1"/>
    <col min="38" max="39" width="6" bestFit="1" customWidth="1"/>
    <col min="40" max="40" width="5" bestFit="1" customWidth="1"/>
    <col min="41" max="41" width="6" bestFit="1" customWidth="1"/>
    <col min="43" max="47" width="6" style="3" bestFit="1" customWidth="1"/>
  </cols>
  <sheetData>
    <row r="1" spans="1:47" x14ac:dyDescent="0.35">
      <c r="A1" t="s">
        <v>56</v>
      </c>
      <c r="C1" s="52" t="s">
        <v>57</v>
      </c>
      <c r="D1" s="52"/>
    </row>
    <row r="2" spans="1:47" x14ac:dyDescent="0.35">
      <c r="C2" s="74" t="s">
        <v>58</v>
      </c>
      <c r="D2" s="74"/>
    </row>
    <row r="3" spans="1:47" x14ac:dyDescent="0.35">
      <c r="C3" s="75" t="s">
        <v>59</v>
      </c>
      <c r="D3" s="75"/>
    </row>
    <row r="4" spans="1:47" x14ac:dyDescent="0.35">
      <c r="A4" s="1" t="s">
        <v>37</v>
      </c>
    </row>
    <row r="5" spans="1:47" x14ac:dyDescent="0.35">
      <c r="B5" s="1" t="s">
        <v>1</v>
      </c>
      <c r="C5" s="1"/>
      <c r="D5" s="1"/>
      <c r="E5" s="1"/>
      <c r="G5" t="s">
        <v>12</v>
      </c>
      <c r="H5" t="s">
        <v>13</v>
      </c>
      <c r="I5" t="s">
        <v>14</v>
      </c>
      <c r="J5" s="96" t="s">
        <v>15</v>
      </c>
      <c r="K5" s="96" t="s">
        <v>16</v>
      </c>
      <c r="L5" t="s">
        <v>17</v>
      </c>
      <c r="M5" t="s">
        <v>18</v>
      </c>
      <c r="AC5" t="s">
        <v>12</v>
      </c>
      <c r="AD5" t="s">
        <v>13</v>
      </c>
      <c r="AE5" t="s">
        <v>14</v>
      </c>
      <c r="AF5" t="s">
        <v>15</v>
      </c>
      <c r="AG5" t="s">
        <v>16</v>
      </c>
      <c r="AH5" t="s">
        <v>17</v>
      </c>
      <c r="AI5" t="s">
        <v>18</v>
      </c>
    </row>
    <row r="6" spans="1:47" x14ac:dyDescent="0.35">
      <c r="B6" s="1"/>
      <c r="C6" s="1" t="s">
        <v>0</v>
      </c>
      <c r="D6" s="1"/>
      <c r="E6" s="1"/>
      <c r="O6" t="s">
        <v>24</v>
      </c>
      <c r="P6" t="s">
        <v>25</v>
      </c>
      <c r="Q6" t="s">
        <v>26</v>
      </c>
      <c r="R6" t="s">
        <v>27</v>
      </c>
      <c r="S6" t="s">
        <v>28</v>
      </c>
      <c r="U6" t="s">
        <v>33</v>
      </c>
      <c r="W6" s="36" t="s">
        <v>44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Q6" s="3" t="s">
        <v>24</v>
      </c>
      <c r="AR6" s="3" t="s">
        <v>25</v>
      </c>
      <c r="AS6" s="3" t="s">
        <v>26</v>
      </c>
      <c r="AT6" s="3" t="s">
        <v>27</v>
      </c>
      <c r="AU6" s="3" t="s">
        <v>28</v>
      </c>
    </row>
    <row r="7" spans="1:47" x14ac:dyDescent="0.35">
      <c r="B7" s="1"/>
      <c r="C7" s="1"/>
      <c r="D7" s="1" t="s">
        <v>2</v>
      </c>
      <c r="E7" s="1" t="s">
        <v>3</v>
      </c>
    </row>
    <row r="8" spans="1:47" x14ac:dyDescent="0.35">
      <c r="O8" t="s">
        <v>32</v>
      </c>
      <c r="U8" t="s">
        <v>34</v>
      </c>
      <c r="Y8" t="s">
        <v>35</v>
      </c>
      <c r="AC8" s="23"/>
      <c r="AD8" s="23"/>
      <c r="AE8" s="23"/>
      <c r="AF8" s="23"/>
      <c r="AG8" s="23"/>
      <c r="AH8" s="23"/>
      <c r="AI8" s="23"/>
      <c r="AJ8" s="23"/>
      <c r="AK8" s="23" t="s">
        <v>41</v>
      </c>
      <c r="AL8" s="23"/>
      <c r="AM8" s="23"/>
      <c r="AN8" s="23"/>
      <c r="AO8" s="23"/>
      <c r="AP8" s="23"/>
      <c r="AQ8" s="44" t="s">
        <v>46</v>
      </c>
      <c r="AR8" s="44"/>
      <c r="AS8" s="44"/>
    </row>
    <row r="9" spans="1:47" x14ac:dyDescent="0.35">
      <c r="B9" t="s">
        <v>12</v>
      </c>
      <c r="D9" t="s">
        <v>4</v>
      </c>
      <c r="E9" t="s">
        <v>29</v>
      </c>
      <c r="G9" s="5"/>
      <c r="H9" s="5"/>
      <c r="I9" s="5"/>
      <c r="J9" s="5"/>
      <c r="K9" s="5"/>
      <c r="L9" s="5"/>
      <c r="M9" s="5"/>
      <c r="N9" s="5"/>
      <c r="O9" s="6">
        <v>0</v>
      </c>
      <c r="P9" s="7">
        <v>50</v>
      </c>
      <c r="Q9" s="7">
        <v>100</v>
      </c>
      <c r="R9" s="7">
        <v>0</v>
      </c>
      <c r="S9" s="8">
        <v>0</v>
      </c>
      <c r="T9" s="5"/>
      <c r="U9" s="9">
        <v>0</v>
      </c>
      <c r="V9" s="11"/>
      <c r="W9" s="5"/>
      <c r="Y9" s="9">
        <f t="shared" ref="Y9:Y15" si="0">SUM(O9:S9,U9)</f>
        <v>150</v>
      </c>
      <c r="AC9" s="23"/>
      <c r="AD9" s="23"/>
      <c r="AE9" s="23"/>
      <c r="AF9" s="23"/>
      <c r="AG9" s="23"/>
      <c r="AH9" s="23"/>
      <c r="AI9" s="23"/>
      <c r="AJ9" s="23"/>
      <c r="AK9" s="24" cm="1">
        <f t="array" ref="AK9:AO15">MMULT(O9:S15,MINVERSE(Y17:Y21*_xlfn.MUNIT(COUNTA(Y17:Y21))))</f>
        <v>0</v>
      </c>
      <c r="AL9" s="25">
        <v>1.25</v>
      </c>
      <c r="AM9" s="25">
        <v>2</v>
      </c>
      <c r="AN9" s="25">
        <v>0</v>
      </c>
      <c r="AO9" s="26">
        <v>0</v>
      </c>
      <c r="AP9" s="23"/>
      <c r="AQ9" s="24" cm="1">
        <f t="array" ref="AQ9:AU15">MMULT(TRANSPOSE(G17:M21),MINVERSE(Y17:Y21*_xlfn.MUNIT(COUNTA(Y17:Y21))))</f>
        <v>0.88235294117647056</v>
      </c>
      <c r="AR9" s="25">
        <v>0</v>
      </c>
      <c r="AS9" s="26">
        <v>0</v>
      </c>
      <c r="AT9" s="25">
        <v>0</v>
      </c>
      <c r="AU9" s="26">
        <v>0</v>
      </c>
    </row>
    <row r="10" spans="1:47" x14ac:dyDescent="0.35">
      <c r="B10" t="s">
        <v>13</v>
      </c>
      <c r="D10" t="s">
        <v>5</v>
      </c>
      <c r="E10" t="s">
        <v>29</v>
      </c>
      <c r="G10" s="5"/>
      <c r="H10" s="5"/>
      <c r="I10" s="5"/>
      <c r="J10" s="5"/>
      <c r="K10" s="5"/>
      <c r="L10" s="5"/>
      <c r="M10" s="5"/>
      <c r="N10" s="5"/>
      <c r="O10" s="10">
        <v>0</v>
      </c>
      <c r="P10" s="11">
        <v>0</v>
      </c>
      <c r="Q10" s="11">
        <v>0</v>
      </c>
      <c r="R10" s="12">
        <v>0</v>
      </c>
      <c r="S10" s="13">
        <v>0</v>
      </c>
      <c r="T10" s="5"/>
      <c r="U10" s="14">
        <v>20</v>
      </c>
      <c r="V10" s="11"/>
      <c r="W10" s="5"/>
      <c r="Y10" s="14">
        <f t="shared" si="0"/>
        <v>20</v>
      </c>
      <c r="AC10" s="23"/>
      <c r="AD10" s="23"/>
      <c r="AE10" s="23"/>
      <c r="AF10" s="23"/>
      <c r="AG10" s="23"/>
      <c r="AH10" s="23"/>
      <c r="AI10" s="23"/>
      <c r="AJ10" s="23"/>
      <c r="AK10" s="27">
        <v>0</v>
      </c>
      <c r="AL10" s="28">
        <v>0</v>
      </c>
      <c r="AM10" s="28">
        <v>0</v>
      </c>
      <c r="AN10" s="28">
        <v>0</v>
      </c>
      <c r="AO10" s="29">
        <v>0</v>
      </c>
      <c r="AP10" s="23"/>
      <c r="AQ10" s="27">
        <v>0.11764705882352941</v>
      </c>
      <c r="AR10" s="28">
        <v>0</v>
      </c>
      <c r="AS10" s="29">
        <v>0</v>
      </c>
      <c r="AT10" s="28">
        <v>0</v>
      </c>
      <c r="AU10" s="29">
        <v>0</v>
      </c>
    </row>
    <row r="11" spans="1:47" x14ac:dyDescent="0.35">
      <c r="B11" t="s">
        <v>14</v>
      </c>
      <c r="D11" t="s">
        <v>6</v>
      </c>
      <c r="E11" t="s">
        <v>29</v>
      </c>
      <c r="G11" s="5"/>
      <c r="H11" s="5"/>
      <c r="I11" s="5"/>
      <c r="J11" s="5"/>
      <c r="K11" s="5"/>
      <c r="L11" s="5"/>
      <c r="M11" s="5"/>
      <c r="N11" s="5"/>
      <c r="O11" s="10">
        <v>0</v>
      </c>
      <c r="P11" s="11">
        <v>0</v>
      </c>
      <c r="Q11" s="11">
        <v>0</v>
      </c>
      <c r="R11" s="12">
        <v>0</v>
      </c>
      <c r="S11" s="13">
        <v>0</v>
      </c>
      <c r="T11" s="5"/>
      <c r="U11" s="14">
        <v>50</v>
      </c>
      <c r="V11" s="11"/>
      <c r="W11" s="5"/>
      <c r="Y11" s="14">
        <f t="shared" si="0"/>
        <v>50</v>
      </c>
      <c r="AC11" s="23"/>
      <c r="AD11" s="23"/>
      <c r="AE11" s="23"/>
      <c r="AF11" s="23"/>
      <c r="AG11" s="23"/>
      <c r="AH11" s="23"/>
      <c r="AI11" s="23"/>
      <c r="AJ11" s="23"/>
      <c r="AK11" s="27">
        <v>0</v>
      </c>
      <c r="AL11" s="28">
        <v>0</v>
      </c>
      <c r="AM11" s="28">
        <v>0</v>
      </c>
      <c r="AN11" s="28">
        <v>0</v>
      </c>
      <c r="AO11" s="29">
        <v>0</v>
      </c>
      <c r="AP11" s="23"/>
      <c r="AQ11" s="27">
        <v>0</v>
      </c>
      <c r="AR11" s="28">
        <v>1</v>
      </c>
      <c r="AS11" s="29">
        <v>0.2</v>
      </c>
      <c r="AT11" s="28">
        <v>0</v>
      </c>
      <c r="AU11" s="29">
        <v>0</v>
      </c>
    </row>
    <row r="12" spans="1:47" x14ac:dyDescent="0.35">
      <c r="B12" t="s">
        <v>15</v>
      </c>
      <c r="D12" t="s">
        <v>9</v>
      </c>
      <c r="E12" t="s">
        <v>29</v>
      </c>
      <c r="G12" s="5"/>
      <c r="H12" s="5"/>
      <c r="I12" s="5"/>
      <c r="J12" s="5"/>
      <c r="K12" s="5"/>
      <c r="L12" s="5"/>
      <c r="M12" s="5"/>
      <c r="N12" s="5"/>
      <c r="O12" s="10">
        <v>0</v>
      </c>
      <c r="P12" s="12">
        <v>0</v>
      </c>
      <c r="Q12" s="12">
        <v>0</v>
      </c>
      <c r="R12" s="12">
        <v>0</v>
      </c>
      <c r="S12" s="13">
        <v>40</v>
      </c>
      <c r="T12" s="5"/>
      <c r="U12" s="14">
        <v>0</v>
      </c>
      <c r="V12" s="11"/>
      <c r="W12" s="5"/>
      <c r="Y12" s="14">
        <f t="shared" si="0"/>
        <v>40</v>
      </c>
      <c r="AC12" s="23"/>
      <c r="AD12" s="23"/>
      <c r="AE12" s="23"/>
      <c r="AF12" s="23"/>
      <c r="AG12" s="23"/>
      <c r="AH12" s="23"/>
      <c r="AI12" s="23"/>
      <c r="AJ12" s="23"/>
      <c r="AK12" s="27">
        <v>0</v>
      </c>
      <c r="AL12" s="28">
        <v>0</v>
      </c>
      <c r="AM12" s="28">
        <v>0</v>
      </c>
      <c r="AN12" s="28">
        <v>0</v>
      </c>
      <c r="AO12" s="29">
        <v>2</v>
      </c>
      <c r="AP12" s="23"/>
      <c r="AQ12" s="30">
        <v>0</v>
      </c>
      <c r="AR12" s="31">
        <v>0</v>
      </c>
      <c r="AS12" s="32">
        <v>0.8</v>
      </c>
      <c r="AT12" s="28">
        <v>0</v>
      </c>
      <c r="AU12" s="29">
        <v>0</v>
      </c>
    </row>
    <row r="13" spans="1:47" x14ac:dyDescent="0.35">
      <c r="B13" t="s">
        <v>16</v>
      </c>
      <c r="D13" t="s">
        <v>8</v>
      </c>
      <c r="E13" t="s">
        <v>29</v>
      </c>
      <c r="G13" s="5"/>
      <c r="H13" s="5"/>
      <c r="I13" s="5"/>
      <c r="J13" s="5"/>
      <c r="K13" s="5"/>
      <c r="L13" s="5"/>
      <c r="M13" s="5"/>
      <c r="N13" s="5"/>
      <c r="O13" s="10">
        <v>0</v>
      </c>
      <c r="P13" s="12">
        <v>0</v>
      </c>
      <c r="Q13" s="12">
        <v>0</v>
      </c>
      <c r="R13" s="12">
        <v>0</v>
      </c>
      <c r="S13" s="13">
        <v>30</v>
      </c>
      <c r="T13" s="5"/>
      <c r="U13" s="14">
        <v>0</v>
      </c>
      <c r="V13" s="11"/>
      <c r="W13" s="5"/>
      <c r="Y13" s="14">
        <f t="shared" si="0"/>
        <v>30</v>
      </c>
      <c r="AC13" s="23"/>
      <c r="AD13" s="23"/>
      <c r="AE13" s="23"/>
      <c r="AF13" s="23"/>
      <c r="AG13" s="23"/>
      <c r="AH13" s="23"/>
      <c r="AI13" s="23"/>
      <c r="AJ13" s="23"/>
      <c r="AK13" s="27">
        <v>0</v>
      </c>
      <c r="AL13" s="28">
        <v>0</v>
      </c>
      <c r="AM13" s="28">
        <v>0</v>
      </c>
      <c r="AN13" s="28">
        <v>0</v>
      </c>
      <c r="AO13" s="29">
        <v>1.5</v>
      </c>
      <c r="AP13" s="23"/>
      <c r="AQ13" s="27">
        <v>0</v>
      </c>
      <c r="AR13" s="28">
        <v>0</v>
      </c>
      <c r="AS13" s="28">
        <v>0</v>
      </c>
      <c r="AT13" s="28">
        <v>1</v>
      </c>
      <c r="AU13" s="29">
        <v>0</v>
      </c>
    </row>
    <row r="14" spans="1:47" x14ac:dyDescent="0.35">
      <c r="B14" t="s">
        <v>17</v>
      </c>
      <c r="D14" t="s">
        <v>10</v>
      </c>
      <c r="E14" t="s">
        <v>30</v>
      </c>
      <c r="G14" s="5"/>
      <c r="H14" s="5"/>
      <c r="I14" s="5"/>
      <c r="J14" s="5"/>
      <c r="K14" s="5"/>
      <c r="L14" s="5"/>
      <c r="M14" s="5"/>
      <c r="N14" s="5"/>
      <c r="O14" s="10">
        <v>0</v>
      </c>
      <c r="P14" s="12">
        <v>0</v>
      </c>
      <c r="Q14" s="12">
        <v>0</v>
      </c>
      <c r="R14" s="12">
        <v>0</v>
      </c>
      <c r="S14" s="13">
        <v>0</v>
      </c>
      <c r="T14" s="5"/>
      <c r="U14" s="14">
        <v>15</v>
      </c>
      <c r="V14" s="11"/>
      <c r="W14" s="5"/>
      <c r="Y14" s="14">
        <f t="shared" si="0"/>
        <v>15</v>
      </c>
      <c r="AC14" s="23"/>
      <c r="AD14" s="23"/>
      <c r="AE14" s="23"/>
      <c r="AF14" s="23"/>
      <c r="AG14" s="23"/>
      <c r="AH14" s="23"/>
      <c r="AI14" s="23"/>
      <c r="AJ14" s="23"/>
      <c r="AK14" s="27">
        <v>0</v>
      </c>
      <c r="AL14" s="28">
        <v>0</v>
      </c>
      <c r="AM14" s="28">
        <v>0</v>
      </c>
      <c r="AN14" s="28">
        <v>0</v>
      </c>
      <c r="AO14" s="29">
        <v>0</v>
      </c>
      <c r="AP14" s="23"/>
      <c r="AQ14" s="27">
        <v>0</v>
      </c>
      <c r="AR14" s="28">
        <v>0</v>
      </c>
      <c r="AS14" s="28">
        <v>0</v>
      </c>
      <c r="AT14" s="28">
        <v>0</v>
      </c>
      <c r="AU14" s="29">
        <v>0.75</v>
      </c>
    </row>
    <row r="15" spans="1:47" x14ac:dyDescent="0.35">
      <c r="B15" t="s">
        <v>18</v>
      </c>
      <c r="D15" t="s">
        <v>11</v>
      </c>
      <c r="E15" t="s">
        <v>30</v>
      </c>
      <c r="G15" s="5"/>
      <c r="H15" s="5"/>
      <c r="I15" s="5"/>
      <c r="J15" s="5"/>
      <c r="K15" s="5"/>
      <c r="L15" s="5"/>
      <c r="M15" s="5"/>
      <c r="N15" s="5"/>
      <c r="O15" s="15">
        <v>0</v>
      </c>
      <c r="P15" s="16">
        <v>0</v>
      </c>
      <c r="Q15" s="16">
        <v>0</v>
      </c>
      <c r="R15" s="16">
        <v>0</v>
      </c>
      <c r="S15" s="17">
        <v>0</v>
      </c>
      <c r="T15" s="5"/>
      <c r="U15" s="18">
        <v>5</v>
      </c>
      <c r="V15" s="11"/>
      <c r="W15" s="5"/>
      <c r="Y15" s="18">
        <f t="shared" si="0"/>
        <v>5</v>
      </c>
      <c r="AC15" s="23"/>
      <c r="AD15" s="23"/>
      <c r="AE15" s="23"/>
      <c r="AF15" s="23"/>
      <c r="AG15" s="23"/>
      <c r="AH15" s="23"/>
      <c r="AI15" s="23"/>
      <c r="AJ15" s="23"/>
      <c r="AK15" s="30">
        <v>0</v>
      </c>
      <c r="AL15" s="31">
        <v>0</v>
      </c>
      <c r="AM15" s="31">
        <v>0</v>
      </c>
      <c r="AN15" s="31">
        <v>0</v>
      </c>
      <c r="AO15" s="32">
        <v>0</v>
      </c>
      <c r="AP15" s="23"/>
      <c r="AQ15" s="30">
        <v>0</v>
      </c>
      <c r="AR15" s="31">
        <v>0</v>
      </c>
      <c r="AS15" s="31">
        <v>0</v>
      </c>
      <c r="AT15" s="31">
        <v>0</v>
      </c>
      <c r="AU15" s="32">
        <v>0.25</v>
      </c>
    </row>
    <row r="16" spans="1:47" x14ac:dyDescent="0.35">
      <c r="G16" s="5" t="s">
        <v>31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Y16" s="5" t="s">
        <v>36</v>
      </c>
      <c r="AC16" s="43" t="s">
        <v>42</v>
      </c>
      <c r="AD16" s="43"/>
      <c r="AE16" s="43"/>
      <c r="AF16" s="43"/>
      <c r="AG16" s="23"/>
      <c r="AH16" s="23"/>
      <c r="AI16" s="23"/>
      <c r="AJ16" s="23"/>
      <c r="AK16" s="23"/>
      <c r="AL16" s="23"/>
      <c r="AM16" s="23"/>
      <c r="AN16" s="23"/>
      <c r="AO16" s="23"/>
      <c r="AP16" s="23"/>
    </row>
    <row r="17" spans="2:47" x14ac:dyDescent="0.35">
      <c r="C17" t="s">
        <v>24</v>
      </c>
      <c r="D17" s="37" t="s">
        <v>19</v>
      </c>
      <c r="E17" t="s">
        <v>29</v>
      </c>
      <c r="G17" s="38">
        <v>150</v>
      </c>
      <c r="H17" s="39">
        <v>20</v>
      </c>
      <c r="I17" s="7">
        <v>0</v>
      </c>
      <c r="J17" s="8">
        <v>0</v>
      </c>
      <c r="K17" s="7">
        <v>0</v>
      </c>
      <c r="L17" s="7">
        <v>0</v>
      </c>
      <c r="M17" s="8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Y17" s="9">
        <f>SUM(G17:M17)</f>
        <v>170</v>
      </c>
      <c r="AC17" s="24" cm="1">
        <f t="array" ref="AC17:AI21">MMULT(G17:M21,MINVERSE(Y9:Y15*_xlfn.MUNIT(COUNTA(Y9:Y15))))</f>
        <v>1</v>
      </c>
      <c r="AD17" s="25">
        <v>1</v>
      </c>
      <c r="AE17" s="25">
        <v>0</v>
      </c>
      <c r="AF17" s="25">
        <v>0</v>
      </c>
      <c r="AG17" s="25">
        <v>0</v>
      </c>
      <c r="AH17" s="25">
        <v>0</v>
      </c>
      <c r="AI17" s="26">
        <v>0</v>
      </c>
      <c r="AJ17" s="23"/>
      <c r="AK17" s="23"/>
      <c r="AL17" s="23"/>
      <c r="AM17" s="23"/>
      <c r="AN17" s="23"/>
      <c r="AO17" s="23"/>
      <c r="AP17" s="23"/>
    </row>
    <row r="18" spans="2:47" x14ac:dyDescent="0.35">
      <c r="C18" t="s">
        <v>25</v>
      </c>
      <c r="D18" t="s">
        <v>20</v>
      </c>
      <c r="E18" t="s">
        <v>29</v>
      </c>
      <c r="G18" s="10">
        <v>0</v>
      </c>
      <c r="H18" s="11">
        <v>0</v>
      </c>
      <c r="I18" s="11">
        <v>40</v>
      </c>
      <c r="J18" s="46">
        <v>0</v>
      </c>
      <c r="K18" s="12">
        <v>0</v>
      </c>
      <c r="L18" s="12">
        <v>0</v>
      </c>
      <c r="M18" s="13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Y18" s="14">
        <f>SUM(G18:M18)</f>
        <v>40</v>
      </c>
      <c r="AC18" s="27">
        <v>0</v>
      </c>
      <c r="AD18" s="28">
        <v>0</v>
      </c>
      <c r="AE18" s="28">
        <v>0.8</v>
      </c>
      <c r="AF18" s="28">
        <v>0</v>
      </c>
      <c r="AG18" s="28">
        <v>0</v>
      </c>
      <c r="AH18" s="28">
        <v>0</v>
      </c>
      <c r="AI18" s="29">
        <v>0</v>
      </c>
      <c r="AJ18" s="23"/>
      <c r="AK18" s="23"/>
      <c r="AL18" s="23"/>
      <c r="AM18" s="23"/>
      <c r="AN18" s="23"/>
      <c r="AO18" s="23"/>
      <c r="AP18" s="23"/>
    </row>
    <row r="19" spans="2:47" x14ac:dyDescent="0.35">
      <c r="C19" t="s">
        <v>26</v>
      </c>
      <c r="D19" s="37" t="s">
        <v>21</v>
      </c>
      <c r="E19" t="s">
        <v>29</v>
      </c>
      <c r="G19" s="15">
        <v>0</v>
      </c>
      <c r="H19" s="16">
        <v>0</v>
      </c>
      <c r="I19" s="47">
        <v>10</v>
      </c>
      <c r="J19" s="48">
        <v>40</v>
      </c>
      <c r="K19" s="12">
        <v>0</v>
      </c>
      <c r="L19" s="12">
        <v>0</v>
      </c>
      <c r="M19" s="13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Y19" s="14">
        <f>SUM(G19:M19)</f>
        <v>50</v>
      </c>
      <c r="AC19" s="27">
        <v>0</v>
      </c>
      <c r="AD19" s="28">
        <v>0</v>
      </c>
      <c r="AE19" s="28">
        <v>0.2</v>
      </c>
      <c r="AF19" s="28">
        <v>1</v>
      </c>
      <c r="AG19" s="28">
        <v>0</v>
      </c>
      <c r="AH19" s="28">
        <v>0</v>
      </c>
      <c r="AI19" s="29">
        <v>0</v>
      </c>
      <c r="AJ19" s="23"/>
      <c r="AK19" s="23"/>
      <c r="AL19" s="23"/>
      <c r="AM19" s="23"/>
      <c r="AN19" s="23"/>
      <c r="AO19" s="23"/>
      <c r="AP19" s="23"/>
    </row>
    <row r="20" spans="2:47" x14ac:dyDescent="0.35">
      <c r="C20" t="s">
        <v>27</v>
      </c>
      <c r="D20" t="s">
        <v>22</v>
      </c>
      <c r="E20" t="s">
        <v>29</v>
      </c>
      <c r="G20" s="10">
        <v>0</v>
      </c>
      <c r="H20" s="12">
        <v>0</v>
      </c>
      <c r="I20" s="12">
        <v>0</v>
      </c>
      <c r="J20" s="12">
        <v>0</v>
      </c>
      <c r="K20" s="6">
        <v>30</v>
      </c>
      <c r="L20" s="45">
        <v>0</v>
      </c>
      <c r="M20" s="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Y20" s="14">
        <f>SUM(G20:M20)</f>
        <v>30</v>
      </c>
      <c r="AC20" s="27">
        <v>0</v>
      </c>
      <c r="AD20" s="28">
        <v>0</v>
      </c>
      <c r="AE20" s="28">
        <v>0</v>
      </c>
      <c r="AF20" s="28">
        <v>0</v>
      </c>
      <c r="AG20" s="24">
        <v>1</v>
      </c>
      <c r="AH20" s="25">
        <v>0</v>
      </c>
      <c r="AI20" s="26">
        <v>0</v>
      </c>
      <c r="AJ20" s="23"/>
      <c r="AK20" s="23"/>
      <c r="AL20" s="23"/>
      <c r="AM20" s="23"/>
      <c r="AN20" s="23"/>
      <c r="AO20" s="23"/>
      <c r="AP20" s="23"/>
    </row>
    <row r="21" spans="2:47" x14ac:dyDescent="0.35">
      <c r="C21" t="s">
        <v>28</v>
      </c>
      <c r="D21" s="42" t="s">
        <v>23</v>
      </c>
      <c r="E21" t="s">
        <v>30</v>
      </c>
      <c r="G21" s="19">
        <v>0</v>
      </c>
      <c r="H21" s="16">
        <v>0</v>
      </c>
      <c r="I21" s="16">
        <v>0</v>
      </c>
      <c r="J21" s="16">
        <v>0</v>
      </c>
      <c r="K21" s="15">
        <v>0</v>
      </c>
      <c r="L21" s="40">
        <v>15</v>
      </c>
      <c r="M21" s="41">
        <v>5</v>
      </c>
      <c r="N21" s="5"/>
      <c r="O21" s="5"/>
      <c r="P21" s="5"/>
      <c r="Q21" s="5"/>
      <c r="R21" s="5"/>
      <c r="S21" s="5"/>
      <c r="T21" s="5"/>
      <c r="U21" s="5"/>
      <c r="V21" s="5"/>
      <c r="W21" s="5"/>
      <c r="Y21" s="18">
        <f>SUM(G21:M21)</f>
        <v>20</v>
      </c>
      <c r="AC21" s="30">
        <v>0</v>
      </c>
      <c r="AD21" s="31">
        <v>0</v>
      </c>
      <c r="AE21" s="31">
        <v>0</v>
      </c>
      <c r="AF21" s="31">
        <v>0</v>
      </c>
      <c r="AG21" s="30">
        <v>0</v>
      </c>
      <c r="AH21" s="31">
        <v>1</v>
      </c>
      <c r="AI21" s="32">
        <v>1</v>
      </c>
      <c r="AJ21" s="23"/>
      <c r="AK21" s="23"/>
      <c r="AL21" s="23"/>
      <c r="AM21" s="23"/>
      <c r="AN21" s="23"/>
      <c r="AO21" s="23"/>
      <c r="AP21" s="23"/>
    </row>
    <row r="22" spans="2:47" x14ac:dyDescent="0.35">
      <c r="G22" s="5"/>
      <c r="H22" s="5"/>
      <c r="I22" s="5"/>
      <c r="J22" s="5"/>
      <c r="K22" s="5"/>
      <c r="L22" s="5"/>
      <c r="M22" s="5"/>
      <c r="N22" s="5"/>
      <c r="O22" s="5" t="s">
        <v>40</v>
      </c>
      <c r="P22" s="5"/>
      <c r="Q22" s="5"/>
      <c r="R22" s="5"/>
      <c r="S22" s="5"/>
      <c r="T22" s="5"/>
      <c r="U22" s="5"/>
      <c r="V22" s="5"/>
      <c r="W22" s="5"/>
      <c r="X22" s="5"/>
      <c r="AC22" s="23"/>
      <c r="AD22" s="23"/>
      <c r="AE22" s="23"/>
      <c r="AF22" s="23"/>
      <c r="AG22" s="23"/>
      <c r="AH22" s="23"/>
      <c r="AI22" s="23"/>
      <c r="AJ22" s="23"/>
      <c r="AK22" s="23" t="s">
        <v>43</v>
      </c>
      <c r="AL22" s="23"/>
      <c r="AM22" s="23"/>
      <c r="AN22" s="23"/>
      <c r="AO22" s="23"/>
      <c r="AP22" s="23"/>
    </row>
    <row r="23" spans="2:47" x14ac:dyDescent="0.35">
      <c r="D23" t="s">
        <v>38</v>
      </c>
      <c r="E23" t="s">
        <v>39</v>
      </c>
      <c r="G23" s="5"/>
      <c r="H23" s="5"/>
      <c r="I23" s="5"/>
      <c r="J23" s="5"/>
      <c r="K23" s="5"/>
      <c r="L23" s="5"/>
      <c r="M23" s="5"/>
      <c r="N23" s="5"/>
      <c r="O23" s="20">
        <v>15</v>
      </c>
      <c r="P23" s="21">
        <v>7</v>
      </c>
      <c r="Q23" s="21">
        <v>12</v>
      </c>
      <c r="R23" s="21">
        <v>8</v>
      </c>
      <c r="S23" s="22">
        <v>10</v>
      </c>
      <c r="T23" s="5"/>
      <c r="U23" s="5"/>
      <c r="V23" s="5"/>
      <c r="W23" s="5"/>
      <c r="X23" s="5"/>
      <c r="AC23" s="23"/>
      <c r="AD23" s="23"/>
      <c r="AE23" s="23"/>
      <c r="AF23" s="23"/>
      <c r="AG23" s="23"/>
      <c r="AH23" s="23"/>
      <c r="AI23" s="23"/>
      <c r="AJ23" s="23"/>
      <c r="AK23" s="33" cm="1">
        <f t="array" ref="AK23:AO23">MMULT(O23:S23, MINVERSE(Y17:Y21*_xlfn.MUNIT(COUNTA(Y17:Y21))))</f>
        <v>8.8235294117647051E-2</v>
      </c>
      <c r="AL23" s="34">
        <v>0.17500000000000002</v>
      </c>
      <c r="AM23" s="34">
        <v>0.24</v>
      </c>
      <c r="AN23" s="34">
        <v>0.26666666666666666</v>
      </c>
      <c r="AO23" s="35">
        <v>0.5</v>
      </c>
      <c r="AP23" s="23"/>
    </row>
    <row r="24" spans="2:47" x14ac:dyDescent="0.35"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X24" s="5"/>
      <c r="Y24" s="5"/>
      <c r="Z24" s="5"/>
    </row>
    <row r="25" spans="2:47" x14ac:dyDescent="0.35">
      <c r="B25" s="2"/>
      <c r="C25" s="2"/>
      <c r="D25" s="2"/>
      <c r="E25" s="2"/>
      <c r="F25" s="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4"/>
      <c r="AR25" s="4"/>
      <c r="AS25" s="4"/>
      <c r="AT25" s="4"/>
      <c r="AU25" s="4"/>
    </row>
    <row r="26" spans="2:47" x14ac:dyDescent="0.35">
      <c r="N26" s="5"/>
      <c r="AC26" s="5" t="s">
        <v>62</v>
      </c>
      <c r="AD26" s="5"/>
      <c r="AE26" s="5"/>
      <c r="AF26" s="5"/>
      <c r="AG26" s="5"/>
      <c r="AH26" s="5"/>
      <c r="AI26" s="5"/>
      <c r="AK26" s="23" t="s">
        <v>63</v>
      </c>
      <c r="AL26" s="23"/>
      <c r="AM26" s="23"/>
      <c r="AN26" s="23"/>
      <c r="AO26" s="23"/>
    </row>
    <row r="27" spans="2:47" ht="14.5" customHeight="1" x14ac:dyDescent="0.35">
      <c r="B27" t="s">
        <v>12</v>
      </c>
      <c r="D27" t="s">
        <v>4</v>
      </c>
      <c r="E27" t="s">
        <v>29</v>
      </c>
      <c r="N27" s="23"/>
      <c r="AB27" s="94"/>
      <c r="AC27" s="24">
        <v>1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6">
        <v>0</v>
      </c>
      <c r="AK27" s="24" cm="1">
        <f t="array" ref="AK27:AO32">MMULT(AC27:AI32,AK9:AO15)</f>
        <v>0</v>
      </c>
      <c r="AL27" s="25">
        <v>1.25</v>
      </c>
      <c r="AM27" s="25">
        <v>2</v>
      </c>
      <c r="AN27" s="25">
        <v>0</v>
      </c>
      <c r="AO27" s="26">
        <v>0</v>
      </c>
    </row>
    <row r="28" spans="2:47" x14ac:dyDescent="0.35">
      <c r="B28" t="s">
        <v>13</v>
      </c>
      <c r="D28" t="s">
        <v>5</v>
      </c>
      <c r="E28" t="s">
        <v>29</v>
      </c>
      <c r="N28" s="23"/>
      <c r="AB28" s="94"/>
      <c r="AC28" s="27">
        <v>0</v>
      </c>
      <c r="AD28" s="28">
        <v>1</v>
      </c>
      <c r="AE28" s="28">
        <v>0</v>
      </c>
      <c r="AF28" s="28">
        <v>0</v>
      </c>
      <c r="AG28" s="28">
        <v>0</v>
      </c>
      <c r="AH28" s="28">
        <v>0</v>
      </c>
      <c r="AI28" s="29">
        <v>0</v>
      </c>
      <c r="AK28" s="27">
        <v>0</v>
      </c>
      <c r="AL28" s="28">
        <v>0</v>
      </c>
      <c r="AM28" s="28">
        <v>0</v>
      </c>
      <c r="AN28" s="28">
        <v>0</v>
      </c>
      <c r="AO28" s="29">
        <v>0</v>
      </c>
    </row>
    <row r="29" spans="2:47" x14ac:dyDescent="0.35">
      <c r="B29" t="s">
        <v>14</v>
      </c>
      <c r="D29" t="s">
        <v>6</v>
      </c>
      <c r="E29" t="s">
        <v>29</v>
      </c>
      <c r="N29" s="23"/>
      <c r="AB29" s="94"/>
      <c r="AC29" s="27">
        <v>0</v>
      </c>
      <c r="AD29" s="28">
        <v>0</v>
      </c>
      <c r="AE29" s="28">
        <v>1</v>
      </c>
      <c r="AF29" s="28">
        <v>0</v>
      </c>
      <c r="AG29" s="28">
        <v>0</v>
      </c>
      <c r="AH29" s="28">
        <v>0</v>
      </c>
      <c r="AI29" s="29">
        <v>0</v>
      </c>
      <c r="AK29" s="27">
        <v>0</v>
      </c>
      <c r="AL29" s="28">
        <v>0</v>
      </c>
      <c r="AM29" s="28">
        <v>0</v>
      </c>
      <c r="AN29" s="28">
        <v>0</v>
      </c>
      <c r="AO29" s="29">
        <v>0</v>
      </c>
    </row>
    <row r="30" spans="2:47" x14ac:dyDescent="0.35">
      <c r="B30" s="96" t="s">
        <v>61</v>
      </c>
      <c r="D30" s="96" t="s">
        <v>7</v>
      </c>
      <c r="E30" t="s">
        <v>29</v>
      </c>
      <c r="N30" s="23"/>
      <c r="AB30" s="94"/>
      <c r="AC30" s="27">
        <v>0</v>
      </c>
      <c r="AD30" s="28">
        <v>0</v>
      </c>
      <c r="AE30" s="28">
        <v>0</v>
      </c>
      <c r="AF30" s="28">
        <v>1</v>
      </c>
      <c r="AG30" s="28">
        <v>1</v>
      </c>
      <c r="AH30" s="28">
        <v>0</v>
      </c>
      <c r="AI30" s="29">
        <v>0</v>
      </c>
      <c r="AK30" s="27">
        <v>0</v>
      </c>
      <c r="AL30" s="28">
        <v>0</v>
      </c>
      <c r="AM30" s="28">
        <v>0</v>
      </c>
      <c r="AN30" s="28">
        <v>0</v>
      </c>
      <c r="AO30" s="29">
        <v>3.5</v>
      </c>
    </row>
    <row r="31" spans="2:47" x14ac:dyDescent="0.35">
      <c r="B31" t="s">
        <v>17</v>
      </c>
      <c r="D31" t="s">
        <v>10</v>
      </c>
      <c r="E31" t="s">
        <v>30</v>
      </c>
      <c r="N31" s="23"/>
      <c r="AB31" s="94"/>
      <c r="AC31" s="27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1</v>
      </c>
      <c r="AI31" s="29">
        <v>0</v>
      </c>
      <c r="AK31" s="27">
        <v>0</v>
      </c>
      <c r="AL31" s="28">
        <v>0</v>
      </c>
      <c r="AM31" s="28">
        <v>0</v>
      </c>
      <c r="AN31" s="28">
        <v>0</v>
      </c>
      <c r="AO31" s="29">
        <v>0</v>
      </c>
    </row>
    <row r="32" spans="2:47" x14ac:dyDescent="0.35">
      <c r="B32" t="s">
        <v>18</v>
      </c>
      <c r="D32" t="s">
        <v>11</v>
      </c>
      <c r="E32" t="s">
        <v>30</v>
      </c>
      <c r="N32" s="23"/>
      <c r="AB32" s="94"/>
      <c r="AC32" s="30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2">
        <v>1</v>
      </c>
      <c r="AK32" s="30">
        <v>0</v>
      </c>
      <c r="AL32" s="31">
        <v>0</v>
      </c>
      <c r="AM32" s="31">
        <v>0</v>
      </c>
      <c r="AN32" s="31">
        <v>0</v>
      </c>
      <c r="AO32" s="32">
        <v>0</v>
      </c>
    </row>
    <row r="33" spans="2:41" x14ac:dyDescent="0.35">
      <c r="G33" s="28"/>
      <c r="H33" s="28"/>
      <c r="I33" s="28"/>
      <c r="J33" s="28"/>
      <c r="K33" s="28"/>
      <c r="L33" s="28"/>
      <c r="M33" s="28"/>
      <c r="N33" s="23"/>
      <c r="O33" s="28"/>
      <c r="P33" s="28"/>
      <c r="Q33" s="28"/>
      <c r="R33" s="28"/>
      <c r="S33" s="28"/>
      <c r="T33" s="23"/>
      <c r="U33" s="11"/>
      <c r="V33" s="28"/>
      <c r="W33" s="86"/>
      <c r="X33" s="72"/>
      <c r="Y33" s="86"/>
      <c r="Z33" s="28"/>
      <c r="AA33" s="94"/>
      <c r="AB33" s="94"/>
      <c r="AK33" s="28"/>
      <c r="AL33" s="28"/>
      <c r="AM33" s="28"/>
      <c r="AN33" s="28"/>
      <c r="AO33" s="28"/>
    </row>
    <row r="34" spans="2:41" x14ac:dyDescent="0.35">
      <c r="G34" s="28"/>
      <c r="H34" s="28"/>
      <c r="I34" s="28"/>
      <c r="J34" s="28"/>
      <c r="K34" s="28"/>
      <c r="L34" s="28"/>
      <c r="M34" s="28"/>
      <c r="N34" s="23"/>
      <c r="O34" s="28"/>
      <c r="P34" s="28"/>
      <c r="Q34" s="28"/>
      <c r="R34" s="28"/>
      <c r="S34" s="28"/>
      <c r="T34" s="23"/>
      <c r="U34" s="11"/>
      <c r="V34" s="28"/>
      <c r="W34" s="86"/>
      <c r="X34" s="72"/>
      <c r="Y34" s="86"/>
      <c r="Z34" s="28"/>
      <c r="AA34" s="94"/>
      <c r="AB34" s="94"/>
    </row>
    <row r="35" spans="2:41" x14ac:dyDescent="0.35">
      <c r="G35" s="28"/>
      <c r="H35" s="28"/>
      <c r="I35" s="28"/>
      <c r="J35" s="28"/>
      <c r="K35" s="28"/>
      <c r="L35" s="28"/>
      <c r="M35" s="28"/>
      <c r="N35" s="23"/>
      <c r="O35" t="s">
        <v>64</v>
      </c>
      <c r="P35" s="5"/>
      <c r="Q35" s="5"/>
      <c r="R35" s="5"/>
      <c r="S35" s="5"/>
      <c r="T35" s="5"/>
      <c r="U35" t="s">
        <v>34</v>
      </c>
      <c r="V35" s="5"/>
      <c r="W35" t="s">
        <v>45</v>
      </c>
      <c r="X35" s="97"/>
      <c r="Y35" t="s">
        <v>65</v>
      </c>
      <c r="AA35" t="s">
        <v>54</v>
      </c>
      <c r="AB35" s="94"/>
    </row>
    <row r="36" spans="2:41" x14ac:dyDescent="0.35">
      <c r="B36" t="s">
        <v>12</v>
      </c>
      <c r="D36" t="s">
        <v>4</v>
      </c>
      <c r="E36" t="s">
        <v>29</v>
      </c>
      <c r="G36" s="28"/>
      <c r="H36" s="28"/>
      <c r="I36" s="28"/>
      <c r="J36" s="28"/>
      <c r="K36" s="28"/>
      <c r="L36" s="28"/>
      <c r="M36" s="28"/>
      <c r="N36" s="23"/>
      <c r="O36" s="24" cm="1">
        <f t="array" ref="O36:S41">MMULT(_xlfn.ANCHORARRAY(AK27),Y43:Y47*_xlfn.MUNIT(COUNTA(Y43:Y47)))</f>
        <v>0</v>
      </c>
      <c r="P36" s="25">
        <v>50.500000000002352</v>
      </c>
      <c r="Q36" s="25">
        <v>106.0000000000375</v>
      </c>
      <c r="R36" s="25">
        <v>0</v>
      </c>
      <c r="S36" s="26">
        <v>0</v>
      </c>
      <c r="T36" s="23"/>
      <c r="U36" s="9">
        <v>0</v>
      </c>
      <c r="V36" s="28"/>
      <c r="W36" s="111">
        <v>1</v>
      </c>
      <c r="X36" s="23"/>
      <c r="Y36" s="104" cm="1">
        <f t="array" ref="Y36:Y41">MMULT(AC27:AI32,TRANSPOSE(G51:M51))</f>
        <v>157.50000000003502</v>
      </c>
      <c r="AA36" s="70">
        <f xml:space="preserve"> SUM(O36:S36,U36,W36) - Y36</f>
        <v>4.8316906031686813E-12</v>
      </c>
      <c r="AB36" s="94"/>
    </row>
    <row r="37" spans="2:41" x14ac:dyDescent="0.35">
      <c r="B37" t="s">
        <v>13</v>
      </c>
      <c r="D37" t="s">
        <v>5</v>
      </c>
      <c r="E37" t="s">
        <v>29</v>
      </c>
      <c r="G37" s="28"/>
      <c r="H37" s="28"/>
      <c r="I37" s="28"/>
      <c r="J37" s="28"/>
      <c r="K37" s="28"/>
      <c r="L37" s="28"/>
      <c r="M37" s="28"/>
      <c r="N37" s="23"/>
      <c r="O37" s="27">
        <v>0</v>
      </c>
      <c r="P37" s="28">
        <v>0</v>
      </c>
      <c r="Q37" s="28">
        <v>0</v>
      </c>
      <c r="R37" s="28">
        <v>0</v>
      </c>
      <c r="S37" s="29">
        <v>0</v>
      </c>
      <c r="T37" s="23"/>
      <c r="U37" s="14">
        <v>20</v>
      </c>
      <c r="V37" s="28"/>
      <c r="W37" s="102">
        <v>1</v>
      </c>
      <c r="X37" s="23"/>
      <c r="Y37" s="105">
        <v>21.000000000004668</v>
      </c>
      <c r="Z37" s="107"/>
      <c r="AA37" s="69">
        <f t="shared" ref="AA37:AA41" si="1" xml:space="preserve"> SUM(O37:S37,U37,W37) - Y37</f>
        <v>-4.6682657739438582E-12</v>
      </c>
      <c r="AB37" s="94"/>
    </row>
    <row r="38" spans="2:41" x14ac:dyDescent="0.35">
      <c r="B38" t="s">
        <v>14</v>
      </c>
      <c r="D38" t="s">
        <v>6</v>
      </c>
      <c r="E38" t="s">
        <v>29</v>
      </c>
      <c r="G38" s="28"/>
      <c r="H38" s="28"/>
      <c r="I38" s="28"/>
      <c r="J38" s="28"/>
      <c r="K38" s="28"/>
      <c r="L38" s="28"/>
      <c r="M38" s="28"/>
      <c r="N38" s="23"/>
      <c r="O38" s="27">
        <v>0</v>
      </c>
      <c r="P38" s="28">
        <v>0</v>
      </c>
      <c r="Q38" s="28">
        <v>0</v>
      </c>
      <c r="R38" s="28">
        <v>0</v>
      </c>
      <c r="S38" s="29">
        <v>0</v>
      </c>
      <c r="T38" s="23"/>
      <c r="U38" s="14">
        <v>50</v>
      </c>
      <c r="V38" s="28"/>
      <c r="W38" s="102">
        <v>1</v>
      </c>
      <c r="X38" s="23"/>
      <c r="Y38" s="105">
        <v>51.000000000005635</v>
      </c>
      <c r="AA38" s="69">
        <f t="shared" si="1"/>
        <v>-5.6346038945775945E-12</v>
      </c>
      <c r="AB38" s="94"/>
    </row>
    <row r="39" spans="2:41" x14ac:dyDescent="0.35">
      <c r="B39" s="96" t="s">
        <v>61</v>
      </c>
      <c r="D39" s="96" t="s">
        <v>7</v>
      </c>
      <c r="E39" t="s">
        <v>29</v>
      </c>
      <c r="G39" s="28"/>
      <c r="H39" s="28"/>
      <c r="I39" s="28"/>
      <c r="J39" s="28"/>
      <c r="K39" s="28"/>
      <c r="L39" s="28"/>
      <c r="M39" s="28"/>
      <c r="N39" s="23"/>
      <c r="O39" s="27">
        <v>0</v>
      </c>
      <c r="P39" s="28">
        <v>0</v>
      </c>
      <c r="Q39" s="28">
        <v>0</v>
      </c>
      <c r="R39" s="28">
        <v>0</v>
      </c>
      <c r="S39" s="29">
        <v>76.993077000000014</v>
      </c>
      <c r="T39" s="23"/>
      <c r="U39" s="14">
        <v>0</v>
      </c>
      <c r="V39" s="28"/>
      <c r="W39" s="102">
        <v>1</v>
      </c>
      <c r="X39" s="23"/>
      <c r="Y39" s="105">
        <v>77.993025576419313</v>
      </c>
      <c r="AA39" s="69">
        <f t="shared" si="1"/>
        <v>5.1423580700316052E-5</v>
      </c>
      <c r="AB39" s="94"/>
    </row>
    <row r="40" spans="2:41" x14ac:dyDescent="0.35">
      <c r="B40" t="s">
        <v>17</v>
      </c>
      <c r="D40" t="s">
        <v>10</v>
      </c>
      <c r="E40" t="s">
        <v>30</v>
      </c>
      <c r="G40" s="28"/>
      <c r="H40" s="28"/>
      <c r="I40" s="28"/>
      <c r="J40" s="28"/>
      <c r="K40" s="28"/>
      <c r="L40" s="28"/>
      <c r="M40" s="28"/>
      <c r="N40" s="23"/>
      <c r="O40" s="27">
        <v>0</v>
      </c>
      <c r="P40" s="28">
        <v>0</v>
      </c>
      <c r="Q40" s="28">
        <v>0</v>
      </c>
      <c r="R40" s="28">
        <v>0</v>
      </c>
      <c r="S40" s="29">
        <v>0</v>
      </c>
      <c r="T40" s="23"/>
      <c r="U40" s="14">
        <v>15</v>
      </c>
      <c r="V40" s="28"/>
      <c r="W40" s="102">
        <v>1</v>
      </c>
      <c r="X40" s="23"/>
      <c r="Y40" s="102">
        <v>15.999016000000001</v>
      </c>
      <c r="Z40" s="28"/>
      <c r="AA40" s="68">
        <f t="shared" si="1"/>
        <v>9.8399999999898569E-4</v>
      </c>
      <c r="AB40" s="94"/>
    </row>
    <row r="41" spans="2:41" x14ac:dyDescent="0.35">
      <c r="B41" t="s">
        <v>18</v>
      </c>
      <c r="D41" t="s">
        <v>11</v>
      </c>
      <c r="E41" t="s">
        <v>30</v>
      </c>
      <c r="G41" s="28"/>
      <c r="H41" s="28"/>
      <c r="I41" s="28"/>
      <c r="J41" s="28"/>
      <c r="K41" s="28"/>
      <c r="L41" s="28"/>
      <c r="M41" s="28"/>
      <c r="N41" s="23"/>
      <c r="O41" s="30">
        <v>0</v>
      </c>
      <c r="P41" s="31">
        <v>0</v>
      </c>
      <c r="Q41" s="31">
        <v>0</v>
      </c>
      <c r="R41" s="31">
        <v>0</v>
      </c>
      <c r="S41" s="32">
        <v>0</v>
      </c>
      <c r="T41" s="23"/>
      <c r="U41" s="18">
        <v>5</v>
      </c>
      <c r="V41" s="28"/>
      <c r="W41" s="103">
        <v>1</v>
      </c>
      <c r="X41" s="23"/>
      <c r="Y41" s="103">
        <v>5.9990060000000005</v>
      </c>
      <c r="Z41" s="28"/>
      <c r="AA41" s="71">
        <f t="shared" si="1"/>
        <v>9.9399999999949529E-4</v>
      </c>
      <c r="AB41" s="94"/>
    </row>
    <row r="42" spans="2:41" x14ac:dyDescent="0.35">
      <c r="G42" t="s">
        <v>50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 t="s">
        <v>48</v>
      </c>
      <c r="Z42" s="23"/>
      <c r="AA42" t="s">
        <v>55</v>
      </c>
    </row>
    <row r="43" spans="2:41" x14ac:dyDescent="0.35">
      <c r="C43" t="s">
        <v>24</v>
      </c>
      <c r="D43" t="s">
        <v>19</v>
      </c>
      <c r="E43" t="s">
        <v>29</v>
      </c>
      <c r="G43" s="59" cm="1">
        <f t="array" ref="G43:J45">TRANSPOSE(MMULT(AQ9:AS12,Y43:Y45*_xlfn.MUNIT(COUNTA(Y43:Y45))))</f>
        <v>157.50000000003502</v>
      </c>
      <c r="H43" s="60">
        <v>21.000000000004668</v>
      </c>
      <c r="I43" s="60">
        <v>0</v>
      </c>
      <c r="J43" s="61">
        <v>0</v>
      </c>
      <c r="K43" s="84">
        <v>0</v>
      </c>
      <c r="L43" s="84">
        <v>0</v>
      </c>
      <c r="M43" s="85">
        <v>0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49">
        <v>178.50000000003968</v>
      </c>
      <c r="Z43" s="28"/>
      <c r="AA43" s="91">
        <f xml:space="preserve"> SUM(G43:M43) - Y43</f>
        <v>0</v>
      </c>
      <c r="AB43" s="94"/>
    </row>
    <row r="44" spans="2:41" x14ac:dyDescent="0.35">
      <c r="C44" t="s">
        <v>25</v>
      </c>
      <c r="D44" t="s">
        <v>20</v>
      </c>
      <c r="E44" t="s">
        <v>29</v>
      </c>
      <c r="G44" s="62">
        <v>0</v>
      </c>
      <c r="H44" s="63">
        <v>0</v>
      </c>
      <c r="I44" s="63">
        <v>40.400000000001882</v>
      </c>
      <c r="J44" s="64">
        <v>0</v>
      </c>
      <c r="K44" s="86">
        <v>0</v>
      </c>
      <c r="L44" s="86">
        <v>0</v>
      </c>
      <c r="M44" s="87">
        <v>0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50">
        <v>40.400000000001882</v>
      </c>
      <c r="Z44" s="28"/>
      <c r="AA44" s="92">
        <f xml:space="preserve"> SUM(G44:M44) - Y44</f>
        <v>0</v>
      </c>
      <c r="AB44" s="94"/>
    </row>
    <row r="45" spans="2:41" x14ac:dyDescent="0.35">
      <c r="C45" t="s">
        <v>26</v>
      </c>
      <c r="D45" t="s">
        <v>21</v>
      </c>
      <c r="E45" t="s">
        <v>29</v>
      </c>
      <c r="G45" s="65">
        <v>0</v>
      </c>
      <c r="H45" s="66">
        <v>0</v>
      </c>
      <c r="I45" s="66">
        <v>10.600000000003751</v>
      </c>
      <c r="J45" s="67">
        <v>42.400000000015005</v>
      </c>
      <c r="K45" s="86">
        <v>0</v>
      </c>
      <c r="L45" s="86">
        <v>0</v>
      </c>
      <c r="M45" s="87">
        <v>0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50">
        <v>53.000000000018751</v>
      </c>
      <c r="Z45" s="28"/>
      <c r="AA45" s="93">
        <f xml:space="preserve"> SUM(G45:M45) - Y45</f>
        <v>0</v>
      </c>
      <c r="AB45" s="94"/>
    </row>
    <row r="46" spans="2:41" ht="14.5" customHeight="1" x14ac:dyDescent="0.35">
      <c r="C46" t="s">
        <v>27</v>
      </c>
      <c r="D46" t="s">
        <v>22</v>
      </c>
      <c r="E46" t="s">
        <v>29</v>
      </c>
      <c r="G46" s="88">
        <v>0</v>
      </c>
      <c r="H46" s="86">
        <v>0</v>
      </c>
      <c r="I46" s="86">
        <v>0</v>
      </c>
      <c r="J46" s="86">
        <v>0</v>
      </c>
      <c r="K46" s="53" cm="1">
        <f t="array" ref="K46:M47">MMULT(AG20:AI21,TRANSPOSE(K51:M51)*_xlfn.MUNIT(COUNTA(K51:M51)))</f>
        <v>35.593025576404315</v>
      </c>
      <c r="L46" s="54">
        <v>0</v>
      </c>
      <c r="M46" s="55">
        <v>0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81" cm="1">
        <f t="array" ref="Y46:Y47">MMULT(AG20:AI21,TRANSPOSE(K51:M51))</f>
        <v>35.593025576404315</v>
      </c>
      <c r="AA46" s="92">
        <f t="shared" ref="AA46:AA47" si="2" xml:space="preserve"> SUM(G46:M46) - Y46</f>
        <v>0</v>
      </c>
      <c r="AB46" s="94"/>
    </row>
    <row r="47" spans="2:41" x14ac:dyDescent="0.35">
      <c r="C47" t="s">
        <v>28</v>
      </c>
      <c r="D47" t="s">
        <v>23</v>
      </c>
      <c r="E47" t="s">
        <v>30</v>
      </c>
      <c r="G47" s="89">
        <v>0</v>
      </c>
      <c r="H47" s="90">
        <v>0</v>
      </c>
      <c r="I47" s="90">
        <v>0</v>
      </c>
      <c r="J47" s="90">
        <v>0</v>
      </c>
      <c r="K47" s="56">
        <v>0</v>
      </c>
      <c r="L47" s="57">
        <v>15.999016000000001</v>
      </c>
      <c r="M47" s="58">
        <v>5.9990060000000005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82">
        <v>21.998022000000002</v>
      </c>
      <c r="Z47" s="83" t="s">
        <v>52</v>
      </c>
      <c r="AA47" s="93">
        <f t="shared" si="2"/>
        <v>0</v>
      </c>
      <c r="AB47" s="94"/>
    </row>
    <row r="48" spans="2:41" x14ac:dyDescent="0.35">
      <c r="G48" s="23"/>
      <c r="H48" s="23"/>
      <c r="I48" s="23"/>
      <c r="J48" s="23"/>
      <c r="K48" s="23"/>
      <c r="L48" s="23"/>
      <c r="M48" s="23"/>
      <c r="N48" s="23"/>
      <c r="O48" s="23" t="s">
        <v>51</v>
      </c>
      <c r="P48" s="23"/>
      <c r="Q48" s="23"/>
      <c r="R48" s="23"/>
      <c r="S48" s="23"/>
      <c r="T48" s="23"/>
      <c r="U48" s="23"/>
      <c r="V48" s="23"/>
      <c r="W48" s="23" t="s">
        <v>60</v>
      </c>
      <c r="X48" s="23"/>
      <c r="Y48" s="23"/>
      <c r="Z48" s="23"/>
    </row>
    <row r="49" spans="4:26" x14ac:dyDescent="0.35">
      <c r="D49" t="s">
        <v>38</v>
      </c>
      <c r="E49" t="s">
        <v>39</v>
      </c>
      <c r="G49" s="23"/>
      <c r="H49" s="23"/>
      <c r="I49" s="23"/>
      <c r="J49" s="23"/>
      <c r="K49" s="23"/>
      <c r="L49" s="23"/>
      <c r="M49" s="23"/>
      <c r="N49" s="23"/>
      <c r="O49" s="33" cm="1">
        <f t="array" ref="O49:S49">MMULT(AK23:AO23,Y43:Y47*_xlfn.MUNIT(COUNTA(Y43:Y47)))</f>
        <v>15.750000000003499</v>
      </c>
      <c r="P49" s="34">
        <v>7.0700000000003298</v>
      </c>
      <c r="Q49" s="34">
        <v>12.7200000000045</v>
      </c>
      <c r="R49" s="34">
        <v>9.4914734870411515</v>
      </c>
      <c r="S49" s="35">
        <v>10.999011000000001</v>
      </c>
      <c r="T49" s="23"/>
      <c r="U49" s="23"/>
      <c r="V49" s="23"/>
      <c r="W49" s="106" cm="1">
        <f t="array" ref="W49">MMULT(O49:S49, Y43:Y47)</f>
        <v>4350.9497445400148</v>
      </c>
      <c r="X49" s="23"/>
      <c r="Y49" s="23"/>
      <c r="Z49" s="23"/>
    </row>
    <row r="50" spans="4:26" x14ac:dyDescent="0.35">
      <c r="G50" s="98" t="s">
        <v>53</v>
      </c>
    </row>
    <row r="51" spans="4:26" x14ac:dyDescent="0.35">
      <c r="G51" s="108" cm="1">
        <f t="array" ref="G51:J51">TRANSPOSE(MMULT(AQ9:AS12,Y43:Y45))</f>
        <v>157.50000000003502</v>
      </c>
      <c r="H51" s="109">
        <v>21.000000000004668</v>
      </c>
      <c r="I51" s="109">
        <v>51.000000000005635</v>
      </c>
      <c r="J51" s="110">
        <v>42.400000000015005</v>
      </c>
      <c r="K51" s="99">
        <v>35.593025576404315</v>
      </c>
      <c r="L51" s="100">
        <v>15.999016000000001</v>
      </c>
      <c r="M51" s="101">
        <v>5.9990060000000005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5CFA-79F9-4D09-ADC6-2AA9C55E71EF}">
  <dimension ref="A1:BA135"/>
  <sheetViews>
    <sheetView zoomScale="85" zoomScaleNormal="85" workbookViewId="0">
      <pane xSplit="5" ySplit="8" topLeftCell="F11" activePane="bottomRight" state="frozen"/>
      <selection pane="topRight" activeCell="F1" sqref="F1"/>
      <selection pane="bottomLeft" activeCell="A9" sqref="A9"/>
      <selection pane="bottomRight" activeCell="L101" sqref="L101"/>
    </sheetView>
  </sheetViews>
  <sheetFormatPr defaultRowHeight="14.5" x14ac:dyDescent="0.35"/>
  <cols>
    <col min="1" max="2" width="8.7265625" style="125"/>
    <col min="3" max="3" width="16.26953125" style="125" bestFit="1" customWidth="1"/>
    <col min="4" max="4" width="18" style="125" customWidth="1"/>
    <col min="5" max="6" width="8.7265625" style="125"/>
    <col min="7" max="7" width="10" style="125" customWidth="1"/>
    <col min="8" max="8" width="5.7265625" style="125" customWidth="1"/>
    <col min="9" max="9" width="6.6328125" style="125" bestFit="1" customWidth="1"/>
    <col min="10" max="14" width="4.7265625" style="125" customWidth="1"/>
    <col min="15" max="15" width="8.7265625" style="125"/>
    <col min="16" max="16" width="10.7265625" style="125" customWidth="1"/>
    <col min="17" max="17" width="11.36328125" style="125" customWidth="1"/>
    <col min="18" max="18" width="11.1796875" style="125" customWidth="1"/>
    <col min="19" max="19" width="10.7265625" style="125" customWidth="1"/>
    <col min="20" max="20" width="10.81640625" style="125" bestFit="1" customWidth="1"/>
    <col min="21" max="21" width="8.7265625" style="125"/>
    <col min="22" max="22" width="9.90625" style="125" customWidth="1"/>
    <col min="23" max="24" width="12" style="125" customWidth="1"/>
    <col min="25" max="25" width="10" style="125" bestFit="1" customWidth="1"/>
    <col min="26" max="27" width="8" style="125" bestFit="1" customWidth="1"/>
    <col min="28" max="28" width="13.54296875" style="125" customWidth="1"/>
    <col min="29" max="29" width="8" style="125" bestFit="1" customWidth="1"/>
    <col min="30" max="30" width="10.81640625" style="125" customWidth="1"/>
    <col min="31" max="31" width="11.36328125" style="125" customWidth="1"/>
    <col min="32" max="32" width="12.54296875" style="125" customWidth="1"/>
    <col min="33" max="33" width="12.7265625" style="125" customWidth="1"/>
    <col min="34" max="34" width="9.6328125" style="125" customWidth="1"/>
    <col min="35" max="35" width="7.90625" style="125" customWidth="1"/>
    <col min="36" max="36" width="8.36328125" style="125" customWidth="1"/>
    <col min="37" max="37" width="6.1796875" style="125" customWidth="1"/>
    <col min="38" max="39" width="4.7265625" style="125" bestFit="1" customWidth="1"/>
    <col min="40" max="41" width="4.90625" style="125" bestFit="1" customWidth="1"/>
    <col min="42" max="42" width="5.7265625" style="125" bestFit="1" customWidth="1"/>
    <col min="43" max="16384" width="8.7265625" style="125"/>
  </cols>
  <sheetData>
    <row r="1" spans="1:53" x14ac:dyDescent="0.35">
      <c r="A1" s="125" t="s">
        <v>56</v>
      </c>
      <c r="C1" s="126" t="s">
        <v>57</v>
      </c>
      <c r="D1" s="126"/>
    </row>
    <row r="2" spans="1:53" x14ac:dyDescent="0.35">
      <c r="C2" s="127" t="s">
        <v>58</v>
      </c>
      <c r="D2" s="127"/>
    </row>
    <row r="3" spans="1:53" x14ac:dyDescent="0.35">
      <c r="C3" s="128" t="s">
        <v>59</v>
      </c>
      <c r="D3" s="128"/>
    </row>
    <row r="4" spans="1:53" x14ac:dyDescent="0.35">
      <c r="A4" s="129" t="s">
        <v>104</v>
      </c>
      <c r="V4" s="125" t="s">
        <v>72</v>
      </c>
      <c r="W4" s="125" t="s">
        <v>73</v>
      </c>
      <c r="X4" s="125" t="s">
        <v>74</v>
      </c>
      <c r="Y4" s="125" t="s">
        <v>75</v>
      </c>
      <c r="Z4" s="125" t="s">
        <v>76</v>
      </c>
      <c r="AA4" s="125" t="s">
        <v>99</v>
      </c>
      <c r="AB4" s="125" t="s">
        <v>100</v>
      </c>
      <c r="AC4" s="125" t="s">
        <v>101</v>
      </c>
      <c r="AD4" s="125" t="s">
        <v>102</v>
      </c>
      <c r="AE4" s="125" t="s">
        <v>103</v>
      </c>
      <c r="AG4" s="125" t="s">
        <v>72</v>
      </c>
      <c r="AH4" s="125" t="s">
        <v>73</v>
      </c>
      <c r="AI4" s="125" t="s">
        <v>74</v>
      </c>
      <c r="AJ4" s="125" t="s">
        <v>75</v>
      </c>
      <c r="AK4" s="125" t="s">
        <v>76</v>
      </c>
      <c r="AL4" s="125" t="s">
        <v>99</v>
      </c>
      <c r="AM4" s="125" t="s">
        <v>100</v>
      </c>
      <c r="AN4" s="125" t="s">
        <v>101</v>
      </c>
      <c r="AO4" s="125" t="s">
        <v>102</v>
      </c>
      <c r="AP4" s="125" t="s">
        <v>103</v>
      </c>
      <c r="AR4" s="125" t="s">
        <v>72</v>
      </c>
      <c r="AS4" s="125" t="s">
        <v>73</v>
      </c>
      <c r="AT4" s="125" t="s">
        <v>74</v>
      </c>
      <c r="AU4" s="125" t="s">
        <v>75</v>
      </c>
      <c r="AV4" s="125" t="s">
        <v>76</v>
      </c>
      <c r="AW4" s="125" t="s">
        <v>99</v>
      </c>
      <c r="AX4" s="125" t="s">
        <v>100</v>
      </c>
      <c r="AY4" s="125" t="s">
        <v>101</v>
      </c>
      <c r="AZ4" s="125" t="s">
        <v>102</v>
      </c>
      <c r="BA4" s="125" t="s">
        <v>103</v>
      </c>
    </row>
    <row r="5" spans="1:53" x14ac:dyDescent="0.35">
      <c r="B5" s="129" t="s">
        <v>1</v>
      </c>
      <c r="C5" s="129"/>
      <c r="D5" s="129"/>
      <c r="E5" s="129"/>
      <c r="G5" s="125" t="s">
        <v>12</v>
      </c>
      <c r="H5" s="125" t="s">
        <v>13</v>
      </c>
      <c r="I5" s="125" t="s">
        <v>14</v>
      </c>
    </row>
    <row r="6" spans="1:53" x14ac:dyDescent="0.35">
      <c r="B6" s="129"/>
      <c r="C6" s="129" t="s">
        <v>66</v>
      </c>
      <c r="D6" s="129"/>
      <c r="E6" s="129"/>
      <c r="J6" s="125" t="s">
        <v>24</v>
      </c>
      <c r="K6" s="125" t="s">
        <v>25</v>
      </c>
      <c r="L6" s="125" t="s">
        <v>26</v>
      </c>
      <c r="M6" s="125" t="s">
        <v>27</v>
      </c>
      <c r="N6" s="125" t="s">
        <v>28</v>
      </c>
      <c r="P6" s="125" t="s">
        <v>24</v>
      </c>
      <c r="Q6" s="125" t="s">
        <v>25</v>
      </c>
      <c r="R6" s="125" t="s">
        <v>26</v>
      </c>
      <c r="S6" s="125" t="s">
        <v>27</v>
      </c>
      <c r="T6" s="125" t="s">
        <v>28</v>
      </c>
    </row>
    <row r="7" spans="1:53" x14ac:dyDescent="0.35">
      <c r="B7" s="129"/>
      <c r="C7" s="129"/>
      <c r="D7" s="129" t="s">
        <v>2</v>
      </c>
      <c r="P7" s="125" t="s">
        <v>111</v>
      </c>
      <c r="Q7" s="125" t="s">
        <v>129</v>
      </c>
      <c r="R7" s="125" t="s">
        <v>69</v>
      </c>
      <c r="S7" s="125" t="s">
        <v>70</v>
      </c>
      <c r="T7" s="125" t="s">
        <v>71</v>
      </c>
    </row>
    <row r="8" spans="1:53" x14ac:dyDescent="0.35">
      <c r="B8" s="129"/>
      <c r="C8" s="129"/>
      <c r="D8" s="129"/>
      <c r="E8" s="129" t="s">
        <v>3</v>
      </c>
      <c r="P8" s="125" t="s">
        <v>29</v>
      </c>
      <c r="Q8" s="125" t="s">
        <v>29</v>
      </c>
      <c r="R8" s="125" t="s">
        <v>29</v>
      </c>
      <c r="S8" s="125" t="s">
        <v>29</v>
      </c>
      <c r="T8" s="125" t="s">
        <v>29</v>
      </c>
    </row>
    <row r="9" spans="1:53" x14ac:dyDescent="0.35">
      <c r="J9" s="125" t="s">
        <v>98</v>
      </c>
      <c r="P9" s="125" t="s">
        <v>95</v>
      </c>
      <c r="V9" s="125" t="s">
        <v>34</v>
      </c>
      <c r="AG9" s="125" t="s">
        <v>109</v>
      </c>
    </row>
    <row r="10" spans="1:53" x14ac:dyDescent="0.35">
      <c r="B10" s="125" t="s">
        <v>12</v>
      </c>
      <c r="D10" s="125" t="s">
        <v>4</v>
      </c>
      <c r="E10" s="125" t="s">
        <v>29</v>
      </c>
      <c r="J10" s="163">
        <v>0.7</v>
      </c>
      <c r="K10" s="164">
        <v>0</v>
      </c>
      <c r="L10" s="131">
        <v>0</v>
      </c>
      <c r="M10" s="131">
        <v>0</v>
      </c>
      <c r="N10" s="132">
        <v>0</v>
      </c>
      <c r="P10" s="130">
        <v>0</v>
      </c>
      <c r="Q10" s="131">
        <v>0</v>
      </c>
      <c r="R10" s="131">
        <v>0</v>
      </c>
      <c r="S10" s="131">
        <v>0</v>
      </c>
      <c r="T10" s="132">
        <v>0</v>
      </c>
      <c r="V10" s="133">
        <v>40</v>
      </c>
      <c r="W10" s="133">
        <f>V10</f>
        <v>40</v>
      </c>
      <c r="X10" s="133">
        <f t="shared" ref="X10:AE10" si="0">W10</f>
        <v>40</v>
      </c>
      <c r="Y10" s="133">
        <f t="shared" si="0"/>
        <v>40</v>
      </c>
      <c r="Z10" s="133">
        <f t="shared" si="0"/>
        <v>40</v>
      </c>
      <c r="AA10" s="133">
        <f t="shared" si="0"/>
        <v>40</v>
      </c>
      <c r="AB10" s="133">
        <f t="shared" si="0"/>
        <v>40</v>
      </c>
      <c r="AC10" s="133">
        <f t="shared" si="0"/>
        <v>40</v>
      </c>
      <c r="AD10" s="133">
        <f t="shared" si="0"/>
        <v>40</v>
      </c>
      <c r="AE10" s="133">
        <f t="shared" si="0"/>
        <v>40</v>
      </c>
      <c r="AG10" s="186" cm="1">
        <f t="array" ref="AG10:AP12">TRANSPOSE(G25:I34) - MMULT(P10:T12,TRANSPOSE(P25:T34)) - V10:AE12</f>
        <v>-1.0000000116860974E-7</v>
      </c>
      <c r="AH10" s="187">
        <v>-1.0000000116860974E-7</v>
      </c>
      <c r="AI10" s="187">
        <v>-1.0000000116860974E-7</v>
      </c>
      <c r="AJ10" s="187">
        <v>-1.0000000116860974E-7</v>
      </c>
      <c r="AK10" s="187">
        <v>-1.0000000116860974E-7</v>
      </c>
      <c r="AL10" s="187">
        <v>-1.0000000116860974E-7</v>
      </c>
      <c r="AM10" s="187">
        <v>-1.0000000116860974E-7</v>
      </c>
      <c r="AN10" s="187">
        <v>-1.0000000116860974E-7</v>
      </c>
      <c r="AO10" s="187">
        <v>-1.0000000116860974E-7</v>
      </c>
      <c r="AP10" s="188">
        <v>-1.0000000116860974E-7</v>
      </c>
    </row>
    <row r="11" spans="1:53" x14ac:dyDescent="0.35">
      <c r="B11" s="125" t="s">
        <v>13</v>
      </c>
      <c r="D11" s="125" t="s">
        <v>5</v>
      </c>
      <c r="E11" s="125" t="s">
        <v>29</v>
      </c>
      <c r="J11" s="122">
        <f>1-J10</f>
        <v>0.30000000000000004</v>
      </c>
      <c r="K11" s="123">
        <v>1</v>
      </c>
      <c r="L11" s="135">
        <v>0</v>
      </c>
      <c r="M11" s="135">
        <v>0</v>
      </c>
      <c r="N11" s="136">
        <v>0</v>
      </c>
      <c r="P11" s="134">
        <v>0</v>
      </c>
      <c r="Q11" s="135">
        <v>0</v>
      </c>
      <c r="R11" s="135">
        <v>0</v>
      </c>
      <c r="S11" s="135">
        <v>2</v>
      </c>
      <c r="T11" s="136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G11" s="189">
        <v>1.000000082740371E-7</v>
      </c>
      <c r="AH11" s="190">
        <v>1.000000082740371E-7</v>
      </c>
      <c r="AI11" s="190">
        <v>1.000000082740371E-7</v>
      </c>
      <c r="AJ11" s="190">
        <v>1.000000082740371E-7</v>
      </c>
      <c r="AK11" s="190">
        <v>1.000000082740371E-7</v>
      </c>
      <c r="AL11" s="190">
        <v>1.0000000116860974E-7</v>
      </c>
      <c r="AM11" s="190">
        <v>9.9999994063182385E-8</v>
      </c>
      <c r="AN11" s="190">
        <v>9.9999994063182385E-8</v>
      </c>
      <c r="AO11" s="190">
        <v>-2.8999999983625457E-6</v>
      </c>
      <c r="AP11" s="191">
        <v>-2.8999999983625457E-6</v>
      </c>
    </row>
    <row r="12" spans="1:53" x14ac:dyDescent="0.35">
      <c r="B12" s="125" t="s">
        <v>14</v>
      </c>
      <c r="D12" s="125" t="s">
        <v>7</v>
      </c>
      <c r="E12" s="125" t="s">
        <v>29</v>
      </c>
      <c r="J12" s="138">
        <v>0</v>
      </c>
      <c r="K12" s="139">
        <v>0</v>
      </c>
      <c r="L12" s="139">
        <v>1</v>
      </c>
      <c r="M12" s="139">
        <v>1</v>
      </c>
      <c r="N12" s="140">
        <v>1</v>
      </c>
      <c r="P12" s="138">
        <v>0</v>
      </c>
      <c r="Q12" s="139">
        <v>0</v>
      </c>
      <c r="R12" s="139">
        <v>0</v>
      </c>
      <c r="S12" s="139">
        <v>0</v>
      </c>
      <c r="T12" s="112">
        <v>1E-3</v>
      </c>
      <c r="V12" s="141">
        <v>70</v>
      </c>
      <c r="W12" s="141">
        <f>V12+10</f>
        <v>80</v>
      </c>
      <c r="X12" s="141">
        <f t="shared" ref="X12:AE12" si="1">W12+10</f>
        <v>90</v>
      </c>
      <c r="Y12" s="141">
        <f t="shared" si="1"/>
        <v>100</v>
      </c>
      <c r="Z12" s="141">
        <f t="shared" si="1"/>
        <v>110</v>
      </c>
      <c r="AA12" s="141">
        <f t="shared" si="1"/>
        <v>120</v>
      </c>
      <c r="AB12" s="141">
        <f t="shared" si="1"/>
        <v>130</v>
      </c>
      <c r="AC12" s="141">
        <f t="shared" si="1"/>
        <v>140</v>
      </c>
      <c r="AD12" s="141">
        <f t="shared" si="1"/>
        <v>150</v>
      </c>
      <c r="AE12" s="141">
        <f t="shared" si="1"/>
        <v>160</v>
      </c>
      <c r="AG12" s="192">
        <v>-4.5000092541158665E-9</v>
      </c>
      <c r="AH12" s="193">
        <v>2.3200000498491136E-7</v>
      </c>
      <c r="AI12" s="193">
        <v>-3.0999999012237822E-8</v>
      </c>
      <c r="AJ12" s="193">
        <v>-2.9399998879853229E-7</v>
      </c>
      <c r="AK12" s="193">
        <v>4.4200000104410719E-7</v>
      </c>
      <c r="AL12" s="193">
        <v>0</v>
      </c>
      <c r="AM12" s="193">
        <v>0</v>
      </c>
      <c r="AN12" s="193">
        <v>0</v>
      </c>
      <c r="AO12" s="193">
        <v>0</v>
      </c>
      <c r="AP12" s="194">
        <v>0</v>
      </c>
    </row>
    <row r="13" spans="1:53" x14ac:dyDescent="0.35">
      <c r="G13" s="125" t="s">
        <v>96</v>
      </c>
      <c r="P13" s="125" t="s">
        <v>97</v>
      </c>
      <c r="V13" s="125" t="s">
        <v>107</v>
      </c>
    </row>
    <row r="14" spans="1:53" ht="15" customHeight="1" x14ac:dyDescent="0.35">
      <c r="C14" s="125" t="s">
        <v>24</v>
      </c>
      <c r="D14" s="125" t="s">
        <v>67</v>
      </c>
      <c r="E14" s="125" t="s">
        <v>29</v>
      </c>
      <c r="G14" s="130">
        <v>1</v>
      </c>
      <c r="H14" s="131">
        <v>1</v>
      </c>
      <c r="I14" s="132">
        <v>0</v>
      </c>
      <c r="J14" s="135"/>
      <c r="K14" s="135"/>
      <c r="L14" s="135"/>
      <c r="M14" s="135"/>
      <c r="N14" s="135"/>
      <c r="P14" s="172">
        <v>1</v>
      </c>
      <c r="Q14" s="173">
        <v>0</v>
      </c>
      <c r="R14" s="173">
        <v>0</v>
      </c>
      <c r="S14" s="173">
        <v>0</v>
      </c>
      <c r="T14" s="174">
        <v>0</v>
      </c>
      <c r="V14" s="113" cm="1">
        <f t="array" ref="V14:AE16">MMULT(P14:T16,TRANSPOSE(P25:T34))</f>
        <v>57.142856999999999</v>
      </c>
      <c r="W14" s="114">
        <v>57.142856999999999</v>
      </c>
      <c r="X14" s="114">
        <v>57.142856999999999</v>
      </c>
      <c r="Y14" s="114">
        <v>57.142856999999999</v>
      </c>
      <c r="Z14" s="114">
        <v>57.142856999999999</v>
      </c>
      <c r="AA14" s="114">
        <v>57.142856999999999</v>
      </c>
      <c r="AB14" s="114">
        <v>57.142856999999999</v>
      </c>
      <c r="AC14" s="114">
        <v>57.142856999999999</v>
      </c>
      <c r="AD14" s="114">
        <v>57.142856999999999</v>
      </c>
      <c r="AE14" s="115">
        <v>57.142856999999999</v>
      </c>
    </row>
    <row r="15" spans="1:53" ht="15" customHeight="1" x14ac:dyDescent="0.35">
      <c r="C15" s="125" t="s">
        <v>25</v>
      </c>
      <c r="D15" s="125" t="s">
        <v>129</v>
      </c>
      <c r="E15" s="125" t="s">
        <v>29</v>
      </c>
      <c r="G15" s="134">
        <v>0</v>
      </c>
      <c r="H15" s="135">
        <v>1</v>
      </c>
      <c r="I15" s="136">
        <v>0</v>
      </c>
      <c r="J15" s="135"/>
      <c r="K15" s="135"/>
      <c r="L15" s="135"/>
      <c r="M15" s="135"/>
      <c r="N15" s="135"/>
      <c r="P15" s="206">
        <v>0</v>
      </c>
      <c r="Q15" s="207">
        <v>1</v>
      </c>
      <c r="R15" s="207">
        <v>0</v>
      </c>
      <c r="S15" s="207">
        <v>0</v>
      </c>
      <c r="T15" s="208">
        <v>0</v>
      </c>
      <c r="V15" s="116">
        <v>38.857143000000001</v>
      </c>
      <c r="W15" s="117">
        <v>34.857143000000001</v>
      </c>
      <c r="X15" s="117">
        <v>30.857143000000001</v>
      </c>
      <c r="Y15" s="117">
        <v>26.857143000000001</v>
      </c>
      <c r="Z15" s="117">
        <v>22.857143000000001</v>
      </c>
      <c r="AA15" s="117">
        <v>40.477142999999998</v>
      </c>
      <c r="AB15" s="117">
        <v>62.977142999999998</v>
      </c>
      <c r="AC15" s="117">
        <v>85.477142999999998</v>
      </c>
      <c r="AD15" s="117">
        <v>107.97714000000001</v>
      </c>
      <c r="AE15" s="118">
        <v>130.47713999999999</v>
      </c>
    </row>
    <row r="16" spans="1:53" x14ac:dyDescent="0.35">
      <c r="C16" s="125" t="s">
        <v>130</v>
      </c>
      <c r="D16" s="125" t="s">
        <v>68</v>
      </c>
      <c r="E16" s="125" t="s">
        <v>29</v>
      </c>
      <c r="G16" s="138">
        <v>0</v>
      </c>
      <c r="H16" s="139">
        <v>0</v>
      </c>
      <c r="I16" s="140">
        <v>1</v>
      </c>
      <c r="J16" s="135"/>
      <c r="K16" s="135"/>
      <c r="L16" s="135"/>
      <c r="M16" s="135"/>
      <c r="N16" s="135"/>
      <c r="P16" s="175">
        <v>0</v>
      </c>
      <c r="Q16" s="176">
        <v>0</v>
      </c>
      <c r="R16" s="176">
        <v>1</v>
      </c>
      <c r="S16" s="176">
        <v>1</v>
      </c>
      <c r="T16" s="177">
        <v>1</v>
      </c>
      <c r="V16" s="119">
        <v>70.004504499999996</v>
      </c>
      <c r="W16" s="4">
        <v>80.017768000000004</v>
      </c>
      <c r="X16" s="4">
        <v>90.031030999999999</v>
      </c>
      <c r="Y16" s="4">
        <v>100.04429400000001</v>
      </c>
      <c r="Z16" s="4">
        <v>110.057558</v>
      </c>
      <c r="AA16" s="4">
        <v>120.06</v>
      </c>
      <c r="AB16" s="4">
        <v>130.06</v>
      </c>
      <c r="AC16" s="4">
        <v>140.06</v>
      </c>
      <c r="AD16" s="4">
        <v>150.06</v>
      </c>
      <c r="AE16" s="120">
        <v>160.06</v>
      </c>
    </row>
    <row r="17" spans="1:37" x14ac:dyDescent="0.35">
      <c r="W17" s="121"/>
    </row>
    <row r="18" spans="1:37" x14ac:dyDescent="0.35">
      <c r="D18" s="125" t="s">
        <v>38</v>
      </c>
      <c r="E18" s="125" t="s">
        <v>81</v>
      </c>
      <c r="P18" s="178">
        <v>30</v>
      </c>
      <c r="Q18" s="179">
        <v>40</v>
      </c>
      <c r="R18" s="179">
        <v>0</v>
      </c>
      <c r="S18" s="179">
        <v>4</v>
      </c>
      <c r="T18" s="180">
        <v>100</v>
      </c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</row>
    <row r="19" spans="1:37" x14ac:dyDescent="0.35">
      <c r="D19" s="125" t="s">
        <v>77</v>
      </c>
      <c r="E19" s="125" t="s">
        <v>80</v>
      </c>
      <c r="P19" s="181">
        <v>0</v>
      </c>
      <c r="Q19" s="182">
        <v>0</v>
      </c>
      <c r="R19" s="182">
        <f>R20*0.02</f>
        <v>20000</v>
      </c>
      <c r="S19" s="182">
        <f>S20*0.02</f>
        <v>30000</v>
      </c>
      <c r="T19" s="183">
        <v>0</v>
      </c>
    </row>
    <row r="20" spans="1:37" x14ac:dyDescent="0.35">
      <c r="D20" s="125" t="s">
        <v>78</v>
      </c>
      <c r="E20" s="125" t="s">
        <v>79</v>
      </c>
      <c r="P20" s="184">
        <v>500</v>
      </c>
      <c r="Q20" s="185">
        <v>1E-4</v>
      </c>
      <c r="R20" s="185">
        <f>1000*10^3</f>
        <v>1000000</v>
      </c>
      <c r="S20" s="185">
        <f>1500*10^3</f>
        <v>1500000</v>
      </c>
      <c r="T20" s="185">
        <f>2500*10^3</f>
        <v>2500000</v>
      </c>
    </row>
    <row r="21" spans="1:37" x14ac:dyDescent="0.35">
      <c r="P21" s="158"/>
      <c r="Q21" s="158"/>
      <c r="R21" s="158"/>
      <c r="S21" s="158"/>
      <c r="T21" s="158"/>
    </row>
    <row r="22" spans="1:37" x14ac:dyDescent="0.35">
      <c r="P22" s="158"/>
      <c r="Q22" s="158"/>
      <c r="R22" s="158"/>
      <c r="S22" s="158"/>
      <c r="T22" s="158"/>
      <c r="U22" s="125" t="s">
        <v>108</v>
      </c>
      <c r="V22" s="205">
        <f>SUM(P112:T121,V112:Z121,P124:T133)</f>
        <v>312938200.65348476</v>
      </c>
    </row>
    <row r="23" spans="1:37" x14ac:dyDescent="0.35">
      <c r="P23" s="158"/>
      <c r="Q23" s="158"/>
      <c r="R23" s="158"/>
      <c r="S23" s="158"/>
      <c r="T23" s="158"/>
      <c r="AG23" s="125" t="s">
        <v>24</v>
      </c>
      <c r="AH23" s="125" t="s">
        <v>25</v>
      </c>
      <c r="AI23" s="125" t="s">
        <v>26</v>
      </c>
      <c r="AJ23" s="125" t="s">
        <v>27</v>
      </c>
      <c r="AK23" s="125" t="s">
        <v>28</v>
      </c>
    </row>
    <row r="24" spans="1:37" x14ac:dyDescent="0.35">
      <c r="G24" s="125" t="s">
        <v>105</v>
      </c>
      <c r="P24" s="125" t="s">
        <v>106</v>
      </c>
      <c r="AG24" s="204" t="s">
        <v>123</v>
      </c>
    </row>
    <row r="25" spans="1:37" x14ac:dyDescent="0.35">
      <c r="A25" s="125" t="s">
        <v>72</v>
      </c>
      <c r="G25" s="163" cm="1">
        <f t="array" ref="G25:I34">TRANSPOSE(MMULT(J10:N12,TRANSPOSE(P25:T34)))</f>
        <v>39.999999899999999</v>
      </c>
      <c r="H25" s="164">
        <v>56.000000100000008</v>
      </c>
      <c r="I25" s="165">
        <v>70.004504499999996</v>
      </c>
      <c r="P25" s="195">
        <v>57.142856999999999</v>
      </c>
      <c r="Q25" s="196">
        <v>38.857143000000001</v>
      </c>
      <c r="R25" s="196">
        <v>37.5</v>
      </c>
      <c r="S25" s="196">
        <v>28</v>
      </c>
      <c r="T25" s="197">
        <v>4.5045045000000004</v>
      </c>
      <c r="AF25" s="125" t="s">
        <v>72</v>
      </c>
      <c r="AG25" s="186" cm="1">
        <f t="array" ref="AG25:AK34">P25:T34 - (P99:T108*$P$61:$T$61*$P$63:$T$63)</f>
        <v>-2.8571430000000007</v>
      </c>
      <c r="AH25" s="187">
        <v>-1.1428569999999993</v>
      </c>
      <c r="AI25" s="187">
        <v>0</v>
      </c>
      <c r="AJ25" s="187">
        <v>0</v>
      </c>
      <c r="AK25" s="188">
        <v>-25.495495500000001</v>
      </c>
    </row>
    <row r="26" spans="1:37" x14ac:dyDescent="0.35">
      <c r="A26" s="125" t="s">
        <v>73</v>
      </c>
      <c r="G26" s="166">
        <v>39.999999899999999</v>
      </c>
      <c r="H26" s="167">
        <v>52.000000100000008</v>
      </c>
      <c r="I26" s="168">
        <v>80.017768000000004</v>
      </c>
      <c r="P26" s="198">
        <v>57.142856999999999</v>
      </c>
      <c r="Q26" s="199">
        <v>34.857143000000001</v>
      </c>
      <c r="R26" s="199">
        <v>36.25</v>
      </c>
      <c r="S26" s="199">
        <v>26</v>
      </c>
      <c r="T26" s="200">
        <v>17.767768</v>
      </c>
      <c r="AF26" s="125" t="s">
        <v>73</v>
      </c>
      <c r="AG26" s="189">
        <v>-2.8571430000000007</v>
      </c>
      <c r="AH26" s="190">
        <v>-5.1428569999999993</v>
      </c>
      <c r="AI26" s="190">
        <v>0</v>
      </c>
      <c r="AJ26" s="190">
        <v>0</v>
      </c>
      <c r="AK26" s="191">
        <v>-12.232232</v>
      </c>
    </row>
    <row r="27" spans="1:37" x14ac:dyDescent="0.35">
      <c r="A27" s="125" t="s">
        <v>74</v>
      </c>
      <c r="G27" s="166">
        <v>39.999999899999999</v>
      </c>
      <c r="H27" s="167">
        <v>48.000000100000008</v>
      </c>
      <c r="I27" s="168">
        <v>90.031030999999999</v>
      </c>
      <c r="P27" s="198">
        <v>57.142856999999999</v>
      </c>
      <c r="Q27" s="199">
        <v>30.857143000000001</v>
      </c>
      <c r="R27" s="199">
        <v>35</v>
      </c>
      <c r="S27" s="199">
        <v>24</v>
      </c>
      <c r="T27" s="200">
        <v>31.031030999999999</v>
      </c>
      <c r="AF27" s="125" t="s">
        <v>74</v>
      </c>
      <c r="AG27" s="189">
        <v>-2.8571430000000007</v>
      </c>
      <c r="AH27" s="190">
        <v>-9.1428569999999993</v>
      </c>
      <c r="AI27" s="190">
        <v>0</v>
      </c>
      <c r="AJ27" s="190">
        <v>0</v>
      </c>
      <c r="AK27" s="191">
        <v>0</v>
      </c>
    </row>
    <row r="28" spans="1:37" x14ac:dyDescent="0.35">
      <c r="A28" s="125" t="s">
        <v>75</v>
      </c>
      <c r="G28" s="166">
        <v>39.999999899999999</v>
      </c>
      <c r="H28" s="167">
        <v>44.000000100000008</v>
      </c>
      <c r="I28" s="168">
        <v>100.04429400000001</v>
      </c>
      <c r="P28" s="198">
        <v>57.142856999999999</v>
      </c>
      <c r="Q28" s="199">
        <v>26.857143000000001</v>
      </c>
      <c r="R28" s="199">
        <v>33.75</v>
      </c>
      <c r="S28" s="199">
        <v>22</v>
      </c>
      <c r="T28" s="200">
        <v>44.294294000000001</v>
      </c>
      <c r="AF28" s="125" t="s">
        <v>75</v>
      </c>
      <c r="AG28" s="189">
        <v>-2.8571430000000007</v>
      </c>
      <c r="AH28" s="190">
        <v>-13.142856999999999</v>
      </c>
      <c r="AI28" s="190">
        <v>0</v>
      </c>
      <c r="AJ28" s="190">
        <v>0</v>
      </c>
      <c r="AK28" s="191">
        <v>0</v>
      </c>
    </row>
    <row r="29" spans="1:37" x14ac:dyDescent="0.35">
      <c r="A29" s="125" t="s">
        <v>76</v>
      </c>
      <c r="G29" s="166">
        <v>39.999999899999999</v>
      </c>
      <c r="H29" s="167">
        <v>40.000000100000008</v>
      </c>
      <c r="I29" s="168">
        <v>110.057558</v>
      </c>
      <c r="P29" s="198">
        <v>57.142856999999999</v>
      </c>
      <c r="Q29" s="199">
        <v>22.857143000000001</v>
      </c>
      <c r="R29" s="199">
        <v>32.5</v>
      </c>
      <c r="S29" s="199">
        <v>20</v>
      </c>
      <c r="T29" s="200">
        <v>57.557558</v>
      </c>
      <c r="AF29" s="125" t="s">
        <v>76</v>
      </c>
      <c r="AG29" s="189">
        <v>-2.8571430000000007</v>
      </c>
      <c r="AH29" s="190">
        <v>-17.142856999999999</v>
      </c>
      <c r="AI29" s="190">
        <v>0</v>
      </c>
      <c r="AJ29" s="190">
        <v>0</v>
      </c>
      <c r="AK29" s="191">
        <v>9.9999999747524271E-7</v>
      </c>
    </row>
    <row r="30" spans="1:37" x14ac:dyDescent="0.35">
      <c r="A30" s="125" t="s">
        <v>99</v>
      </c>
      <c r="G30" s="166">
        <v>39.999999899999999</v>
      </c>
      <c r="H30" s="167">
        <v>57.620000099999999</v>
      </c>
      <c r="I30" s="168">
        <v>120.06</v>
      </c>
      <c r="P30" s="198">
        <v>57.142856999999999</v>
      </c>
      <c r="Q30" s="199">
        <v>40.477142999999998</v>
      </c>
      <c r="R30" s="199">
        <v>31.25</v>
      </c>
      <c r="S30" s="199">
        <v>28.81</v>
      </c>
      <c r="T30" s="200">
        <v>60</v>
      </c>
      <c r="AF30" s="125" t="s">
        <v>99</v>
      </c>
      <c r="AG30" s="189">
        <v>-2.8571430000000007</v>
      </c>
      <c r="AH30" s="190">
        <v>1.3999999737279722E-7</v>
      </c>
      <c r="AI30" s="190">
        <v>0</v>
      </c>
      <c r="AJ30" s="190">
        <v>0</v>
      </c>
      <c r="AK30" s="191">
        <v>5.9999999280080374E-7</v>
      </c>
    </row>
    <row r="31" spans="1:37" x14ac:dyDescent="0.35">
      <c r="A31" s="125" t="s">
        <v>100</v>
      </c>
      <c r="G31" s="166">
        <v>39.999999899999999</v>
      </c>
      <c r="H31" s="167">
        <v>80.120000099999999</v>
      </c>
      <c r="I31" s="168">
        <v>130.06</v>
      </c>
      <c r="P31" s="198">
        <v>57.142856999999999</v>
      </c>
      <c r="Q31" s="199">
        <v>62.977142999999998</v>
      </c>
      <c r="R31" s="199">
        <v>30</v>
      </c>
      <c r="S31" s="199">
        <v>40.06</v>
      </c>
      <c r="T31" s="200">
        <v>60</v>
      </c>
      <c r="AF31" s="125" t="s">
        <v>100</v>
      </c>
      <c r="AG31" s="189">
        <v>-2.8571430000000007</v>
      </c>
      <c r="AH31" s="190">
        <v>1.3999999737279722E-7</v>
      </c>
      <c r="AI31" s="190">
        <v>0</v>
      </c>
      <c r="AJ31" s="190">
        <v>0</v>
      </c>
      <c r="AK31" s="191">
        <v>5.9999999280080374E-7</v>
      </c>
    </row>
    <row r="32" spans="1:37" x14ac:dyDescent="0.35">
      <c r="A32" s="125" t="s">
        <v>101</v>
      </c>
      <c r="G32" s="166">
        <v>39.999999899999999</v>
      </c>
      <c r="H32" s="167">
        <v>102.6200001</v>
      </c>
      <c r="I32" s="168">
        <v>140.06</v>
      </c>
      <c r="P32" s="198">
        <v>57.142856999999999</v>
      </c>
      <c r="Q32" s="199">
        <v>85.477142999999998</v>
      </c>
      <c r="R32" s="199">
        <v>28.75</v>
      </c>
      <c r="S32" s="199">
        <v>51.31</v>
      </c>
      <c r="T32" s="200">
        <v>60</v>
      </c>
      <c r="AF32" s="125" t="s">
        <v>101</v>
      </c>
      <c r="AG32" s="189">
        <v>-2.8571430000000007</v>
      </c>
      <c r="AH32" s="190">
        <v>1.3999999737279722E-7</v>
      </c>
      <c r="AI32" s="190">
        <v>0</v>
      </c>
      <c r="AJ32" s="190">
        <v>0</v>
      </c>
      <c r="AK32" s="191">
        <v>5.9999999280080374E-7</v>
      </c>
    </row>
    <row r="33" spans="1:37" x14ac:dyDescent="0.35">
      <c r="A33" s="125" t="s">
        <v>102</v>
      </c>
      <c r="G33" s="166">
        <v>39.999999899999999</v>
      </c>
      <c r="H33" s="167">
        <v>125.11999710000001</v>
      </c>
      <c r="I33" s="168">
        <v>150.06</v>
      </c>
      <c r="P33" s="198">
        <v>57.142856999999999</v>
      </c>
      <c r="Q33" s="199">
        <v>107.97714000000001</v>
      </c>
      <c r="R33" s="199">
        <v>27.5</v>
      </c>
      <c r="S33" s="199">
        <v>62.56</v>
      </c>
      <c r="T33" s="200">
        <v>60</v>
      </c>
      <c r="AF33" s="125" t="s">
        <v>102</v>
      </c>
      <c r="AG33" s="189">
        <v>-2.8571430000000007</v>
      </c>
      <c r="AH33" s="190">
        <v>-2.8599999950529309E-6</v>
      </c>
      <c r="AI33" s="190">
        <v>0</v>
      </c>
      <c r="AJ33" s="190">
        <v>0</v>
      </c>
      <c r="AK33" s="191">
        <v>5.9999999280080374E-7</v>
      </c>
    </row>
    <row r="34" spans="1:37" x14ac:dyDescent="0.35">
      <c r="A34" s="125" t="s">
        <v>103</v>
      </c>
      <c r="G34" s="169">
        <v>39.999999899999999</v>
      </c>
      <c r="H34" s="170">
        <v>147.61999710000001</v>
      </c>
      <c r="I34" s="171">
        <v>160.06</v>
      </c>
      <c r="P34" s="201">
        <v>57.142856999999999</v>
      </c>
      <c r="Q34" s="202">
        <v>130.47713999999999</v>
      </c>
      <c r="R34" s="202">
        <v>26.25</v>
      </c>
      <c r="S34" s="202">
        <v>73.81</v>
      </c>
      <c r="T34" s="203">
        <v>60</v>
      </c>
      <c r="AF34" s="125" t="s">
        <v>103</v>
      </c>
      <c r="AG34" s="192">
        <v>-2.8571430000000007</v>
      </c>
      <c r="AH34" s="193">
        <v>-2.8600000234746403E-6</v>
      </c>
      <c r="AI34" s="193">
        <v>0</v>
      </c>
      <c r="AJ34" s="193">
        <v>0</v>
      </c>
      <c r="AK34" s="194">
        <v>5.9999999280080374E-7</v>
      </c>
    </row>
    <row r="35" spans="1:37" x14ac:dyDescent="0.35">
      <c r="G35" s="167"/>
      <c r="H35" s="167"/>
      <c r="I35" s="167"/>
      <c r="P35" s="158"/>
      <c r="Q35" s="158"/>
      <c r="R35" s="158"/>
      <c r="S35" s="158"/>
      <c r="T35" s="158"/>
      <c r="AG35" s="125" t="s">
        <v>24</v>
      </c>
      <c r="AH35" s="125" t="s">
        <v>25</v>
      </c>
      <c r="AI35" s="125" t="s">
        <v>26</v>
      </c>
      <c r="AJ35" s="125" t="s">
        <v>27</v>
      </c>
      <c r="AK35" s="125" t="s">
        <v>28</v>
      </c>
    </row>
    <row r="36" spans="1:37" x14ac:dyDescent="0.35">
      <c r="P36" s="125" t="s">
        <v>89</v>
      </c>
      <c r="AG36" s="204" t="s">
        <v>122</v>
      </c>
    </row>
    <row r="37" spans="1:37" x14ac:dyDescent="0.35">
      <c r="D37" s="125" t="s">
        <v>82</v>
      </c>
      <c r="E37" s="125" t="s">
        <v>83</v>
      </c>
      <c r="O37" s="125" t="s">
        <v>72</v>
      </c>
      <c r="P37" s="130">
        <v>60</v>
      </c>
      <c r="Q37" s="131">
        <v>40</v>
      </c>
      <c r="R37" s="131">
        <v>150</v>
      </c>
      <c r="S37" s="131">
        <v>70</v>
      </c>
      <c r="T37" s="132">
        <v>30</v>
      </c>
      <c r="AF37" s="125" t="s">
        <v>72</v>
      </c>
      <c r="AG37" s="186" cm="1">
        <f t="array" ref="AG37:AK46" xml:space="preserve"> P99:T108 - $P$59:$T$59</f>
        <v>-99940</v>
      </c>
      <c r="AH37" s="187">
        <v>-99960</v>
      </c>
      <c r="AI37" s="187">
        <v>-150</v>
      </c>
      <c r="AJ37" s="187">
        <v>-230</v>
      </c>
      <c r="AK37" s="188">
        <v>-30</v>
      </c>
    </row>
    <row r="38" spans="1:37" x14ac:dyDescent="0.35">
      <c r="O38" s="125" t="s">
        <v>73</v>
      </c>
      <c r="P38" s="134">
        <f>P37</f>
        <v>60</v>
      </c>
      <c r="Q38" s="135">
        <v>40</v>
      </c>
      <c r="R38" s="135">
        <f>R37-5</f>
        <v>145</v>
      </c>
      <c r="S38" s="135">
        <f>S37-5</f>
        <v>65</v>
      </c>
      <c r="T38" s="136">
        <f>T37</f>
        <v>30</v>
      </c>
      <c r="AF38" s="125" t="s">
        <v>73</v>
      </c>
      <c r="AG38" s="189">
        <v>-99940</v>
      </c>
      <c r="AH38" s="190">
        <v>-99960</v>
      </c>
      <c r="AI38" s="190">
        <v>-155</v>
      </c>
      <c r="AJ38" s="190">
        <v>-235</v>
      </c>
      <c r="AK38" s="191">
        <v>-30</v>
      </c>
    </row>
    <row r="39" spans="1:37" x14ac:dyDescent="0.35">
      <c r="O39" s="125" t="s">
        <v>74</v>
      </c>
      <c r="P39" s="134">
        <f t="shared" ref="P39:P46" si="2">P38</f>
        <v>60</v>
      </c>
      <c r="Q39" s="135">
        <v>40</v>
      </c>
      <c r="R39" s="135">
        <f t="shared" ref="R39:S46" si="3">R38-5</f>
        <v>140</v>
      </c>
      <c r="S39" s="135">
        <f t="shared" si="3"/>
        <v>60</v>
      </c>
      <c r="T39" s="136">
        <f t="shared" ref="T39:T46" si="4">T38</f>
        <v>30</v>
      </c>
      <c r="AF39" s="125" t="s">
        <v>74</v>
      </c>
      <c r="AG39" s="189">
        <v>-99940</v>
      </c>
      <c r="AH39" s="190">
        <v>-99960</v>
      </c>
      <c r="AI39" s="190">
        <v>-160</v>
      </c>
      <c r="AJ39" s="190">
        <v>-240</v>
      </c>
      <c r="AK39" s="191">
        <v>-28.968969000000001</v>
      </c>
    </row>
    <row r="40" spans="1:37" x14ac:dyDescent="0.35">
      <c r="O40" s="125" t="s">
        <v>75</v>
      </c>
      <c r="P40" s="134">
        <f t="shared" si="2"/>
        <v>60</v>
      </c>
      <c r="Q40" s="135">
        <v>40</v>
      </c>
      <c r="R40" s="135">
        <f t="shared" si="3"/>
        <v>135</v>
      </c>
      <c r="S40" s="135">
        <f t="shared" si="3"/>
        <v>55</v>
      </c>
      <c r="T40" s="136">
        <f t="shared" si="4"/>
        <v>30</v>
      </c>
      <c r="AF40" s="125" t="s">
        <v>75</v>
      </c>
      <c r="AG40" s="189">
        <v>-99940</v>
      </c>
      <c r="AH40" s="190">
        <v>-99960</v>
      </c>
      <c r="AI40" s="190">
        <v>-165</v>
      </c>
      <c r="AJ40" s="190">
        <v>-245</v>
      </c>
      <c r="AK40" s="191">
        <v>-15.705705999999999</v>
      </c>
    </row>
    <row r="41" spans="1:37" x14ac:dyDescent="0.35">
      <c r="O41" s="125" t="s">
        <v>76</v>
      </c>
      <c r="P41" s="134">
        <f t="shared" si="2"/>
        <v>60</v>
      </c>
      <c r="Q41" s="135">
        <v>40</v>
      </c>
      <c r="R41" s="135">
        <f t="shared" si="3"/>
        <v>130</v>
      </c>
      <c r="S41" s="135">
        <f t="shared" si="3"/>
        <v>50</v>
      </c>
      <c r="T41" s="136">
        <f t="shared" si="4"/>
        <v>30</v>
      </c>
      <c r="AF41" s="125" t="s">
        <v>76</v>
      </c>
      <c r="AG41" s="189">
        <v>-99940</v>
      </c>
      <c r="AH41" s="190">
        <v>-99960</v>
      </c>
      <c r="AI41" s="190">
        <v>-170</v>
      </c>
      <c r="AJ41" s="190">
        <v>-250</v>
      </c>
      <c r="AK41" s="191">
        <v>-2.4424429999999973</v>
      </c>
    </row>
    <row r="42" spans="1:37" x14ac:dyDescent="0.35">
      <c r="O42" s="125" t="s">
        <v>99</v>
      </c>
      <c r="P42" s="134">
        <f t="shared" si="2"/>
        <v>60</v>
      </c>
      <c r="Q42" s="135">
        <v>40</v>
      </c>
      <c r="R42" s="135">
        <f t="shared" si="3"/>
        <v>125</v>
      </c>
      <c r="S42" s="135">
        <f t="shared" si="3"/>
        <v>45</v>
      </c>
      <c r="T42" s="136">
        <f t="shared" si="4"/>
        <v>30</v>
      </c>
      <c r="AF42" s="125" t="s">
        <v>99</v>
      </c>
      <c r="AG42" s="189">
        <v>-99940</v>
      </c>
      <c r="AH42" s="190">
        <v>-99959.522857139993</v>
      </c>
      <c r="AI42" s="190">
        <v>-175</v>
      </c>
      <c r="AJ42" s="190">
        <v>-227.97499999999999</v>
      </c>
      <c r="AK42" s="191">
        <v>-5.9999999280080374E-7</v>
      </c>
    </row>
    <row r="43" spans="1:37" x14ac:dyDescent="0.35">
      <c r="O43" s="125" t="s">
        <v>100</v>
      </c>
      <c r="P43" s="134">
        <f t="shared" si="2"/>
        <v>60</v>
      </c>
      <c r="Q43" s="135">
        <v>40</v>
      </c>
      <c r="R43" s="135">
        <f t="shared" si="3"/>
        <v>120</v>
      </c>
      <c r="S43" s="135">
        <f t="shared" si="3"/>
        <v>40</v>
      </c>
      <c r="T43" s="136">
        <f t="shared" si="4"/>
        <v>30</v>
      </c>
      <c r="AF43" s="125" t="s">
        <v>100</v>
      </c>
      <c r="AG43" s="189">
        <v>-99940</v>
      </c>
      <c r="AH43" s="190">
        <v>-99937.022857139993</v>
      </c>
      <c r="AI43" s="190">
        <v>-180</v>
      </c>
      <c r="AJ43" s="190">
        <v>-199.85</v>
      </c>
      <c r="AK43" s="191">
        <v>-5.9999999280080374E-7</v>
      </c>
    </row>
    <row r="44" spans="1:37" x14ac:dyDescent="0.35">
      <c r="O44" s="125" t="s">
        <v>101</v>
      </c>
      <c r="P44" s="134">
        <f t="shared" si="2"/>
        <v>60</v>
      </c>
      <c r="Q44" s="135">
        <v>40</v>
      </c>
      <c r="R44" s="135">
        <f t="shared" si="3"/>
        <v>115</v>
      </c>
      <c r="S44" s="135">
        <f t="shared" si="3"/>
        <v>35</v>
      </c>
      <c r="T44" s="136">
        <f t="shared" si="4"/>
        <v>30</v>
      </c>
      <c r="AF44" s="125" t="s">
        <v>101</v>
      </c>
      <c r="AG44" s="189">
        <v>-99940</v>
      </c>
      <c r="AH44" s="190">
        <v>-99914.522857139993</v>
      </c>
      <c r="AI44" s="190">
        <v>-185</v>
      </c>
      <c r="AJ44" s="190">
        <v>-171.72499999999999</v>
      </c>
      <c r="AK44" s="191">
        <v>-5.9999999280080374E-7</v>
      </c>
    </row>
    <row r="45" spans="1:37" x14ac:dyDescent="0.35">
      <c r="O45" s="125" t="s">
        <v>102</v>
      </c>
      <c r="P45" s="134">
        <f t="shared" si="2"/>
        <v>60</v>
      </c>
      <c r="Q45" s="135">
        <v>40</v>
      </c>
      <c r="R45" s="135">
        <f t="shared" si="3"/>
        <v>110</v>
      </c>
      <c r="S45" s="135">
        <f t="shared" si="3"/>
        <v>30</v>
      </c>
      <c r="T45" s="136">
        <f t="shared" si="4"/>
        <v>30</v>
      </c>
      <c r="AF45" s="125" t="s">
        <v>102</v>
      </c>
      <c r="AG45" s="189">
        <v>-99940</v>
      </c>
      <c r="AH45" s="190">
        <v>-99892.022857139993</v>
      </c>
      <c r="AI45" s="190">
        <v>-190</v>
      </c>
      <c r="AJ45" s="190">
        <v>-143.6</v>
      </c>
      <c r="AK45" s="191">
        <v>-5.9999999280080374E-7</v>
      </c>
    </row>
    <row r="46" spans="1:37" x14ac:dyDescent="0.35">
      <c r="O46" s="125" t="s">
        <v>103</v>
      </c>
      <c r="P46" s="138">
        <f t="shared" si="2"/>
        <v>60</v>
      </c>
      <c r="Q46" s="139">
        <v>40</v>
      </c>
      <c r="R46" s="139">
        <f t="shared" si="3"/>
        <v>105</v>
      </c>
      <c r="S46" s="139">
        <f t="shared" si="3"/>
        <v>25</v>
      </c>
      <c r="T46" s="140">
        <f t="shared" si="4"/>
        <v>30</v>
      </c>
      <c r="AF46" s="125" t="s">
        <v>103</v>
      </c>
      <c r="AG46" s="192">
        <v>-99940</v>
      </c>
      <c r="AH46" s="193">
        <v>-99869.522857139993</v>
      </c>
      <c r="AI46" s="193">
        <v>-195</v>
      </c>
      <c r="AJ46" s="193">
        <v>-115.47499999999999</v>
      </c>
      <c r="AK46" s="194">
        <v>-5.9999999280080374E-7</v>
      </c>
    </row>
    <row r="47" spans="1:37" x14ac:dyDescent="0.35">
      <c r="P47" s="135"/>
      <c r="Q47" s="135"/>
      <c r="R47" s="135"/>
      <c r="S47" s="135"/>
      <c r="T47" s="135"/>
      <c r="AG47" s="158"/>
      <c r="AH47" s="158"/>
      <c r="AI47" s="158"/>
      <c r="AJ47" s="158"/>
    </row>
    <row r="48" spans="1:37" x14ac:dyDescent="0.35">
      <c r="P48" s="135" t="s">
        <v>131</v>
      </c>
      <c r="Q48" s="135"/>
      <c r="R48" s="135"/>
      <c r="S48" s="135"/>
      <c r="T48" s="135"/>
      <c r="AG48" s="158"/>
      <c r="AH48" s="158"/>
      <c r="AI48" s="158"/>
      <c r="AJ48" s="158"/>
    </row>
    <row r="49" spans="4:36" x14ac:dyDescent="0.35">
      <c r="D49" s="125" t="s">
        <v>124</v>
      </c>
      <c r="E49" s="125" t="s">
        <v>92</v>
      </c>
      <c r="P49" s="209">
        <v>0.03</v>
      </c>
      <c r="Q49" s="117"/>
      <c r="R49" s="135"/>
      <c r="S49" s="135"/>
      <c r="T49" s="135"/>
      <c r="AG49" s="158"/>
      <c r="AH49" s="158"/>
      <c r="AI49" s="158"/>
      <c r="AJ49" s="158"/>
    </row>
    <row r="50" spans="4:36" x14ac:dyDescent="0.35">
      <c r="P50" s="117" t="s">
        <v>132</v>
      </c>
      <c r="Q50" s="117"/>
      <c r="R50" s="135"/>
      <c r="S50" s="135"/>
      <c r="T50" s="135"/>
      <c r="AG50" s="158"/>
      <c r="AH50" s="158"/>
      <c r="AI50" s="158"/>
      <c r="AJ50" s="158"/>
    </row>
    <row r="51" spans="4:36" x14ac:dyDescent="0.35">
      <c r="D51" s="125" t="s">
        <v>133</v>
      </c>
      <c r="E51" s="125" t="s">
        <v>92</v>
      </c>
      <c r="P51" s="210">
        <v>0.05</v>
      </c>
      <c r="Q51" s="211">
        <v>0.05</v>
      </c>
      <c r="R51" s="211">
        <v>0.05</v>
      </c>
      <c r="S51" s="211">
        <v>0.05</v>
      </c>
      <c r="T51" s="212">
        <v>0.05</v>
      </c>
      <c r="AG51" s="158"/>
      <c r="AH51" s="158"/>
      <c r="AI51" s="158"/>
      <c r="AJ51" s="158"/>
    </row>
    <row r="52" spans="4:36" x14ac:dyDescent="0.35">
      <c r="P52" s="125" t="s">
        <v>87</v>
      </c>
    </row>
    <row r="53" spans="4:36" x14ac:dyDescent="0.35">
      <c r="D53" s="125" t="s">
        <v>84</v>
      </c>
      <c r="E53" s="125" t="s">
        <v>85</v>
      </c>
      <c r="P53" s="213">
        <v>1</v>
      </c>
      <c r="Q53" s="214">
        <v>1</v>
      </c>
      <c r="R53" s="214">
        <v>1</v>
      </c>
      <c r="S53" s="214">
        <v>2</v>
      </c>
      <c r="T53" s="215">
        <v>1</v>
      </c>
    </row>
    <row r="54" spans="4:36" x14ac:dyDescent="0.35">
      <c r="P54" s="125" t="s">
        <v>88</v>
      </c>
    </row>
    <row r="55" spans="4:36" x14ac:dyDescent="0.35">
      <c r="D55" s="125" t="s">
        <v>86</v>
      </c>
      <c r="E55" s="125" t="s">
        <v>85</v>
      </c>
      <c r="P55" s="213">
        <v>10</v>
      </c>
      <c r="Q55" s="214">
        <v>10</v>
      </c>
      <c r="R55" s="214">
        <v>6</v>
      </c>
      <c r="S55" s="214">
        <v>8</v>
      </c>
      <c r="T55" s="215">
        <v>30</v>
      </c>
    </row>
    <row r="56" spans="4:36" x14ac:dyDescent="0.35">
      <c r="P56" s="135" t="s">
        <v>135</v>
      </c>
      <c r="Q56" s="135"/>
      <c r="R56" s="135"/>
      <c r="S56" s="135"/>
      <c r="T56" s="135"/>
    </row>
    <row r="57" spans="4:36" x14ac:dyDescent="0.35">
      <c r="D57" s="125" t="s">
        <v>134</v>
      </c>
      <c r="E57" s="125" t="s">
        <v>85</v>
      </c>
      <c r="P57" s="213">
        <v>10</v>
      </c>
      <c r="Q57" s="214">
        <v>10</v>
      </c>
      <c r="R57" s="214">
        <v>6</v>
      </c>
      <c r="S57" s="214">
        <v>8</v>
      </c>
      <c r="T57" s="215">
        <v>30</v>
      </c>
    </row>
    <row r="58" spans="4:36" x14ac:dyDescent="0.35">
      <c r="P58" s="125" t="s">
        <v>94</v>
      </c>
    </row>
    <row r="59" spans="4:36" x14ac:dyDescent="0.35">
      <c r="D59" s="125" t="s">
        <v>90</v>
      </c>
      <c r="E59" s="125" t="s">
        <v>83</v>
      </c>
      <c r="P59" s="142">
        <v>100000</v>
      </c>
      <c r="Q59" s="143">
        <v>100000</v>
      </c>
      <c r="R59" s="143">
        <v>300</v>
      </c>
      <c r="S59" s="143">
        <v>300</v>
      </c>
      <c r="T59" s="143">
        <v>60</v>
      </c>
    </row>
    <row r="60" spans="4:36" x14ac:dyDescent="0.35">
      <c r="P60" s="125" t="s">
        <v>93</v>
      </c>
    </row>
    <row r="61" spans="4:36" x14ac:dyDescent="0.35">
      <c r="D61" s="125" t="s">
        <v>91</v>
      </c>
      <c r="E61" s="125" t="s">
        <v>92</v>
      </c>
      <c r="P61" s="142">
        <v>1</v>
      </c>
      <c r="Q61" s="143">
        <v>1</v>
      </c>
      <c r="R61" s="246">
        <v>0.25</v>
      </c>
      <c r="S61" s="124">
        <v>0.4</v>
      </c>
      <c r="T61" s="144">
        <v>1</v>
      </c>
    </row>
    <row r="62" spans="4:36" x14ac:dyDescent="0.35">
      <c r="P62" s="135" t="s">
        <v>121</v>
      </c>
      <c r="Q62" s="135"/>
      <c r="R62" s="123"/>
      <c r="S62" s="123"/>
      <c r="T62" s="135"/>
    </row>
    <row r="63" spans="4:36" x14ac:dyDescent="0.35">
      <c r="D63" s="125" t="s">
        <v>120</v>
      </c>
      <c r="E63" s="125" t="s">
        <v>92</v>
      </c>
      <c r="P63" s="142">
        <v>1</v>
      </c>
      <c r="Q63" s="143">
        <v>1</v>
      </c>
      <c r="R63" s="143">
        <v>1</v>
      </c>
      <c r="S63" s="143">
        <v>1</v>
      </c>
      <c r="T63" s="144">
        <v>1</v>
      </c>
    </row>
    <row r="65" spans="1:53" x14ac:dyDescent="0.35">
      <c r="P65" s="125" t="s">
        <v>113</v>
      </c>
    </row>
    <row r="66" spans="1:53" x14ac:dyDescent="0.35">
      <c r="A66" s="125" t="s">
        <v>72</v>
      </c>
      <c r="D66" s="125" t="s">
        <v>110</v>
      </c>
      <c r="E66" s="125" t="s">
        <v>83</v>
      </c>
      <c r="O66" s="125" t="s">
        <v>72</v>
      </c>
      <c r="P66" s="145">
        <v>0</v>
      </c>
      <c r="Q66" s="146">
        <v>0</v>
      </c>
      <c r="R66" s="146">
        <v>0</v>
      </c>
      <c r="S66" s="146">
        <v>0</v>
      </c>
      <c r="T66" s="147">
        <v>0</v>
      </c>
      <c r="V66" s="3"/>
      <c r="W66" s="3"/>
      <c r="X66" s="3"/>
      <c r="Y66" s="3"/>
    </row>
    <row r="67" spans="1:53" x14ac:dyDescent="0.35">
      <c r="A67" s="125" t="s">
        <v>73</v>
      </c>
      <c r="O67" s="125" t="s">
        <v>73</v>
      </c>
      <c r="P67" s="148">
        <v>0</v>
      </c>
      <c r="Q67" s="149">
        <v>0</v>
      </c>
      <c r="R67" s="149">
        <v>0</v>
      </c>
      <c r="S67" s="149">
        <v>0</v>
      </c>
      <c r="T67" s="150">
        <v>1.031031</v>
      </c>
      <c r="V67" s="3"/>
      <c r="W67" s="3"/>
      <c r="X67" s="3"/>
      <c r="Y67" s="3"/>
    </row>
    <row r="68" spans="1:53" x14ac:dyDescent="0.35">
      <c r="A68" s="125" t="s">
        <v>74</v>
      </c>
      <c r="O68" s="125" t="s">
        <v>74</v>
      </c>
      <c r="P68" s="148">
        <v>0</v>
      </c>
      <c r="Q68" s="149">
        <v>0</v>
      </c>
      <c r="R68" s="149">
        <v>0</v>
      </c>
      <c r="S68" s="149">
        <v>0</v>
      </c>
      <c r="T68" s="150">
        <v>13.263263</v>
      </c>
      <c r="V68" s="3"/>
      <c r="W68" s="3"/>
      <c r="X68" s="3"/>
      <c r="Y68" s="3"/>
    </row>
    <row r="69" spans="1:53" x14ac:dyDescent="0.35">
      <c r="A69" s="125" t="s">
        <v>75</v>
      </c>
      <c r="O69" s="125" t="s">
        <v>75</v>
      </c>
      <c r="P69" s="148">
        <v>0</v>
      </c>
      <c r="Q69" s="149">
        <v>0</v>
      </c>
      <c r="R69" s="149">
        <v>0</v>
      </c>
      <c r="S69" s="149">
        <v>27.024999999999999</v>
      </c>
      <c r="T69" s="150">
        <v>13.263263</v>
      </c>
      <c r="V69" s="3"/>
      <c r="W69" s="3"/>
      <c r="X69" s="3"/>
      <c r="Y69" s="3"/>
    </row>
    <row r="70" spans="1:53" x14ac:dyDescent="0.35">
      <c r="A70" s="125" t="s">
        <v>76</v>
      </c>
      <c r="O70" s="125" t="s">
        <v>76</v>
      </c>
      <c r="P70" s="148">
        <v>0</v>
      </c>
      <c r="Q70" s="149">
        <v>0.47714286</v>
      </c>
      <c r="R70" s="149">
        <v>0</v>
      </c>
      <c r="S70" s="149">
        <v>33.125</v>
      </c>
      <c r="T70" s="150">
        <v>2.4424424</v>
      </c>
      <c r="V70" s="3"/>
      <c r="W70" s="3"/>
      <c r="X70" s="3"/>
      <c r="Y70" s="3"/>
    </row>
    <row r="71" spans="1:53" x14ac:dyDescent="0.35">
      <c r="A71" s="125" t="s">
        <v>99</v>
      </c>
      <c r="O71" s="125" t="s">
        <v>99</v>
      </c>
      <c r="P71" s="148">
        <v>0</v>
      </c>
      <c r="Q71" s="149">
        <v>22.5</v>
      </c>
      <c r="R71" s="149">
        <v>0</v>
      </c>
      <c r="S71" s="149">
        <v>33.125</v>
      </c>
      <c r="T71" s="150">
        <v>0</v>
      </c>
      <c r="V71" s="3"/>
      <c r="W71" s="3"/>
      <c r="X71" s="3"/>
      <c r="Y71" s="3"/>
    </row>
    <row r="72" spans="1:53" x14ac:dyDescent="0.35">
      <c r="A72" s="125" t="s">
        <v>100</v>
      </c>
      <c r="O72" s="125" t="s">
        <v>100</v>
      </c>
      <c r="P72" s="148">
        <v>0</v>
      </c>
      <c r="Q72" s="149">
        <v>22.5</v>
      </c>
      <c r="R72" s="149">
        <v>0</v>
      </c>
      <c r="S72" s="149">
        <v>33.125</v>
      </c>
      <c r="T72" s="150">
        <v>0</v>
      </c>
      <c r="V72" s="3"/>
      <c r="W72" s="3"/>
      <c r="X72" s="3"/>
      <c r="Y72" s="3"/>
    </row>
    <row r="73" spans="1:53" x14ac:dyDescent="0.35">
      <c r="A73" s="125" t="s">
        <v>101</v>
      </c>
      <c r="O73" s="125" t="s">
        <v>101</v>
      </c>
      <c r="P73" s="148">
        <v>0</v>
      </c>
      <c r="Q73" s="149">
        <v>22.5</v>
      </c>
      <c r="R73" s="149">
        <v>0</v>
      </c>
      <c r="S73" s="149">
        <v>33.125</v>
      </c>
      <c r="T73" s="150">
        <v>0</v>
      </c>
      <c r="V73" s="3"/>
      <c r="W73" s="3"/>
      <c r="X73" s="3"/>
      <c r="Y73" s="3"/>
    </row>
    <row r="74" spans="1:53" x14ac:dyDescent="0.35">
      <c r="A74" s="125" t="s">
        <v>102</v>
      </c>
      <c r="O74" s="125" t="s">
        <v>102</v>
      </c>
      <c r="P74" s="148">
        <v>0</v>
      </c>
      <c r="Q74" s="149">
        <v>22.5</v>
      </c>
      <c r="R74" s="149">
        <v>0</v>
      </c>
      <c r="S74" s="149">
        <v>0</v>
      </c>
      <c r="T74" s="150">
        <v>0</v>
      </c>
      <c r="V74" s="3"/>
      <c r="W74" s="3"/>
      <c r="X74" s="3"/>
      <c r="Y74" s="3"/>
    </row>
    <row r="75" spans="1:53" x14ac:dyDescent="0.35">
      <c r="A75" s="125" t="s">
        <v>103</v>
      </c>
      <c r="O75" s="125" t="s">
        <v>103</v>
      </c>
      <c r="P75" s="151">
        <v>0</v>
      </c>
      <c r="Q75" s="152">
        <v>0</v>
      </c>
      <c r="R75" s="152">
        <v>0</v>
      </c>
      <c r="S75" s="152">
        <v>0</v>
      </c>
      <c r="T75" s="153">
        <v>0</v>
      </c>
      <c r="V75" s="3"/>
      <c r="W75" s="3"/>
      <c r="X75" s="3"/>
      <c r="Y75" s="3"/>
    </row>
    <row r="76" spans="1:53" x14ac:dyDescent="0.35">
      <c r="P76" s="125" t="s">
        <v>114</v>
      </c>
      <c r="V76" s="125" t="s">
        <v>155</v>
      </c>
      <c r="AG76" s="125" t="s">
        <v>156</v>
      </c>
      <c r="AR76" s="125" t="s">
        <v>159</v>
      </c>
    </row>
    <row r="77" spans="1:53" x14ac:dyDescent="0.35">
      <c r="D77" s="125" t="s">
        <v>112</v>
      </c>
      <c r="E77" s="125" t="s">
        <v>83</v>
      </c>
      <c r="O77" s="125" t="s">
        <v>72</v>
      </c>
      <c r="P77" s="154" cm="1">
        <f t="array" ref="P77:P86">MMULT($V$77:$AE$86,P66:P75)</f>
        <v>0</v>
      </c>
      <c r="Q77" s="155" cm="1">
        <f t="array" ref="Q77:Q86">MMULT($V$77:$AE$86,Q66:Q75)</f>
        <v>0</v>
      </c>
      <c r="R77" s="155" cm="1">
        <f t="array" ref="R77:R86">MMULT($V$77:$AE$86,R66:R75)</f>
        <v>0</v>
      </c>
      <c r="S77" s="155" cm="1">
        <f t="array" ref="S77:S86">MMULT($AG$77:$AP$86,S66:S75)</f>
        <v>0</v>
      </c>
      <c r="T77" s="156" cm="1">
        <f t="array" ref="T77:T86">MMULT($AR$77:$BA$86,T66:T75)</f>
        <v>0</v>
      </c>
      <c r="V77" s="154">
        <v>0</v>
      </c>
      <c r="W77" s="155">
        <v>0</v>
      </c>
      <c r="X77" s="155">
        <v>0</v>
      </c>
      <c r="Y77" s="155">
        <v>0</v>
      </c>
      <c r="Z77" s="155">
        <v>0</v>
      </c>
      <c r="AA77" s="155">
        <v>0</v>
      </c>
      <c r="AB77" s="155">
        <v>0</v>
      </c>
      <c r="AC77" s="155">
        <v>0</v>
      </c>
      <c r="AD77" s="155">
        <v>0</v>
      </c>
      <c r="AE77" s="156">
        <v>0</v>
      </c>
      <c r="AG77" s="154">
        <v>0</v>
      </c>
      <c r="AH77" s="155">
        <v>0</v>
      </c>
      <c r="AI77" s="155">
        <v>0</v>
      </c>
      <c r="AJ77" s="155">
        <v>0</v>
      </c>
      <c r="AK77" s="155">
        <v>0</v>
      </c>
      <c r="AL77" s="155">
        <v>0</v>
      </c>
      <c r="AM77" s="155">
        <v>0</v>
      </c>
      <c r="AN77" s="155">
        <v>0</v>
      </c>
      <c r="AO77" s="155">
        <v>0</v>
      </c>
      <c r="AP77" s="156">
        <v>0</v>
      </c>
      <c r="AR77" s="154">
        <v>0</v>
      </c>
      <c r="AS77" s="155">
        <v>0</v>
      </c>
      <c r="AT77" s="155">
        <v>0</v>
      </c>
      <c r="AU77" s="155">
        <v>0</v>
      </c>
      <c r="AV77" s="155">
        <v>0</v>
      </c>
      <c r="AW77" s="155">
        <v>0</v>
      </c>
      <c r="AX77" s="155">
        <v>0</v>
      </c>
      <c r="AY77" s="155">
        <v>0</v>
      </c>
      <c r="AZ77" s="155">
        <v>0</v>
      </c>
      <c r="BA77" s="156">
        <v>0</v>
      </c>
    </row>
    <row r="78" spans="1:53" x14ac:dyDescent="0.35">
      <c r="O78" s="125" t="s">
        <v>73</v>
      </c>
      <c r="P78" s="157">
        <v>0</v>
      </c>
      <c r="Q78" s="158">
        <v>0</v>
      </c>
      <c r="R78" s="158">
        <v>0</v>
      </c>
      <c r="S78" s="158">
        <v>0</v>
      </c>
      <c r="T78" s="159">
        <v>0</v>
      </c>
      <c r="V78" s="206">
        <f>IF(COUNTA($O$78:$O78) = $R$53, 1, 0)</f>
        <v>1</v>
      </c>
      <c r="W78" s="135">
        <f t="shared" ref="W78:AE86" si="5">V77</f>
        <v>0</v>
      </c>
      <c r="X78" s="135">
        <f t="shared" si="5"/>
        <v>0</v>
      </c>
      <c r="Y78" s="135">
        <f t="shared" si="5"/>
        <v>0</v>
      </c>
      <c r="Z78" s="135">
        <f t="shared" si="5"/>
        <v>0</v>
      </c>
      <c r="AA78" s="135">
        <f t="shared" si="5"/>
        <v>0</v>
      </c>
      <c r="AB78" s="135">
        <f t="shared" si="5"/>
        <v>0</v>
      </c>
      <c r="AC78" s="135">
        <f t="shared" si="5"/>
        <v>0</v>
      </c>
      <c r="AD78" s="135">
        <f t="shared" si="5"/>
        <v>0</v>
      </c>
      <c r="AE78" s="136">
        <f t="shared" si="5"/>
        <v>0</v>
      </c>
      <c r="AG78" s="206">
        <f>IF(COUNTA($O$78:$O78) = $S$53, 1, 0)</f>
        <v>0</v>
      </c>
      <c r="AH78" s="135">
        <f t="shared" ref="AH78:AP86" si="6">AG77</f>
        <v>0</v>
      </c>
      <c r="AI78" s="135">
        <f t="shared" si="6"/>
        <v>0</v>
      </c>
      <c r="AJ78" s="135">
        <f t="shared" si="6"/>
        <v>0</v>
      </c>
      <c r="AK78" s="135">
        <f t="shared" si="6"/>
        <v>0</v>
      </c>
      <c r="AL78" s="135">
        <f t="shared" si="6"/>
        <v>0</v>
      </c>
      <c r="AM78" s="135">
        <f t="shared" si="6"/>
        <v>0</v>
      </c>
      <c r="AN78" s="135">
        <f t="shared" si="6"/>
        <v>0</v>
      </c>
      <c r="AO78" s="135">
        <f t="shared" si="6"/>
        <v>0</v>
      </c>
      <c r="AP78" s="136">
        <f t="shared" si="6"/>
        <v>0</v>
      </c>
      <c r="AR78" s="206">
        <f>IF(COUNTA($O$78:$O78) = $T$53, 1, 0)</f>
        <v>1</v>
      </c>
      <c r="AS78" s="135">
        <f t="shared" ref="AS78:BA86" si="7">AR77</f>
        <v>0</v>
      </c>
      <c r="AT78" s="135">
        <f t="shared" si="7"/>
        <v>0</v>
      </c>
      <c r="AU78" s="135">
        <f t="shared" si="7"/>
        <v>0</v>
      </c>
      <c r="AV78" s="135">
        <f t="shared" si="7"/>
        <v>0</v>
      </c>
      <c r="AW78" s="135">
        <f t="shared" si="7"/>
        <v>0</v>
      </c>
      <c r="AX78" s="135">
        <f t="shared" si="7"/>
        <v>0</v>
      </c>
      <c r="AY78" s="135">
        <f t="shared" si="7"/>
        <v>0</v>
      </c>
      <c r="AZ78" s="135">
        <f t="shared" si="7"/>
        <v>0</v>
      </c>
      <c r="BA78" s="136">
        <f t="shared" si="7"/>
        <v>0</v>
      </c>
    </row>
    <row r="79" spans="1:53" x14ac:dyDescent="0.35">
      <c r="O79" s="125" t="s">
        <v>74</v>
      </c>
      <c r="P79" s="157">
        <v>0</v>
      </c>
      <c r="Q79" s="158">
        <v>0</v>
      </c>
      <c r="R79" s="158">
        <v>0</v>
      </c>
      <c r="S79" s="158">
        <v>0</v>
      </c>
      <c r="T79" s="159">
        <v>1.031031</v>
      </c>
      <c r="V79" s="206">
        <f>IF(COUNTA($O$78:$O79) = $R$53, 1, 0)</f>
        <v>0</v>
      </c>
      <c r="W79" s="135">
        <f t="shared" si="5"/>
        <v>1</v>
      </c>
      <c r="X79" s="135">
        <f t="shared" si="5"/>
        <v>0</v>
      </c>
      <c r="Y79" s="135">
        <f t="shared" si="5"/>
        <v>0</v>
      </c>
      <c r="Z79" s="135">
        <f t="shared" si="5"/>
        <v>0</v>
      </c>
      <c r="AA79" s="135">
        <f t="shared" si="5"/>
        <v>0</v>
      </c>
      <c r="AB79" s="135">
        <f t="shared" si="5"/>
        <v>0</v>
      </c>
      <c r="AC79" s="135">
        <f t="shared" si="5"/>
        <v>0</v>
      </c>
      <c r="AD79" s="135">
        <f t="shared" si="5"/>
        <v>0</v>
      </c>
      <c r="AE79" s="136">
        <f t="shared" si="5"/>
        <v>0</v>
      </c>
      <c r="AG79" s="206">
        <f>IF(COUNTA($O$78:$O79) = $S$53, 1, 0)</f>
        <v>1</v>
      </c>
      <c r="AH79" s="135">
        <f t="shared" si="6"/>
        <v>0</v>
      </c>
      <c r="AI79" s="135">
        <f t="shared" si="6"/>
        <v>0</v>
      </c>
      <c r="AJ79" s="135">
        <f t="shared" si="6"/>
        <v>0</v>
      </c>
      <c r="AK79" s="135">
        <f t="shared" si="6"/>
        <v>0</v>
      </c>
      <c r="AL79" s="135">
        <f t="shared" si="6"/>
        <v>0</v>
      </c>
      <c r="AM79" s="135">
        <f t="shared" si="6"/>
        <v>0</v>
      </c>
      <c r="AN79" s="135">
        <f t="shared" si="6"/>
        <v>0</v>
      </c>
      <c r="AO79" s="135">
        <f t="shared" si="6"/>
        <v>0</v>
      </c>
      <c r="AP79" s="136">
        <f t="shared" si="6"/>
        <v>0</v>
      </c>
      <c r="AR79" s="206">
        <f>IF(COUNTA($O$78:$O79) = $T$53, 1, 0)</f>
        <v>0</v>
      </c>
      <c r="AS79" s="135">
        <f t="shared" si="7"/>
        <v>1</v>
      </c>
      <c r="AT79" s="135">
        <f t="shared" si="7"/>
        <v>0</v>
      </c>
      <c r="AU79" s="135">
        <f t="shared" si="7"/>
        <v>0</v>
      </c>
      <c r="AV79" s="135">
        <f t="shared" si="7"/>
        <v>0</v>
      </c>
      <c r="AW79" s="135">
        <f t="shared" si="7"/>
        <v>0</v>
      </c>
      <c r="AX79" s="135">
        <f t="shared" si="7"/>
        <v>0</v>
      </c>
      <c r="AY79" s="135">
        <f t="shared" si="7"/>
        <v>0</v>
      </c>
      <c r="AZ79" s="135">
        <f t="shared" si="7"/>
        <v>0</v>
      </c>
      <c r="BA79" s="136">
        <f t="shared" si="7"/>
        <v>0</v>
      </c>
    </row>
    <row r="80" spans="1:53" x14ac:dyDescent="0.35">
      <c r="O80" s="125" t="s">
        <v>75</v>
      </c>
      <c r="P80" s="157">
        <v>0</v>
      </c>
      <c r="Q80" s="158">
        <v>0</v>
      </c>
      <c r="R80" s="158">
        <v>0</v>
      </c>
      <c r="S80" s="158">
        <v>0</v>
      </c>
      <c r="T80" s="159">
        <v>13.263263</v>
      </c>
      <c r="V80" s="206">
        <f>IF(COUNTA($O$78:$O80) = $R$53, 1, 0)</f>
        <v>0</v>
      </c>
      <c r="W80" s="135">
        <f t="shared" si="5"/>
        <v>0</v>
      </c>
      <c r="X80" s="135">
        <f t="shared" si="5"/>
        <v>1</v>
      </c>
      <c r="Y80" s="135">
        <f t="shared" si="5"/>
        <v>0</v>
      </c>
      <c r="Z80" s="135">
        <f t="shared" si="5"/>
        <v>0</v>
      </c>
      <c r="AA80" s="135">
        <f t="shared" si="5"/>
        <v>0</v>
      </c>
      <c r="AB80" s="135">
        <f t="shared" si="5"/>
        <v>0</v>
      </c>
      <c r="AC80" s="135">
        <f t="shared" si="5"/>
        <v>0</v>
      </c>
      <c r="AD80" s="135">
        <f t="shared" si="5"/>
        <v>0</v>
      </c>
      <c r="AE80" s="136">
        <f t="shared" si="5"/>
        <v>0</v>
      </c>
      <c r="AG80" s="206">
        <f>IF(COUNTA($O$78:$O80) = $S$53, 1, 0)</f>
        <v>0</v>
      </c>
      <c r="AH80" s="135">
        <f t="shared" si="6"/>
        <v>1</v>
      </c>
      <c r="AI80" s="135">
        <f t="shared" si="6"/>
        <v>0</v>
      </c>
      <c r="AJ80" s="135">
        <f t="shared" si="6"/>
        <v>0</v>
      </c>
      <c r="AK80" s="135">
        <f t="shared" si="6"/>
        <v>0</v>
      </c>
      <c r="AL80" s="135">
        <f t="shared" si="6"/>
        <v>0</v>
      </c>
      <c r="AM80" s="135">
        <f t="shared" si="6"/>
        <v>0</v>
      </c>
      <c r="AN80" s="135">
        <f t="shared" si="6"/>
        <v>0</v>
      </c>
      <c r="AO80" s="135">
        <f t="shared" si="6"/>
        <v>0</v>
      </c>
      <c r="AP80" s="136">
        <f t="shared" si="6"/>
        <v>0</v>
      </c>
      <c r="AR80" s="206">
        <f>IF(COUNTA($O$78:$O80) = $T$53, 1, 0)</f>
        <v>0</v>
      </c>
      <c r="AS80" s="135">
        <f t="shared" si="7"/>
        <v>0</v>
      </c>
      <c r="AT80" s="135">
        <f t="shared" si="7"/>
        <v>1</v>
      </c>
      <c r="AU80" s="135">
        <f t="shared" si="7"/>
        <v>0</v>
      </c>
      <c r="AV80" s="135">
        <f t="shared" si="7"/>
        <v>0</v>
      </c>
      <c r="AW80" s="135">
        <f t="shared" si="7"/>
        <v>0</v>
      </c>
      <c r="AX80" s="135">
        <f t="shared" si="7"/>
        <v>0</v>
      </c>
      <c r="AY80" s="135">
        <f t="shared" si="7"/>
        <v>0</v>
      </c>
      <c r="AZ80" s="135">
        <f t="shared" si="7"/>
        <v>0</v>
      </c>
      <c r="BA80" s="136">
        <f t="shared" si="7"/>
        <v>0</v>
      </c>
    </row>
    <row r="81" spans="4:53" x14ac:dyDescent="0.35">
      <c r="O81" s="125" t="s">
        <v>76</v>
      </c>
      <c r="P81" s="157">
        <v>0</v>
      </c>
      <c r="Q81" s="158">
        <v>0</v>
      </c>
      <c r="R81" s="158">
        <v>0</v>
      </c>
      <c r="S81" s="158">
        <v>0</v>
      </c>
      <c r="T81" s="159">
        <v>13.263263</v>
      </c>
      <c r="V81" s="206">
        <f>IF(COUNTA($O$78:$O81) = $R$53, 1, 0)</f>
        <v>0</v>
      </c>
      <c r="W81" s="135">
        <f t="shared" si="5"/>
        <v>0</v>
      </c>
      <c r="X81" s="135">
        <f t="shared" si="5"/>
        <v>0</v>
      </c>
      <c r="Y81" s="135">
        <f t="shared" si="5"/>
        <v>1</v>
      </c>
      <c r="Z81" s="135">
        <f t="shared" si="5"/>
        <v>0</v>
      </c>
      <c r="AA81" s="135">
        <f t="shared" si="5"/>
        <v>0</v>
      </c>
      <c r="AB81" s="135">
        <f t="shared" si="5"/>
        <v>0</v>
      </c>
      <c r="AC81" s="135">
        <f t="shared" si="5"/>
        <v>0</v>
      </c>
      <c r="AD81" s="135">
        <f t="shared" si="5"/>
        <v>0</v>
      </c>
      <c r="AE81" s="136">
        <f t="shared" si="5"/>
        <v>0</v>
      </c>
      <c r="AG81" s="206">
        <f>IF(COUNTA($O$78:$O81) = $S$53, 1, 0)</f>
        <v>0</v>
      </c>
      <c r="AH81" s="135">
        <f t="shared" si="6"/>
        <v>0</v>
      </c>
      <c r="AI81" s="135">
        <f t="shared" si="6"/>
        <v>1</v>
      </c>
      <c r="AJ81" s="135">
        <f t="shared" si="6"/>
        <v>0</v>
      </c>
      <c r="AK81" s="135">
        <f t="shared" si="6"/>
        <v>0</v>
      </c>
      <c r="AL81" s="135">
        <f t="shared" si="6"/>
        <v>0</v>
      </c>
      <c r="AM81" s="135">
        <f t="shared" si="6"/>
        <v>0</v>
      </c>
      <c r="AN81" s="135">
        <f t="shared" si="6"/>
        <v>0</v>
      </c>
      <c r="AO81" s="135">
        <f t="shared" si="6"/>
        <v>0</v>
      </c>
      <c r="AP81" s="136">
        <f t="shared" si="6"/>
        <v>0</v>
      </c>
      <c r="AR81" s="206">
        <f>IF(COUNTA($O$78:$O81) = $T$53, 1, 0)</f>
        <v>0</v>
      </c>
      <c r="AS81" s="135">
        <f t="shared" si="7"/>
        <v>0</v>
      </c>
      <c r="AT81" s="135">
        <f t="shared" si="7"/>
        <v>0</v>
      </c>
      <c r="AU81" s="135">
        <f t="shared" si="7"/>
        <v>1</v>
      </c>
      <c r="AV81" s="135">
        <f t="shared" si="7"/>
        <v>0</v>
      </c>
      <c r="AW81" s="135">
        <f t="shared" si="7"/>
        <v>0</v>
      </c>
      <c r="AX81" s="135">
        <f t="shared" si="7"/>
        <v>0</v>
      </c>
      <c r="AY81" s="135">
        <f t="shared" si="7"/>
        <v>0</v>
      </c>
      <c r="AZ81" s="135">
        <f t="shared" si="7"/>
        <v>0</v>
      </c>
      <c r="BA81" s="136">
        <f t="shared" si="7"/>
        <v>0</v>
      </c>
    </row>
    <row r="82" spans="4:53" x14ac:dyDescent="0.35">
      <c r="O82" s="125" t="s">
        <v>99</v>
      </c>
      <c r="P82" s="157">
        <v>0</v>
      </c>
      <c r="Q82" s="158">
        <v>0.47714286</v>
      </c>
      <c r="R82" s="158">
        <v>0</v>
      </c>
      <c r="S82" s="158">
        <v>27.024999999999999</v>
      </c>
      <c r="T82" s="159">
        <v>2.4424424</v>
      </c>
      <c r="V82" s="206">
        <f>IF(COUNTA($O$78:$O82) = $R$53, 1, 0)</f>
        <v>0</v>
      </c>
      <c r="W82" s="135">
        <f t="shared" si="5"/>
        <v>0</v>
      </c>
      <c r="X82" s="135">
        <f t="shared" si="5"/>
        <v>0</v>
      </c>
      <c r="Y82" s="135">
        <f t="shared" si="5"/>
        <v>0</v>
      </c>
      <c r="Z82" s="135">
        <f t="shared" si="5"/>
        <v>1</v>
      </c>
      <c r="AA82" s="135">
        <f t="shared" si="5"/>
        <v>0</v>
      </c>
      <c r="AB82" s="135">
        <f t="shared" si="5"/>
        <v>0</v>
      </c>
      <c r="AC82" s="135">
        <f t="shared" si="5"/>
        <v>0</v>
      </c>
      <c r="AD82" s="135">
        <f t="shared" si="5"/>
        <v>0</v>
      </c>
      <c r="AE82" s="136">
        <f t="shared" si="5"/>
        <v>0</v>
      </c>
      <c r="AG82" s="206">
        <f>IF(COUNTA($O$78:$O82) = $S$53, 1, 0)</f>
        <v>0</v>
      </c>
      <c r="AH82" s="135">
        <f t="shared" si="6"/>
        <v>0</v>
      </c>
      <c r="AI82" s="135">
        <f t="shared" si="6"/>
        <v>0</v>
      </c>
      <c r="AJ82" s="135">
        <f t="shared" si="6"/>
        <v>1</v>
      </c>
      <c r="AK82" s="135">
        <f t="shared" si="6"/>
        <v>0</v>
      </c>
      <c r="AL82" s="135">
        <f t="shared" si="6"/>
        <v>0</v>
      </c>
      <c r="AM82" s="135">
        <f t="shared" si="6"/>
        <v>0</v>
      </c>
      <c r="AN82" s="135">
        <f t="shared" si="6"/>
        <v>0</v>
      </c>
      <c r="AO82" s="135">
        <f t="shared" si="6"/>
        <v>0</v>
      </c>
      <c r="AP82" s="136">
        <f t="shared" si="6"/>
        <v>0</v>
      </c>
      <c r="AR82" s="206">
        <f>IF(COUNTA($O$78:$O82) = $T$53, 1, 0)</f>
        <v>0</v>
      </c>
      <c r="AS82" s="135">
        <f t="shared" si="7"/>
        <v>0</v>
      </c>
      <c r="AT82" s="135">
        <f t="shared" si="7"/>
        <v>0</v>
      </c>
      <c r="AU82" s="135">
        <f t="shared" si="7"/>
        <v>0</v>
      </c>
      <c r="AV82" s="135">
        <f t="shared" si="7"/>
        <v>1</v>
      </c>
      <c r="AW82" s="135">
        <f t="shared" si="7"/>
        <v>0</v>
      </c>
      <c r="AX82" s="135">
        <f t="shared" si="7"/>
        <v>0</v>
      </c>
      <c r="AY82" s="135">
        <f t="shared" si="7"/>
        <v>0</v>
      </c>
      <c r="AZ82" s="135">
        <f t="shared" si="7"/>
        <v>0</v>
      </c>
      <c r="BA82" s="136">
        <f t="shared" si="7"/>
        <v>0</v>
      </c>
    </row>
    <row r="83" spans="4:53" x14ac:dyDescent="0.35">
      <c r="O83" s="125" t="s">
        <v>100</v>
      </c>
      <c r="P83" s="157">
        <v>0</v>
      </c>
      <c r="Q83" s="158">
        <v>22.5</v>
      </c>
      <c r="R83" s="158">
        <v>0</v>
      </c>
      <c r="S83" s="158">
        <v>33.125</v>
      </c>
      <c r="T83" s="159">
        <v>0</v>
      </c>
      <c r="V83" s="206">
        <f>IF(COUNTA($O$78:$O83) = $R$53, 1, 0)</f>
        <v>0</v>
      </c>
      <c r="W83" s="135">
        <f t="shared" si="5"/>
        <v>0</v>
      </c>
      <c r="X83" s="135">
        <f t="shared" si="5"/>
        <v>0</v>
      </c>
      <c r="Y83" s="135">
        <f t="shared" si="5"/>
        <v>0</v>
      </c>
      <c r="Z83" s="135">
        <f t="shared" si="5"/>
        <v>0</v>
      </c>
      <c r="AA83" s="135">
        <f t="shared" si="5"/>
        <v>1</v>
      </c>
      <c r="AB83" s="135">
        <f t="shared" si="5"/>
        <v>0</v>
      </c>
      <c r="AC83" s="135">
        <f t="shared" si="5"/>
        <v>0</v>
      </c>
      <c r="AD83" s="135">
        <f t="shared" si="5"/>
        <v>0</v>
      </c>
      <c r="AE83" s="136">
        <f t="shared" si="5"/>
        <v>0</v>
      </c>
      <c r="AG83" s="206">
        <f>IF(COUNTA($O$78:$O83) = $S$53, 1, 0)</f>
        <v>0</v>
      </c>
      <c r="AH83" s="135">
        <f t="shared" si="6"/>
        <v>0</v>
      </c>
      <c r="AI83" s="135">
        <f t="shared" si="6"/>
        <v>0</v>
      </c>
      <c r="AJ83" s="135">
        <f t="shared" si="6"/>
        <v>0</v>
      </c>
      <c r="AK83" s="135">
        <f t="shared" si="6"/>
        <v>1</v>
      </c>
      <c r="AL83" s="135">
        <f t="shared" si="6"/>
        <v>0</v>
      </c>
      <c r="AM83" s="135">
        <f t="shared" si="6"/>
        <v>0</v>
      </c>
      <c r="AN83" s="135">
        <f t="shared" si="6"/>
        <v>0</v>
      </c>
      <c r="AO83" s="135">
        <f t="shared" si="6"/>
        <v>0</v>
      </c>
      <c r="AP83" s="136">
        <f t="shared" si="6"/>
        <v>0</v>
      </c>
      <c r="AR83" s="206">
        <f>IF(COUNTA($O$78:$O83) = $T$53, 1, 0)</f>
        <v>0</v>
      </c>
      <c r="AS83" s="135">
        <f t="shared" si="7"/>
        <v>0</v>
      </c>
      <c r="AT83" s="135">
        <f t="shared" si="7"/>
        <v>0</v>
      </c>
      <c r="AU83" s="135">
        <f t="shared" si="7"/>
        <v>0</v>
      </c>
      <c r="AV83" s="135">
        <f t="shared" si="7"/>
        <v>0</v>
      </c>
      <c r="AW83" s="135">
        <f t="shared" si="7"/>
        <v>1</v>
      </c>
      <c r="AX83" s="135">
        <f t="shared" si="7"/>
        <v>0</v>
      </c>
      <c r="AY83" s="135">
        <f t="shared" si="7"/>
        <v>0</v>
      </c>
      <c r="AZ83" s="135">
        <f t="shared" si="7"/>
        <v>0</v>
      </c>
      <c r="BA83" s="136">
        <f t="shared" si="7"/>
        <v>0</v>
      </c>
    </row>
    <row r="84" spans="4:53" x14ac:dyDescent="0.35">
      <c r="O84" s="125" t="s">
        <v>101</v>
      </c>
      <c r="P84" s="157">
        <v>0</v>
      </c>
      <c r="Q84" s="158">
        <v>22.5</v>
      </c>
      <c r="R84" s="158">
        <v>0</v>
      </c>
      <c r="S84" s="158">
        <v>33.125</v>
      </c>
      <c r="T84" s="159">
        <v>0</v>
      </c>
      <c r="V84" s="206">
        <f>IF(COUNTA($O$78:$O84) = $R$53, 1, 0)</f>
        <v>0</v>
      </c>
      <c r="W84" s="135">
        <f t="shared" si="5"/>
        <v>0</v>
      </c>
      <c r="X84" s="135">
        <f t="shared" si="5"/>
        <v>0</v>
      </c>
      <c r="Y84" s="135">
        <f t="shared" si="5"/>
        <v>0</v>
      </c>
      <c r="Z84" s="135">
        <f t="shared" si="5"/>
        <v>0</v>
      </c>
      <c r="AA84" s="135">
        <f t="shared" si="5"/>
        <v>0</v>
      </c>
      <c r="AB84" s="135">
        <f t="shared" si="5"/>
        <v>1</v>
      </c>
      <c r="AC84" s="135">
        <f t="shared" si="5"/>
        <v>0</v>
      </c>
      <c r="AD84" s="135">
        <f t="shared" si="5"/>
        <v>0</v>
      </c>
      <c r="AE84" s="136">
        <f t="shared" si="5"/>
        <v>0</v>
      </c>
      <c r="AG84" s="206">
        <f>IF(COUNTA($O$78:$O84) = $S$53, 1, 0)</f>
        <v>0</v>
      </c>
      <c r="AH84" s="135">
        <f t="shared" si="6"/>
        <v>0</v>
      </c>
      <c r="AI84" s="135">
        <f t="shared" si="6"/>
        <v>0</v>
      </c>
      <c r="AJ84" s="135">
        <f t="shared" si="6"/>
        <v>0</v>
      </c>
      <c r="AK84" s="135">
        <f t="shared" si="6"/>
        <v>0</v>
      </c>
      <c r="AL84" s="135">
        <f t="shared" si="6"/>
        <v>1</v>
      </c>
      <c r="AM84" s="135">
        <f t="shared" si="6"/>
        <v>0</v>
      </c>
      <c r="AN84" s="135">
        <f t="shared" si="6"/>
        <v>0</v>
      </c>
      <c r="AO84" s="135">
        <f t="shared" si="6"/>
        <v>0</v>
      </c>
      <c r="AP84" s="136">
        <f t="shared" si="6"/>
        <v>0</v>
      </c>
      <c r="AR84" s="206">
        <f>IF(COUNTA($O$78:$O84) = $T$53, 1, 0)</f>
        <v>0</v>
      </c>
      <c r="AS84" s="135">
        <f t="shared" si="7"/>
        <v>0</v>
      </c>
      <c r="AT84" s="135">
        <f t="shared" si="7"/>
        <v>0</v>
      </c>
      <c r="AU84" s="135">
        <f t="shared" si="7"/>
        <v>0</v>
      </c>
      <c r="AV84" s="135">
        <f t="shared" si="7"/>
        <v>0</v>
      </c>
      <c r="AW84" s="135">
        <f t="shared" si="7"/>
        <v>0</v>
      </c>
      <c r="AX84" s="135">
        <f t="shared" si="7"/>
        <v>1</v>
      </c>
      <c r="AY84" s="135">
        <f t="shared" si="7"/>
        <v>0</v>
      </c>
      <c r="AZ84" s="135">
        <f t="shared" si="7"/>
        <v>0</v>
      </c>
      <c r="BA84" s="136">
        <f t="shared" si="7"/>
        <v>0</v>
      </c>
    </row>
    <row r="85" spans="4:53" x14ac:dyDescent="0.35">
      <c r="O85" s="125" t="s">
        <v>102</v>
      </c>
      <c r="P85" s="157">
        <v>0</v>
      </c>
      <c r="Q85" s="158">
        <v>22.5</v>
      </c>
      <c r="R85" s="158">
        <v>0</v>
      </c>
      <c r="S85" s="158">
        <v>33.125</v>
      </c>
      <c r="T85" s="159">
        <v>0</v>
      </c>
      <c r="V85" s="206">
        <f>IF(COUNTA($O$78:$O85) = $R$53, 1, 0)</f>
        <v>0</v>
      </c>
      <c r="W85" s="135">
        <f t="shared" si="5"/>
        <v>0</v>
      </c>
      <c r="X85" s="135">
        <f t="shared" si="5"/>
        <v>0</v>
      </c>
      <c r="Y85" s="135">
        <f t="shared" si="5"/>
        <v>0</v>
      </c>
      <c r="Z85" s="135">
        <f t="shared" si="5"/>
        <v>0</v>
      </c>
      <c r="AA85" s="135">
        <f t="shared" si="5"/>
        <v>0</v>
      </c>
      <c r="AB85" s="135">
        <f t="shared" si="5"/>
        <v>0</v>
      </c>
      <c r="AC85" s="135">
        <f t="shared" si="5"/>
        <v>1</v>
      </c>
      <c r="AD85" s="135">
        <f t="shared" si="5"/>
        <v>0</v>
      </c>
      <c r="AE85" s="136">
        <f t="shared" si="5"/>
        <v>0</v>
      </c>
      <c r="AG85" s="206">
        <f>IF(COUNTA($O$78:$O85) = $S$53, 1, 0)</f>
        <v>0</v>
      </c>
      <c r="AH85" s="135">
        <f t="shared" si="6"/>
        <v>0</v>
      </c>
      <c r="AI85" s="135">
        <f t="shared" si="6"/>
        <v>0</v>
      </c>
      <c r="AJ85" s="135">
        <f t="shared" si="6"/>
        <v>0</v>
      </c>
      <c r="AK85" s="135">
        <f t="shared" si="6"/>
        <v>0</v>
      </c>
      <c r="AL85" s="135">
        <f t="shared" si="6"/>
        <v>0</v>
      </c>
      <c r="AM85" s="135">
        <f t="shared" si="6"/>
        <v>1</v>
      </c>
      <c r="AN85" s="135">
        <f t="shared" si="6"/>
        <v>0</v>
      </c>
      <c r="AO85" s="135">
        <f t="shared" si="6"/>
        <v>0</v>
      </c>
      <c r="AP85" s="136">
        <f t="shared" si="6"/>
        <v>0</v>
      </c>
      <c r="AR85" s="206">
        <f>IF(COUNTA($O$78:$O85) = $T$53, 1, 0)</f>
        <v>0</v>
      </c>
      <c r="AS85" s="135">
        <f t="shared" si="7"/>
        <v>0</v>
      </c>
      <c r="AT85" s="135">
        <f t="shared" si="7"/>
        <v>0</v>
      </c>
      <c r="AU85" s="135">
        <f t="shared" si="7"/>
        <v>0</v>
      </c>
      <c r="AV85" s="135">
        <f t="shared" si="7"/>
        <v>0</v>
      </c>
      <c r="AW85" s="135">
        <f t="shared" si="7"/>
        <v>0</v>
      </c>
      <c r="AX85" s="135">
        <f t="shared" si="7"/>
        <v>0</v>
      </c>
      <c r="AY85" s="135">
        <f t="shared" si="7"/>
        <v>1</v>
      </c>
      <c r="AZ85" s="135">
        <f t="shared" si="7"/>
        <v>0</v>
      </c>
      <c r="BA85" s="136">
        <f t="shared" si="7"/>
        <v>0</v>
      </c>
    </row>
    <row r="86" spans="4:53" x14ac:dyDescent="0.35">
      <c r="O86" s="125" t="s">
        <v>103</v>
      </c>
      <c r="P86" s="160">
        <v>0</v>
      </c>
      <c r="Q86" s="161">
        <v>22.5</v>
      </c>
      <c r="R86" s="161">
        <v>0</v>
      </c>
      <c r="S86" s="161">
        <v>33.125</v>
      </c>
      <c r="T86" s="162">
        <v>0</v>
      </c>
      <c r="V86" s="175">
        <f>IF(COUNTA($O$78:$O86) = $R$53, 1, 0)</f>
        <v>0</v>
      </c>
      <c r="W86" s="139">
        <f>V85</f>
        <v>0</v>
      </c>
      <c r="X86" s="139">
        <f t="shared" si="5"/>
        <v>0</v>
      </c>
      <c r="Y86" s="139">
        <f t="shared" si="5"/>
        <v>0</v>
      </c>
      <c r="Z86" s="139">
        <f t="shared" si="5"/>
        <v>0</v>
      </c>
      <c r="AA86" s="139">
        <f t="shared" si="5"/>
        <v>0</v>
      </c>
      <c r="AB86" s="139">
        <f t="shared" si="5"/>
        <v>0</v>
      </c>
      <c r="AC86" s="139">
        <f t="shared" si="5"/>
        <v>0</v>
      </c>
      <c r="AD86" s="139">
        <f t="shared" si="5"/>
        <v>1</v>
      </c>
      <c r="AE86" s="140">
        <f t="shared" si="5"/>
        <v>0</v>
      </c>
      <c r="AG86" s="175">
        <f>IF(COUNTA($O$78:$O86) = $S$53, 1, 0)</f>
        <v>0</v>
      </c>
      <c r="AH86" s="139">
        <f>AG85</f>
        <v>0</v>
      </c>
      <c r="AI86" s="139">
        <f t="shared" si="6"/>
        <v>0</v>
      </c>
      <c r="AJ86" s="139">
        <f t="shared" si="6"/>
        <v>0</v>
      </c>
      <c r="AK86" s="139">
        <f t="shared" si="6"/>
        <v>0</v>
      </c>
      <c r="AL86" s="139">
        <f t="shared" si="6"/>
        <v>0</v>
      </c>
      <c r="AM86" s="139">
        <f t="shared" si="6"/>
        <v>0</v>
      </c>
      <c r="AN86" s="139">
        <f t="shared" si="6"/>
        <v>1</v>
      </c>
      <c r="AO86" s="139">
        <f t="shared" si="6"/>
        <v>0</v>
      </c>
      <c r="AP86" s="140">
        <f t="shared" si="6"/>
        <v>0</v>
      </c>
      <c r="AR86" s="206">
        <f>IF(COUNTA($O$78:$O86) = $T$53, 1, 0)</f>
        <v>0</v>
      </c>
      <c r="AS86" s="139">
        <f>AR85</f>
        <v>0</v>
      </c>
      <c r="AT86" s="139">
        <f t="shared" si="7"/>
        <v>0</v>
      </c>
      <c r="AU86" s="139">
        <f t="shared" si="7"/>
        <v>0</v>
      </c>
      <c r="AV86" s="139">
        <f t="shared" si="7"/>
        <v>0</v>
      </c>
      <c r="AW86" s="139">
        <f t="shared" si="7"/>
        <v>0</v>
      </c>
      <c r="AX86" s="139">
        <f t="shared" si="7"/>
        <v>0</v>
      </c>
      <c r="AY86" s="139">
        <f t="shared" si="7"/>
        <v>0</v>
      </c>
      <c r="AZ86" s="139">
        <f t="shared" si="7"/>
        <v>1</v>
      </c>
      <c r="BA86" s="140">
        <f t="shared" si="7"/>
        <v>0</v>
      </c>
    </row>
    <row r="87" spans="4:53" x14ac:dyDescent="0.35">
      <c r="P87" s="125" t="s">
        <v>117</v>
      </c>
      <c r="V87" s="125" t="s">
        <v>158</v>
      </c>
      <c r="AG87" s="125" t="s">
        <v>157</v>
      </c>
      <c r="AR87" s="125" t="s">
        <v>160</v>
      </c>
    </row>
    <row r="88" spans="4:53" x14ac:dyDescent="0.35">
      <c r="D88" s="125" t="s">
        <v>116</v>
      </c>
      <c r="E88" s="125" t="s">
        <v>83</v>
      </c>
      <c r="O88" s="125" t="s">
        <v>72</v>
      </c>
      <c r="P88" s="154" cm="1">
        <f t="array" ref="P88:P97">MMULT($V$88:$AE$97,P66:P75)</f>
        <v>0</v>
      </c>
      <c r="Q88" s="155" cm="1">
        <f t="array" ref="Q88:Q97">MMULT($V$88:$AE$97,Q66:Q75)</f>
        <v>0</v>
      </c>
      <c r="R88" s="155" cm="1">
        <f t="array" ref="R88:R97">MMULT($V$88:$AE$97,R66:R75)</f>
        <v>0</v>
      </c>
      <c r="S88" s="155" cm="1">
        <f t="array" ref="S88:S97">MMULT($AG$88:$AP$97,S66:S75)</f>
        <v>0</v>
      </c>
      <c r="T88" s="156" cm="1">
        <f t="array" ref="T88:T97">MMULT($AR$88:$BA$97,T66:T75)</f>
        <v>0</v>
      </c>
      <c r="V88" s="154">
        <v>0</v>
      </c>
      <c r="W88" s="155">
        <v>0</v>
      </c>
      <c r="X88" s="155">
        <v>0</v>
      </c>
      <c r="Y88" s="155">
        <v>0</v>
      </c>
      <c r="Z88" s="155">
        <v>0</v>
      </c>
      <c r="AA88" s="155">
        <v>0</v>
      </c>
      <c r="AB88" s="155">
        <v>0</v>
      </c>
      <c r="AC88" s="155">
        <v>0</v>
      </c>
      <c r="AD88" s="155">
        <v>0</v>
      </c>
      <c r="AE88" s="156">
        <v>0</v>
      </c>
      <c r="AG88" s="154">
        <v>0</v>
      </c>
      <c r="AH88" s="155">
        <v>0</v>
      </c>
      <c r="AI88" s="155">
        <v>0</v>
      </c>
      <c r="AJ88" s="155">
        <v>0</v>
      </c>
      <c r="AK88" s="155">
        <v>0</v>
      </c>
      <c r="AL88" s="155">
        <v>0</v>
      </c>
      <c r="AM88" s="155">
        <v>0</v>
      </c>
      <c r="AN88" s="155">
        <v>0</v>
      </c>
      <c r="AO88" s="155">
        <v>0</v>
      </c>
      <c r="AP88" s="156">
        <v>0</v>
      </c>
      <c r="AR88" s="154">
        <v>0</v>
      </c>
      <c r="AS88" s="155">
        <v>0</v>
      </c>
      <c r="AT88" s="155">
        <v>0</v>
      </c>
      <c r="AU88" s="155">
        <v>0</v>
      </c>
      <c r="AV88" s="155">
        <v>0</v>
      </c>
      <c r="AW88" s="155">
        <v>0</v>
      </c>
      <c r="AX88" s="155">
        <v>0</v>
      </c>
      <c r="AY88" s="155">
        <v>0</v>
      </c>
      <c r="AZ88" s="155">
        <v>0</v>
      </c>
      <c r="BA88" s="156">
        <v>0</v>
      </c>
    </row>
    <row r="89" spans="4:53" x14ac:dyDescent="0.35">
      <c r="O89" s="125" t="s">
        <v>73</v>
      </c>
      <c r="P89" s="134">
        <v>0</v>
      </c>
      <c r="Q89" s="135">
        <v>0</v>
      </c>
      <c r="R89" s="135">
        <v>0</v>
      </c>
      <c r="S89" s="135">
        <v>0</v>
      </c>
      <c r="T89" s="136">
        <v>0</v>
      </c>
      <c r="V89" s="206">
        <f>IF(COUNTA($O$89:$O89) = $R$53+$R$55, 1, 0)</f>
        <v>0</v>
      </c>
      <c r="W89" s="135">
        <f t="shared" ref="W89:AE97" si="8">V88</f>
        <v>0</v>
      </c>
      <c r="X89" s="135">
        <f t="shared" si="8"/>
        <v>0</v>
      </c>
      <c r="Y89" s="135">
        <f t="shared" si="8"/>
        <v>0</v>
      </c>
      <c r="Z89" s="135">
        <f t="shared" si="8"/>
        <v>0</v>
      </c>
      <c r="AA89" s="135">
        <f t="shared" si="8"/>
        <v>0</v>
      </c>
      <c r="AB89" s="135">
        <f t="shared" si="8"/>
        <v>0</v>
      </c>
      <c r="AC89" s="135">
        <f t="shared" si="8"/>
        <v>0</v>
      </c>
      <c r="AD89" s="135">
        <f t="shared" si="8"/>
        <v>0</v>
      </c>
      <c r="AE89" s="136">
        <f t="shared" si="8"/>
        <v>0</v>
      </c>
      <c r="AG89" s="206">
        <f>IF(COUNTA($O$89:$O89) = $S$53+$S$55, 1, 0)</f>
        <v>0</v>
      </c>
      <c r="AH89" s="135">
        <f t="shared" ref="AH89:AP97" si="9">AG88</f>
        <v>0</v>
      </c>
      <c r="AI89" s="135">
        <f t="shared" si="9"/>
        <v>0</v>
      </c>
      <c r="AJ89" s="135">
        <f t="shared" si="9"/>
        <v>0</v>
      </c>
      <c r="AK89" s="135">
        <f t="shared" si="9"/>
        <v>0</v>
      </c>
      <c r="AL89" s="135">
        <f t="shared" si="9"/>
        <v>0</v>
      </c>
      <c r="AM89" s="135">
        <f t="shared" si="9"/>
        <v>0</v>
      </c>
      <c r="AN89" s="135">
        <f t="shared" si="9"/>
        <v>0</v>
      </c>
      <c r="AO89" s="135">
        <f t="shared" si="9"/>
        <v>0</v>
      </c>
      <c r="AP89" s="136">
        <f t="shared" si="9"/>
        <v>0</v>
      </c>
      <c r="AR89" s="206">
        <f>IF(COUNTA($O$89:$O89) = $T$53+$T$55, 1, 0)</f>
        <v>0</v>
      </c>
      <c r="AS89" s="135">
        <f t="shared" ref="AS89:BA97" si="10">AR88</f>
        <v>0</v>
      </c>
      <c r="AT89" s="135">
        <f t="shared" si="10"/>
        <v>0</v>
      </c>
      <c r="AU89" s="135">
        <f t="shared" si="10"/>
        <v>0</v>
      </c>
      <c r="AV89" s="135">
        <f t="shared" si="10"/>
        <v>0</v>
      </c>
      <c r="AW89" s="135">
        <f t="shared" si="10"/>
        <v>0</v>
      </c>
      <c r="AX89" s="135">
        <f t="shared" si="10"/>
        <v>0</v>
      </c>
      <c r="AY89" s="135">
        <f t="shared" si="10"/>
        <v>0</v>
      </c>
      <c r="AZ89" s="135">
        <f t="shared" si="10"/>
        <v>0</v>
      </c>
      <c r="BA89" s="136">
        <f t="shared" si="10"/>
        <v>0</v>
      </c>
    </row>
    <row r="90" spans="4:53" x14ac:dyDescent="0.35">
      <c r="O90" s="125" t="s">
        <v>74</v>
      </c>
      <c r="P90" s="134">
        <v>0</v>
      </c>
      <c r="Q90" s="135">
        <v>0</v>
      </c>
      <c r="R90" s="135">
        <v>0</v>
      </c>
      <c r="S90" s="135">
        <v>0</v>
      </c>
      <c r="T90" s="136">
        <v>0</v>
      </c>
      <c r="V90" s="206">
        <f>IF(COUNTA($O$89:$O90) = $R$53+$R$55, 1, 0)</f>
        <v>0</v>
      </c>
      <c r="W90" s="135">
        <f t="shared" si="8"/>
        <v>0</v>
      </c>
      <c r="X90" s="135">
        <f t="shared" si="8"/>
        <v>0</v>
      </c>
      <c r="Y90" s="135">
        <f t="shared" si="8"/>
        <v>0</v>
      </c>
      <c r="Z90" s="135">
        <f t="shared" si="8"/>
        <v>0</v>
      </c>
      <c r="AA90" s="135">
        <f t="shared" si="8"/>
        <v>0</v>
      </c>
      <c r="AB90" s="135">
        <f t="shared" si="8"/>
        <v>0</v>
      </c>
      <c r="AC90" s="135">
        <f t="shared" si="8"/>
        <v>0</v>
      </c>
      <c r="AD90" s="135">
        <f t="shared" si="8"/>
        <v>0</v>
      </c>
      <c r="AE90" s="136">
        <f t="shared" si="8"/>
        <v>0</v>
      </c>
      <c r="AG90" s="206">
        <f>IF(COUNTA($O$89:$O90) = $S$53+$S$55, 1, 0)</f>
        <v>0</v>
      </c>
      <c r="AH90" s="135">
        <f t="shared" si="9"/>
        <v>0</v>
      </c>
      <c r="AI90" s="135">
        <f t="shared" si="9"/>
        <v>0</v>
      </c>
      <c r="AJ90" s="135">
        <f t="shared" si="9"/>
        <v>0</v>
      </c>
      <c r="AK90" s="135">
        <f t="shared" si="9"/>
        <v>0</v>
      </c>
      <c r="AL90" s="135">
        <f t="shared" si="9"/>
        <v>0</v>
      </c>
      <c r="AM90" s="135">
        <f t="shared" si="9"/>
        <v>0</v>
      </c>
      <c r="AN90" s="135">
        <f t="shared" si="9"/>
        <v>0</v>
      </c>
      <c r="AO90" s="135">
        <f t="shared" si="9"/>
        <v>0</v>
      </c>
      <c r="AP90" s="136">
        <f t="shared" si="9"/>
        <v>0</v>
      </c>
      <c r="AR90" s="206">
        <f>IF(COUNTA($O$89:$O90) = $T$53+$T$55, 1, 0)</f>
        <v>0</v>
      </c>
      <c r="AS90" s="135">
        <f t="shared" si="10"/>
        <v>0</v>
      </c>
      <c r="AT90" s="135">
        <f t="shared" si="10"/>
        <v>0</v>
      </c>
      <c r="AU90" s="135">
        <f t="shared" si="10"/>
        <v>0</v>
      </c>
      <c r="AV90" s="135">
        <f t="shared" si="10"/>
        <v>0</v>
      </c>
      <c r="AW90" s="135">
        <f t="shared" si="10"/>
        <v>0</v>
      </c>
      <c r="AX90" s="135">
        <f t="shared" si="10"/>
        <v>0</v>
      </c>
      <c r="AY90" s="135">
        <f t="shared" si="10"/>
        <v>0</v>
      </c>
      <c r="AZ90" s="135">
        <f t="shared" si="10"/>
        <v>0</v>
      </c>
      <c r="BA90" s="136">
        <f t="shared" si="10"/>
        <v>0</v>
      </c>
    </row>
    <row r="91" spans="4:53" x14ac:dyDescent="0.35">
      <c r="O91" s="125" t="s">
        <v>75</v>
      </c>
      <c r="P91" s="134">
        <v>0</v>
      </c>
      <c r="Q91" s="135">
        <v>0</v>
      </c>
      <c r="R91" s="135">
        <v>0</v>
      </c>
      <c r="S91" s="135">
        <v>0</v>
      </c>
      <c r="T91" s="136">
        <v>0</v>
      </c>
      <c r="V91" s="206">
        <f>IF(COUNTA($O$89:$O91) = $R$53+$R$55, 1, 0)</f>
        <v>0</v>
      </c>
      <c r="W91" s="135">
        <f t="shared" si="8"/>
        <v>0</v>
      </c>
      <c r="X91" s="135">
        <f t="shared" si="8"/>
        <v>0</v>
      </c>
      <c r="Y91" s="135">
        <f t="shared" si="8"/>
        <v>0</v>
      </c>
      <c r="Z91" s="135">
        <f t="shared" si="8"/>
        <v>0</v>
      </c>
      <c r="AA91" s="135">
        <f t="shared" si="8"/>
        <v>0</v>
      </c>
      <c r="AB91" s="135">
        <f t="shared" si="8"/>
        <v>0</v>
      </c>
      <c r="AC91" s="135">
        <f t="shared" si="8"/>
        <v>0</v>
      </c>
      <c r="AD91" s="135">
        <f t="shared" si="8"/>
        <v>0</v>
      </c>
      <c r="AE91" s="136">
        <f t="shared" si="8"/>
        <v>0</v>
      </c>
      <c r="AG91" s="206">
        <f>IF(COUNTA($O$89:$O91) = $S$53+$S$55, 1, 0)</f>
        <v>0</v>
      </c>
      <c r="AH91" s="135">
        <f t="shared" si="9"/>
        <v>0</v>
      </c>
      <c r="AI91" s="135">
        <f t="shared" si="9"/>
        <v>0</v>
      </c>
      <c r="AJ91" s="135">
        <f t="shared" si="9"/>
        <v>0</v>
      </c>
      <c r="AK91" s="135">
        <f t="shared" si="9"/>
        <v>0</v>
      </c>
      <c r="AL91" s="135">
        <f t="shared" si="9"/>
        <v>0</v>
      </c>
      <c r="AM91" s="135">
        <f t="shared" si="9"/>
        <v>0</v>
      </c>
      <c r="AN91" s="135">
        <f t="shared" si="9"/>
        <v>0</v>
      </c>
      <c r="AO91" s="135">
        <f t="shared" si="9"/>
        <v>0</v>
      </c>
      <c r="AP91" s="136">
        <f t="shared" si="9"/>
        <v>0</v>
      </c>
      <c r="AR91" s="206">
        <f>IF(COUNTA($O$89:$O91) = $T$53+$T$55, 1, 0)</f>
        <v>0</v>
      </c>
      <c r="AS91" s="135">
        <f t="shared" si="10"/>
        <v>0</v>
      </c>
      <c r="AT91" s="135">
        <f t="shared" si="10"/>
        <v>0</v>
      </c>
      <c r="AU91" s="135">
        <f t="shared" si="10"/>
        <v>0</v>
      </c>
      <c r="AV91" s="135">
        <f t="shared" si="10"/>
        <v>0</v>
      </c>
      <c r="AW91" s="135">
        <f t="shared" si="10"/>
        <v>0</v>
      </c>
      <c r="AX91" s="135">
        <f t="shared" si="10"/>
        <v>0</v>
      </c>
      <c r="AY91" s="135">
        <f t="shared" si="10"/>
        <v>0</v>
      </c>
      <c r="AZ91" s="135">
        <f t="shared" si="10"/>
        <v>0</v>
      </c>
      <c r="BA91" s="136">
        <f t="shared" si="10"/>
        <v>0</v>
      </c>
    </row>
    <row r="92" spans="4:53" x14ac:dyDescent="0.35">
      <c r="O92" s="125" t="s">
        <v>76</v>
      </c>
      <c r="P92" s="134">
        <v>0</v>
      </c>
      <c r="Q92" s="135">
        <v>0</v>
      </c>
      <c r="R92" s="135">
        <v>0</v>
      </c>
      <c r="S92" s="135">
        <v>0</v>
      </c>
      <c r="T92" s="136">
        <v>0</v>
      </c>
      <c r="V92" s="206">
        <f>IF(COUNTA($O$89:$O92) = $R$53+$R$55, 1, 0)</f>
        <v>0</v>
      </c>
      <c r="W92" s="135">
        <f t="shared" si="8"/>
        <v>0</v>
      </c>
      <c r="X92" s="135">
        <f t="shared" si="8"/>
        <v>0</v>
      </c>
      <c r="Y92" s="135">
        <f t="shared" si="8"/>
        <v>0</v>
      </c>
      <c r="Z92" s="135">
        <f t="shared" si="8"/>
        <v>0</v>
      </c>
      <c r="AA92" s="135">
        <f t="shared" si="8"/>
        <v>0</v>
      </c>
      <c r="AB92" s="135">
        <f t="shared" si="8"/>
        <v>0</v>
      </c>
      <c r="AC92" s="135">
        <f t="shared" si="8"/>
        <v>0</v>
      </c>
      <c r="AD92" s="135">
        <f t="shared" si="8"/>
        <v>0</v>
      </c>
      <c r="AE92" s="136">
        <f t="shared" si="8"/>
        <v>0</v>
      </c>
      <c r="AG92" s="206">
        <f>IF(COUNTA($O$89:$O92) = $S$53+$S$55, 1, 0)</f>
        <v>0</v>
      </c>
      <c r="AH92" s="135">
        <f t="shared" si="9"/>
        <v>0</v>
      </c>
      <c r="AI92" s="135">
        <f t="shared" si="9"/>
        <v>0</v>
      </c>
      <c r="AJ92" s="135">
        <f t="shared" si="9"/>
        <v>0</v>
      </c>
      <c r="AK92" s="135">
        <f t="shared" si="9"/>
        <v>0</v>
      </c>
      <c r="AL92" s="135">
        <f t="shared" si="9"/>
        <v>0</v>
      </c>
      <c r="AM92" s="135">
        <f t="shared" si="9"/>
        <v>0</v>
      </c>
      <c r="AN92" s="135">
        <f t="shared" si="9"/>
        <v>0</v>
      </c>
      <c r="AO92" s="135">
        <f t="shared" si="9"/>
        <v>0</v>
      </c>
      <c r="AP92" s="136">
        <f t="shared" si="9"/>
        <v>0</v>
      </c>
      <c r="AR92" s="206">
        <f>IF(COUNTA($O$89:$O92) = $T$53+$T$55, 1, 0)</f>
        <v>0</v>
      </c>
      <c r="AS92" s="135">
        <f t="shared" si="10"/>
        <v>0</v>
      </c>
      <c r="AT92" s="135">
        <f t="shared" si="10"/>
        <v>0</v>
      </c>
      <c r="AU92" s="135">
        <f t="shared" si="10"/>
        <v>0</v>
      </c>
      <c r="AV92" s="135">
        <f t="shared" si="10"/>
        <v>0</v>
      </c>
      <c r="AW92" s="135">
        <f t="shared" si="10"/>
        <v>0</v>
      </c>
      <c r="AX92" s="135">
        <f t="shared" si="10"/>
        <v>0</v>
      </c>
      <c r="AY92" s="135">
        <f t="shared" si="10"/>
        <v>0</v>
      </c>
      <c r="AZ92" s="135">
        <f t="shared" si="10"/>
        <v>0</v>
      </c>
      <c r="BA92" s="136">
        <f t="shared" si="10"/>
        <v>0</v>
      </c>
    </row>
    <row r="93" spans="4:53" x14ac:dyDescent="0.35">
      <c r="O93" s="125" t="s">
        <v>99</v>
      </c>
      <c r="P93" s="134">
        <v>0</v>
      </c>
      <c r="Q93" s="135">
        <v>0</v>
      </c>
      <c r="R93" s="135">
        <v>0</v>
      </c>
      <c r="S93" s="135">
        <v>0</v>
      </c>
      <c r="T93" s="136">
        <v>0</v>
      </c>
      <c r="V93" s="206">
        <f>IF(COUNTA($O$89:$O93) = $R$53+$R$55, 1, 0)</f>
        <v>0</v>
      </c>
      <c r="W93" s="135">
        <f t="shared" si="8"/>
        <v>0</v>
      </c>
      <c r="X93" s="135">
        <f t="shared" si="8"/>
        <v>0</v>
      </c>
      <c r="Y93" s="135">
        <f t="shared" si="8"/>
        <v>0</v>
      </c>
      <c r="Z93" s="135">
        <f t="shared" si="8"/>
        <v>0</v>
      </c>
      <c r="AA93" s="135">
        <f t="shared" si="8"/>
        <v>0</v>
      </c>
      <c r="AB93" s="135">
        <f t="shared" si="8"/>
        <v>0</v>
      </c>
      <c r="AC93" s="135">
        <f t="shared" si="8"/>
        <v>0</v>
      </c>
      <c r="AD93" s="135">
        <f t="shared" si="8"/>
        <v>0</v>
      </c>
      <c r="AE93" s="136">
        <f t="shared" si="8"/>
        <v>0</v>
      </c>
      <c r="AG93" s="206">
        <f>IF(COUNTA($O$89:$O93) = $S$53+$S$55, 1, 0)</f>
        <v>0</v>
      </c>
      <c r="AH93" s="135">
        <f t="shared" si="9"/>
        <v>0</v>
      </c>
      <c r="AI93" s="135">
        <f t="shared" si="9"/>
        <v>0</v>
      </c>
      <c r="AJ93" s="135">
        <f t="shared" si="9"/>
        <v>0</v>
      </c>
      <c r="AK93" s="135">
        <f t="shared" si="9"/>
        <v>0</v>
      </c>
      <c r="AL93" s="135">
        <f t="shared" si="9"/>
        <v>0</v>
      </c>
      <c r="AM93" s="135">
        <f t="shared" si="9"/>
        <v>0</v>
      </c>
      <c r="AN93" s="135">
        <f t="shared" si="9"/>
        <v>0</v>
      </c>
      <c r="AO93" s="135">
        <f t="shared" si="9"/>
        <v>0</v>
      </c>
      <c r="AP93" s="136">
        <f t="shared" si="9"/>
        <v>0</v>
      </c>
      <c r="AR93" s="206">
        <f>IF(COUNTA($O$89:$O93) = $T$53+$T$55, 1, 0)</f>
        <v>0</v>
      </c>
      <c r="AS93" s="135">
        <f t="shared" si="10"/>
        <v>0</v>
      </c>
      <c r="AT93" s="135">
        <f t="shared" si="10"/>
        <v>0</v>
      </c>
      <c r="AU93" s="135">
        <f t="shared" si="10"/>
        <v>0</v>
      </c>
      <c r="AV93" s="135">
        <f t="shared" si="10"/>
        <v>0</v>
      </c>
      <c r="AW93" s="135">
        <f t="shared" si="10"/>
        <v>0</v>
      </c>
      <c r="AX93" s="135">
        <f t="shared" si="10"/>
        <v>0</v>
      </c>
      <c r="AY93" s="135">
        <f t="shared" si="10"/>
        <v>0</v>
      </c>
      <c r="AZ93" s="135">
        <f t="shared" si="10"/>
        <v>0</v>
      </c>
      <c r="BA93" s="136">
        <f t="shared" si="10"/>
        <v>0</v>
      </c>
    </row>
    <row r="94" spans="4:53" x14ac:dyDescent="0.35">
      <c r="O94" s="125" t="s">
        <v>100</v>
      </c>
      <c r="P94" s="134">
        <v>0</v>
      </c>
      <c r="Q94" s="135">
        <v>0</v>
      </c>
      <c r="R94" s="135">
        <v>0</v>
      </c>
      <c r="S94" s="135">
        <v>0</v>
      </c>
      <c r="T94" s="136">
        <v>0</v>
      </c>
      <c r="V94" s="206">
        <f>IF(COUNTA($O$89:$O94) = $R$53+$R$55, 1, 0)</f>
        <v>0</v>
      </c>
      <c r="W94" s="135">
        <f t="shared" si="8"/>
        <v>0</v>
      </c>
      <c r="X94" s="135">
        <f t="shared" si="8"/>
        <v>0</v>
      </c>
      <c r="Y94" s="135">
        <f t="shared" si="8"/>
        <v>0</v>
      </c>
      <c r="Z94" s="135">
        <f t="shared" si="8"/>
        <v>0</v>
      </c>
      <c r="AA94" s="135">
        <f t="shared" si="8"/>
        <v>0</v>
      </c>
      <c r="AB94" s="135">
        <f t="shared" si="8"/>
        <v>0</v>
      </c>
      <c r="AC94" s="135">
        <f t="shared" si="8"/>
        <v>0</v>
      </c>
      <c r="AD94" s="135">
        <f t="shared" si="8"/>
        <v>0</v>
      </c>
      <c r="AE94" s="136">
        <f t="shared" si="8"/>
        <v>0</v>
      </c>
      <c r="AG94" s="206">
        <f>IF(COUNTA($O$89:$O94) = $S$53+$S$55, 1, 0)</f>
        <v>0</v>
      </c>
      <c r="AH94" s="135">
        <f t="shared" si="9"/>
        <v>0</v>
      </c>
      <c r="AI94" s="135">
        <f t="shared" si="9"/>
        <v>0</v>
      </c>
      <c r="AJ94" s="135">
        <f t="shared" si="9"/>
        <v>0</v>
      </c>
      <c r="AK94" s="135">
        <f t="shared" si="9"/>
        <v>0</v>
      </c>
      <c r="AL94" s="135">
        <f t="shared" si="9"/>
        <v>0</v>
      </c>
      <c r="AM94" s="135">
        <f t="shared" si="9"/>
        <v>0</v>
      </c>
      <c r="AN94" s="135">
        <f t="shared" si="9"/>
        <v>0</v>
      </c>
      <c r="AO94" s="135">
        <f t="shared" si="9"/>
        <v>0</v>
      </c>
      <c r="AP94" s="136">
        <f t="shared" si="9"/>
        <v>0</v>
      </c>
      <c r="AR94" s="206">
        <f>IF(COUNTA($O$89:$O94) = $T$53+$T$55, 1, 0)</f>
        <v>0</v>
      </c>
      <c r="AS94" s="135">
        <f t="shared" si="10"/>
        <v>0</v>
      </c>
      <c r="AT94" s="135">
        <f t="shared" si="10"/>
        <v>0</v>
      </c>
      <c r="AU94" s="135">
        <f t="shared" si="10"/>
        <v>0</v>
      </c>
      <c r="AV94" s="135">
        <f t="shared" si="10"/>
        <v>0</v>
      </c>
      <c r="AW94" s="135">
        <f t="shared" si="10"/>
        <v>0</v>
      </c>
      <c r="AX94" s="135">
        <f t="shared" si="10"/>
        <v>0</v>
      </c>
      <c r="AY94" s="135">
        <f t="shared" si="10"/>
        <v>0</v>
      </c>
      <c r="AZ94" s="135">
        <f t="shared" si="10"/>
        <v>0</v>
      </c>
      <c r="BA94" s="136">
        <f t="shared" si="10"/>
        <v>0</v>
      </c>
    </row>
    <row r="95" spans="4:53" x14ac:dyDescent="0.35">
      <c r="O95" s="125" t="s">
        <v>101</v>
      </c>
      <c r="P95" s="134">
        <v>0</v>
      </c>
      <c r="Q95" s="135">
        <v>0</v>
      </c>
      <c r="R95" s="135">
        <v>0</v>
      </c>
      <c r="S95" s="135">
        <v>0</v>
      </c>
      <c r="T95" s="136">
        <v>0</v>
      </c>
      <c r="V95" s="206">
        <f>IF(COUNTA($O$89:$O95) = $R$53+$R$55, 1, 0)</f>
        <v>1</v>
      </c>
      <c r="W95" s="135">
        <f t="shared" si="8"/>
        <v>0</v>
      </c>
      <c r="X95" s="135">
        <f t="shared" si="8"/>
        <v>0</v>
      </c>
      <c r="Y95" s="135">
        <f t="shared" si="8"/>
        <v>0</v>
      </c>
      <c r="Z95" s="135">
        <f t="shared" si="8"/>
        <v>0</v>
      </c>
      <c r="AA95" s="135">
        <f t="shared" si="8"/>
        <v>0</v>
      </c>
      <c r="AB95" s="135">
        <f t="shared" si="8"/>
        <v>0</v>
      </c>
      <c r="AC95" s="135">
        <f t="shared" si="8"/>
        <v>0</v>
      </c>
      <c r="AD95" s="135">
        <f t="shared" si="8"/>
        <v>0</v>
      </c>
      <c r="AE95" s="136">
        <f t="shared" si="8"/>
        <v>0</v>
      </c>
      <c r="AG95" s="206">
        <f>IF(COUNTA($O$89:$O95) = $S$53+$S$55, 1, 0)</f>
        <v>0</v>
      </c>
      <c r="AH95" s="135">
        <f t="shared" si="9"/>
        <v>0</v>
      </c>
      <c r="AI95" s="135">
        <f t="shared" si="9"/>
        <v>0</v>
      </c>
      <c r="AJ95" s="135">
        <f t="shared" si="9"/>
        <v>0</v>
      </c>
      <c r="AK95" s="135">
        <f t="shared" si="9"/>
        <v>0</v>
      </c>
      <c r="AL95" s="135">
        <f t="shared" si="9"/>
        <v>0</v>
      </c>
      <c r="AM95" s="135">
        <f t="shared" si="9"/>
        <v>0</v>
      </c>
      <c r="AN95" s="135">
        <f t="shared" si="9"/>
        <v>0</v>
      </c>
      <c r="AO95" s="135">
        <f t="shared" si="9"/>
        <v>0</v>
      </c>
      <c r="AP95" s="136">
        <f t="shared" si="9"/>
        <v>0</v>
      </c>
      <c r="AR95" s="206">
        <f>IF(COUNTA($O$89:$O95) = $T$53+$T$55, 1, 0)</f>
        <v>0</v>
      </c>
      <c r="AS95" s="135">
        <f t="shared" si="10"/>
        <v>0</v>
      </c>
      <c r="AT95" s="135">
        <f t="shared" si="10"/>
        <v>0</v>
      </c>
      <c r="AU95" s="135">
        <f t="shared" si="10"/>
        <v>0</v>
      </c>
      <c r="AV95" s="135">
        <f t="shared" si="10"/>
        <v>0</v>
      </c>
      <c r="AW95" s="135">
        <f t="shared" si="10"/>
        <v>0</v>
      </c>
      <c r="AX95" s="135">
        <f t="shared" si="10"/>
        <v>0</v>
      </c>
      <c r="AY95" s="135">
        <f t="shared" si="10"/>
        <v>0</v>
      </c>
      <c r="AZ95" s="135">
        <f t="shared" si="10"/>
        <v>0</v>
      </c>
      <c r="BA95" s="136">
        <f t="shared" si="10"/>
        <v>0</v>
      </c>
    </row>
    <row r="96" spans="4:53" x14ac:dyDescent="0.35">
      <c r="O96" s="125" t="s">
        <v>102</v>
      </c>
      <c r="P96" s="134">
        <v>0</v>
      </c>
      <c r="Q96" s="135">
        <v>0</v>
      </c>
      <c r="R96" s="135">
        <v>0</v>
      </c>
      <c r="S96" s="135">
        <v>0</v>
      </c>
      <c r="T96" s="136">
        <v>0</v>
      </c>
      <c r="V96" s="206">
        <f>IF(COUNTA($O$89:$O96) = $R$53+$R$55, 1, 0)</f>
        <v>0</v>
      </c>
      <c r="W96" s="135">
        <f t="shared" si="8"/>
        <v>1</v>
      </c>
      <c r="X96" s="135">
        <f t="shared" si="8"/>
        <v>0</v>
      </c>
      <c r="Y96" s="135">
        <f t="shared" si="8"/>
        <v>0</v>
      </c>
      <c r="Z96" s="135">
        <f t="shared" si="8"/>
        <v>0</v>
      </c>
      <c r="AA96" s="135">
        <f t="shared" si="8"/>
        <v>0</v>
      </c>
      <c r="AB96" s="135">
        <f t="shared" si="8"/>
        <v>0</v>
      </c>
      <c r="AC96" s="135">
        <f t="shared" si="8"/>
        <v>0</v>
      </c>
      <c r="AD96" s="135">
        <f t="shared" si="8"/>
        <v>0</v>
      </c>
      <c r="AE96" s="136">
        <f t="shared" si="8"/>
        <v>0</v>
      </c>
      <c r="AG96" s="206">
        <f>IF(COUNTA($O$89:$O96) = $S$53+$S$55, 1, 0)</f>
        <v>0</v>
      </c>
      <c r="AH96" s="135">
        <f t="shared" si="9"/>
        <v>0</v>
      </c>
      <c r="AI96" s="135">
        <f t="shared" si="9"/>
        <v>0</v>
      </c>
      <c r="AJ96" s="135">
        <f t="shared" si="9"/>
        <v>0</v>
      </c>
      <c r="AK96" s="135">
        <f t="shared" si="9"/>
        <v>0</v>
      </c>
      <c r="AL96" s="135">
        <f t="shared" si="9"/>
        <v>0</v>
      </c>
      <c r="AM96" s="135">
        <f t="shared" si="9"/>
        <v>0</v>
      </c>
      <c r="AN96" s="135">
        <f t="shared" si="9"/>
        <v>0</v>
      </c>
      <c r="AO96" s="135">
        <f t="shared" si="9"/>
        <v>0</v>
      </c>
      <c r="AP96" s="136">
        <f t="shared" si="9"/>
        <v>0</v>
      </c>
      <c r="AR96" s="206">
        <f>IF(COUNTA($O$89:$O96) = $T$53+$T$55, 1, 0)</f>
        <v>0</v>
      </c>
      <c r="AS96" s="135">
        <f t="shared" si="10"/>
        <v>0</v>
      </c>
      <c r="AT96" s="135">
        <f t="shared" si="10"/>
        <v>0</v>
      </c>
      <c r="AU96" s="135">
        <f t="shared" si="10"/>
        <v>0</v>
      </c>
      <c r="AV96" s="135">
        <f t="shared" si="10"/>
        <v>0</v>
      </c>
      <c r="AW96" s="135">
        <f t="shared" si="10"/>
        <v>0</v>
      </c>
      <c r="AX96" s="135">
        <f t="shared" si="10"/>
        <v>0</v>
      </c>
      <c r="AY96" s="135">
        <f t="shared" si="10"/>
        <v>0</v>
      </c>
      <c r="AZ96" s="135">
        <f t="shared" si="10"/>
        <v>0</v>
      </c>
      <c r="BA96" s="136">
        <f t="shared" si="10"/>
        <v>0</v>
      </c>
    </row>
    <row r="97" spans="4:53" x14ac:dyDescent="0.35">
      <c r="O97" s="125" t="s">
        <v>103</v>
      </c>
      <c r="P97" s="138">
        <v>0</v>
      </c>
      <c r="Q97" s="139">
        <v>0</v>
      </c>
      <c r="R97" s="139">
        <v>0</v>
      </c>
      <c r="S97" s="139">
        <v>0</v>
      </c>
      <c r="T97" s="140">
        <v>0</v>
      </c>
      <c r="V97" s="175">
        <f>IF(COUNTA($O$89:$O97) = $R$53+$R$55, 1, 0)</f>
        <v>0</v>
      </c>
      <c r="W97" s="139">
        <f>V96</f>
        <v>0</v>
      </c>
      <c r="X97" s="139">
        <f t="shared" si="8"/>
        <v>1</v>
      </c>
      <c r="Y97" s="139">
        <f t="shared" si="8"/>
        <v>0</v>
      </c>
      <c r="Z97" s="139">
        <f t="shared" si="8"/>
        <v>0</v>
      </c>
      <c r="AA97" s="139">
        <f t="shared" si="8"/>
        <v>0</v>
      </c>
      <c r="AB97" s="139">
        <f t="shared" si="8"/>
        <v>0</v>
      </c>
      <c r="AC97" s="139">
        <f t="shared" si="8"/>
        <v>0</v>
      </c>
      <c r="AD97" s="139">
        <f t="shared" si="8"/>
        <v>0</v>
      </c>
      <c r="AE97" s="140">
        <f t="shared" si="8"/>
        <v>0</v>
      </c>
      <c r="AG97" s="175">
        <f>IF(COUNTA($O$89:$O97) = $S$53+$S$55, 1, 0)</f>
        <v>0</v>
      </c>
      <c r="AH97" s="139">
        <f>AG96</f>
        <v>0</v>
      </c>
      <c r="AI97" s="139">
        <f t="shared" si="9"/>
        <v>0</v>
      </c>
      <c r="AJ97" s="139">
        <f t="shared" si="9"/>
        <v>0</v>
      </c>
      <c r="AK97" s="139">
        <f t="shared" si="9"/>
        <v>0</v>
      </c>
      <c r="AL97" s="139">
        <f t="shared" si="9"/>
        <v>0</v>
      </c>
      <c r="AM97" s="139">
        <f t="shared" si="9"/>
        <v>0</v>
      </c>
      <c r="AN97" s="139">
        <f t="shared" si="9"/>
        <v>0</v>
      </c>
      <c r="AO97" s="139">
        <f t="shared" si="9"/>
        <v>0</v>
      </c>
      <c r="AP97" s="140">
        <f t="shared" si="9"/>
        <v>0</v>
      </c>
      <c r="AR97" s="206">
        <f>IF(COUNTA($O$89:$O97) = $T$53+$T$55, 1, 0)</f>
        <v>0</v>
      </c>
      <c r="AS97" s="139">
        <f>AR96</f>
        <v>0</v>
      </c>
      <c r="AT97" s="139">
        <f t="shared" si="10"/>
        <v>0</v>
      </c>
      <c r="AU97" s="139">
        <f t="shared" si="10"/>
        <v>0</v>
      </c>
      <c r="AV97" s="139">
        <f t="shared" si="10"/>
        <v>0</v>
      </c>
      <c r="AW97" s="139">
        <f t="shared" si="10"/>
        <v>0</v>
      </c>
      <c r="AX97" s="139">
        <f t="shared" si="10"/>
        <v>0</v>
      </c>
      <c r="AY97" s="139">
        <f t="shared" si="10"/>
        <v>0</v>
      </c>
      <c r="AZ97" s="139">
        <f t="shared" si="10"/>
        <v>0</v>
      </c>
      <c r="BA97" s="140">
        <f t="shared" si="10"/>
        <v>0</v>
      </c>
    </row>
    <row r="98" spans="4:53" x14ac:dyDescent="0.35">
      <c r="P98" s="125" t="s">
        <v>119</v>
      </c>
      <c r="V98" s="125" t="s">
        <v>118</v>
      </c>
    </row>
    <row r="99" spans="4:53" x14ac:dyDescent="0.35">
      <c r="D99" s="125" t="s">
        <v>115</v>
      </c>
      <c r="E99" s="125" t="s">
        <v>83</v>
      </c>
      <c r="O99" s="125" t="s">
        <v>72</v>
      </c>
      <c r="P99" s="130" cm="1">
        <f t="array" ref="P99:T108">P37:T46 + MMULT(V99:AE108,P77:T86) - P88:T97</f>
        <v>60</v>
      </c>
      <c r="Q99" s="131">
        <v>40</v>
      </c>
      <c r="R99" s="131">
        <v>150</v>
      </c>
      <c r="S99" s="131">
        <v>70</v>
      </c>
      <c r="T99" s="132">
        <v>30</v>
      </c>
      <c r="V99" s="130">
        <v>1</v>
      </c>
      <c r="W99" s="131">
        <v>0</v>
      </c>
      <c r="X99" s="131">
        <v>0</v>
      </c>
      <c r="Y99" s="131">
        <v>0</v>
      </c>
      <c r="Z99" s="131">
        <v>0</v>
      </c>
      <c r="AA99" s="131">
        <v>0</v>
      </c>
      <c r="AB99" s="131">
        <v>0</v>
      </c>
      <c r="AC99" s="131">
        <v>0</v>
      </c>
      <c r="AD99" s="131">
        <v>0</v>
      </c>
      <c r="AE99" s="132">
        <v>0</v>
      </c>
    </row>
    <row r="100" spans="4:53" x14ac:dyDescent="0.35">
      <c r="O100" s="125" t="s">
        <v>73</v>
      </c>
      <c r="P100" s="134">
        <v>60</v>
      </c>
      <c r="Q100" s="135">
        <v>40</v>
      </c>
      <c r="R100" s="135">
        <v>145</v>
      </c>
      <c r="S100" s="135">
        <v>65</v>
      </c>
      <c r="T100" s="136">
        <v>30</v>
      </c>
      <c r="V100" s="134">
        <v>1</v>
      </c>
      <c r="W100" s="135">
        <v>1</v>
      </c>
      <c r="X100" s="135">
        <v>0</v>
      </c>
      <c r="Y100" s="135">
        <v>0</v>
      </c>
      <c r="Z100" s="135">
        <v>0</v>
      </c>
      <c r="AA100" s="135">
        <v>0</v>
      </c>
      <c r="AB100" s="135">
        <v>0</v>
      </c>
      <c r="AC100" s="135">
        <v>0</v>
      </c>
      <c r="AD100" s="135">
        <v>0</v>
      </c>
      <c r="AE100" s="136">
        <v>0</v>
      </c>
    </row>
    <row r="101" spans="4:53" x14ac:dyDescent="0.35">
      <c r="O101" s="125" t="s">
        <v>74</v>
      </c>
      <c r="P101" s="134">
        <v>60</v>
      </c>
      <c r="Q101" s="135">
        <v>40</v>
      </c>
      <c r="R101" s="135">
        <v>140</v>
      </c>
      <c r="S101" s="135">
        <v>60</v>
      </c>
      <c r="T101" s="136">
        <v>31.031030999999999</v>
      </c>
      <c r="V101" s="134">
        <v>1</v>
      </c>
      <c r="W101" s="135">
        <v>1</v>
      </c>
      <c r="X101" s="135">
        <v>1</v>
      </c>
      <c r="Y101" s="135">
        <v>0</v>
      </c>
      <c r="Z101" s="135">
        <v>0</v>
      </c>
      <c r="AA101" s="135">
        <v>0</v>
      </c>
      <c r="AB101" s="135">
        <v>0</v>
      </c>
      <c r="AC101" s="135">
        <v>0</v>
      </c>
      <c r="AD101" s="135">
        <v>0</v>
      </c>
      <c r="AE101" s="136">
        <v>0</v>
      </c>
    </row>
    <row r="102" spans="4:53" x14ac:dyDescent="0.35">
      <c r="O102" s="125" t="s">
        <v>75</v>
      </c>
      <c r="P102" s="134">
        <v>60</v>
      </c>
      <c r="Q102" s="135">
        <v>40</v>
      </c>
      <c r="R102" s="135">
        <v>135</v>
      </c>
      <c r="S102" s="135">
        <v>55</v>
      </c>
      <c r="T102" s="136">
        <v>44.294294000000001</v>
      </c>
      <c r="V102" s="134">
        <v>1</v>
      </c>
      <c r="W102" s="135">
        <v>1</v>
      </c>
      <c r="X102" s="135">
        <v>1</v>
      </c>
      <c r="Y102" s="135">
        <v>1</v>
      </c>
      <c r="Z102" s="135">
        <v>0</v>
      </c>
      <c r="AA102" s="135">
        <v>0</v>
      </c>
      <c r="AB102" s="135">
        <v>0</v>
      </c>
      <c r="AC102" s="135">
        <v>0</v>
      </c>
      <c r="AD102" s="135">
        <v>0</v>
      </c>
      <c r="AE102" s="136">
        <v>0</v>
      </c>
    </row>
    <row r="103" spans="4:53" x14ac:dyDescent="0.35">
      <c r="O103" s="125" t="s">
        <v>76</v>
      </c>
      <c r="P103" s="134">
        <v>60</v>
      </c>
      <c r="Q103" s="135">
        <v>40</v>
      </c>
      <c r="R103" s="135">
        <v>130</v>
      </c>
      <c r="S103" s="135">
        <v>50</v>
      </c>
      <c r="T103" s="136">
        <v>57.557557000000003</v>
      </c>
      <c r="V103" s="134">
        <v>1</v>
      </c>
      <c r="W103" s="135">
        <v>1</v>
      </c>
      <c r="X103" s="135">
        <v>1</v>
      </c>
      <c r="Y103" s="135">
        <v>1</v>
      </c>
      <c r="Z103" s="135">
        <v>1</v>
      </c>
      <c r="AA103" s="135">
        <v>0</v>
      </c>
      <c r="AB103" s="135">
        <v>0</v>
      </c>
      <c r="AC103" s="135">
        <v>0</v>
      </c>
      <c r="AD103" s="135">
        <v>0</v>
      </c>
      <c r="AE103" s="136">
        <v>0</v>
      </c>
    </row>
    <row r="104" spans="4:53" x14ac:dyDescent="0.35">
      <c r="O104" s="125" t="s">
        <v>99</v>
      </c>
      <c r="P104" s="134">
        <v>60</v>
      </c>
      <c r="Q104" s="135">
        <v>40.477142860000001</v>
      </c>
      <c r="R104" s="135">
        <v>125</v>
      </c>
      <c r="S104" s="135">
        <v>72.025000000000006</v>
      </c>
      <c r="T104" s="136">
        <v>59.999999400000007</v>
      </c>
      <c r="V104" s="134">
        <v>1</v>
      </c>
      <c r="W104" s="135">
        <v>1</v>
      </c>
      <c r="X104" s="135">
        <v>1</v>
      </c>
      <c r="Y104" s="135">
        <v>1</v>
      </c>
      <c r="Z104" s="135">
        <v>1</v>
      </c>
      <c r="AA104" s="135">
        <v>1</v>
      </c>
      <c r="AB104" s="135">
        <v>0</v>
      </c>
      <c r="AC104" s="135">
        <v>0</v>
      </c>
      <c r="AD104" s="135">
        <v>0</v>
      </c>
      <c r="AE104" s="136">
        <v>0</v>
      </c>
    </row>
    <row r="105" spans="4:53" x14ac:dyDescent="0.35">
      <c r="O105" s="125" t="s">
        <v>100</v>
      </c>
      <c r="P105" s="134">
        <v>60</v>
      </c>
      <c r="Q105" s="135">
        <v>62.977142860000001</v>
      </c>
      <c r="R105" s="135">
        <v>120</v>
      </c>
      <c r="S105" s="135">
        <v>100.15</v>
      </c>
      <c r="T105" s="136">
        <v>59.999999400000007</v>
      </c>
      <c r="V105" s="134">
        <v>1</v>
      </c>
      <c r="W105" s="135">
        <v>1</v>
      </c>
      <c r="X105" s="135">
        <v>1</v>
      </c>
      <c r="Y105" s="135">
        <v>1</v>
      </c>
      <c r="Z105" s="135">
        <v>1</v>
      </c>
      <c r="AA105" s="135">
        <v>1</v>
      </c>
      <c r="AB105" s="135">
        <v>1</v>
      </c>
      <c r="AC105" s="135">
        <v>0</v>
      </c>
      <c r="AD105" s="135">
        <v>0</v>
      </c>
      <c r="AE105" s="136">
        <v>0</v>
      </c>
    </row>
    <row r="106" spans="4:53" x14ac:dyDescent="0.35">
      <c r="O106" s="125" t="s">
        <v>101</v>
      </c>
      <c r="P106" s="134">
        <v>60</v>
      </c>
      <c r="Q106" s="135">
        <v>85.477142860000001</v>
      </c>
      <c r="R106" s="135">
        <v>115</v>
      </c>
      <c r="S106" s="135">
        <v>128.27500000000001</v>
      </c>
      <c r="T106" s="136">
        <v>59.999999400000007</v>
      </c>
      <c r="V106" s="134">
        <v>1</v>
      </c>
      <c r="W106" s="135">
        <v>1</v>
      </c>
      <c r="X106" s="135">
        <v>1</v>
      </c>
      <c r="Y106" s="135">
        <v>1</v>
      </c>
      <c r="Z106" s="135">
        <v>1</v>
      </c>
      <c r="AA106" s="135">
        <v>1</v>
      </c>
      <c r="AB106" s="135">
        <v>1</v>
      </c>
      <c r="AC106" s="135">
        <v>1</v>
      </c>
      <c r="AD106" s="135">
        <v>0</v>
      </c>
      <c r="AE106" s="136">
        <v>0</v>
      </c>
    </row>
    <row r="107" spans="4:53" x14ac:dyDescent="0.35">
      <c r="O107" s="125" t="s">
        <v>102</v>
      </c>
      <c r="P107" s="134">
        <v>60</v>
      </c>
      <c r="Q107" s="135">
        <v>107.97714286</v>
      </c>
      <c r="R107" s="135">
        <v>110</v>
      </c>
      <c r="S107" s="135">
        <v>156.4</v>
      </c>
      <c r="T107" s="136">
        <v>59.999999400000007</v>
      </c>
      <c r="V107" s="134">
        <v>1</v>
      </c>
      <c r="W107" s="135">
        <v>1</v>
      </c>
      <c r="X107" s="135">
        <v>1</v>
      </c>
      <c r="Y107" s="135">
        <v>1</v>
      </c>
      <c r="Z107" s="135">
        <v>1</v>
      </c>
      <c r="AA107" s="135">
        <v>1</v>
      </c>
      <c r="AB107" s="135">
        <v>1</v>
      </c>
      <c r="AC107" s="135">
        <v>1</v>
      </c>
      <c r="AD107" s="135">
        <v>1</v>
      </c>
      <c r="AE107" s="136">
        <v>0</v>
      </c>
    </row>
    <row r="108" spans="4:53" x14ac:dyDescent="0.35">
      <c r="O108" s="125" t="s">
        <v>103</v>
      </c>
      <c r="P108" s="138">
        <v>60</v>
      </c>
      <c r="Q108" s="139">
        <v>130.47714286000001</v>
      </c>
      <c r="R108" s="139">
        <v>105</v>
      </c>
      <c r="S108" s="139">
        <v>184.52500000000001</v>
      </c>
      <c r="T108" s="140">
        <v>59.999999400000007</v>
      </c>
      <c r="V108" s="138">
        <v>1</v>
      </c>
      <c r="W108" s="139">
        <v>1</v>
      </c>
      <c r="X108" s="139">
        <v>1</v>
      </c>
      <c r="Y108" s="139">
        <v>1</v>
      </c>
      <c r="Z108" s="139">
        <v>1</v>
      </c>
      <c r="AA108" s="139">
        <v>1</v>
      </c>
      <c r="AB108" s="139">
        <v>1</v>
      </c>
      <c r="AC108" s="139">
        <v>1</v>
      </c>
      <c r="AD108" s="139">
        <v>1</v>
      </c>
      <c r="AE108" s="140">
        <v>1</v>
      </c>
    </row>
    <row r="110" spans="4:53" x14ac:dyDescent="0.35">
      <c r="V110" s="125" t="s">
        <v>24</v>
      </c>
      <c r="W110" s="125" t="s">
        <v>25</v>
      </c>
      <c r="X110" s="125" t="s">
        <v>26</v>
      </c>
      <c r="Y110" s="125" t="s">
        <v>27</v>
      </c>
      <c r="Z110" s="125" t="s">
        <v>28</v>
      </c>
    </row>
    <row r="111" spans="4:53" x14ac:dyDescent="0.35">
      <c r="P111" s="125" t="s">
        <v>125</v>
      </c>
      <c r="V111" s="125" t="s">
        <v>126</v>
      </c>
      <c r="AC111" s="125" t="s">
        <v>128</v>
      </c>
    </row>
    <row r="112" spans="4:53" x14ac:dyDescent="0.35">
      <c r="D112" s="125" t="s">
        <v>136</v>
      </c>
      <c r="E112" s="125" t="s">
        <v>39</v>
      </c>
      <c r="G112" s="3"/>
      <c r="O112" s="125" t="s">
        <v>72</v>
      </c>
      <c r="P112" s="235" cm="1">
        <f t="array" ref="P112:T121">($P$18:$T$18*P25:T34) * AC112:AC121</f>
        <v>1664.3550582524272</v>
      </c>
      <c r="Q112" s="114">
        <v>1509.0152621359225</v>
      </c>
      <c r="R112" s="114">
        <v>0</v>
      </c>
      <c r="S112" s="114">
        <v>108.73786407766991</v>
      </c>
      <c r="T112" s="115">
        <v>437.33053398058257</v>
      </c>
      <c r="U112" s="135"/>
      <c r="V112" s="113" cm="1">
        <f t="array" ref="V112:Z121">($P$19:$T$19*P99:T108) * AC112:AC121</f>
        <v>0</v>
      </c>
      <c r="W112" s="131">
        <v>0</v>
      </c>
      <c r="X112" s="131">
        <v>2912621.3592233011</v>
      </c>
      <c r="Y112" s="131">
        <v>2038834.9514563107</v>
      </c>
      <c r="Z112" s="132">
        <v>0</v>
      </c>
      <c r="AB112" s="236" t="s">
        <v>72</v>
      </c>
      <c r="AC112" s="230">
        <f xml:space="preserve"> 1/(1+$P$49)^COUNTA($O$112:$O112)</f>
        <v>0.970873786407767</v>
      </c>
    </row>
    <row r="113" spans="4:31" x14ac:dyDescent="0.35">
      <c r="O113" s="125" t="s">
        <v>73</v>
      </c>
      <c r="P113" s="116">
        <v>1615.8786973324534</v>
      </c>
      <c r="Q113" s="117">
        <v>1314.2480158356113</v>
      </c>
      <c r="R113" s="117">
        <v>0</v>
      </c>
      <c r="S113" s="117">
        <v>98.029974549910449</v>
      </c>
      <c r="T113" s="118">
        <v>1674.7825431237629</v>
      </c>
      <c r="U113" s="135"/>
      <c r="V113" s="134">
        <v>0</v>
      </c>
      <c r="W113" s="135">
        <v>0</v>
      </c>
      <c r="X113" s="135">
        <v>2733528.1364878877</v>
      </c>
      <c r="Y113" s="135">
        <v>1838062.022810821</v>
      </c>
      <c r="Z113" s="136">
        <v>0</v>
      </c>
      <c r="AB113" s="236" t="s">
        <v>73</v>
      </c>
      <c r="AC113" s="231">
        <f xml:space="preserve"> 1/(1+$P$49)^COUNTA($O$112:$O113)</f>
        <v>0.94259590913375435</v>
      </c>
    </row>
    <row r="114" spans="4:31" x14ac:dyDescent="0.35">
      <c r="O114" s="125" t="s">
        <v>74</v>
      </c>
      <c r="P114" s="116">
        <v>1568.8142692548092</v>
      </c>
      <c r="Q114" s="117">
        <v>1129.5462819167094</v>
      </c>
      <c r="R114" s="117">
        <v>0</v>
      </c>
      <c r="S114" s="117">
        <v>87.853599297903315</v>
      </c>
      <c r="T114" s="118">
        <v>2839.7789200779334</v>
      </c>
      <c r="U114" s="135"/>
      <c r="V114" s="134">
        <v>0</v>
      </c>
      <c r="W114" s="135">
        <v>0</v>
      </c>
      <c r="X114" s="135">
        <v>2562396.6461888468</v>
      </c>
      <c r="Y114" s="135">
        <v>1647254.9868356872</v>
      </c>
      <c r="Z114" s="136">
        <v>0</v>
      </c>
      <c r="AB114" s="236" t="s">
        <v>74</v>
      </c>
      <c r="AC114" s="231">
        <f xml:space="preserve"> 1/(1+$P$49)^COUNTA($O$112:$O114)</f>
        <v>0.91514165935315961</v>
      </c>
    </row>
    <row r="115" spans="4:31" x14ac:dyDescent="0.35">
      <c r="O115" s="125" t="s">
        <v>75</v>
      </c>
      <c r="P115" s="116">
        <v>1523.1206497619507</v>
      </c>
      <c r="Q115" s="117">
        <v>954.48894798078049</v>
      </c>
      <c r="R115" s="117">
        <v>0</v>
      </c>
      <c r="S115" s="117">
        <v>78.186860216580627</v>
      </c>
      <c r="T115" s="118">
        <v>3935.4906515569614</v>
      </c>
      <c r="U115" s="135"/>
      <c r="V115" s="134">
        <v>0</v>
      </c>
      <c r="W115" s="135">
        <v>0</v>
      </c>
      <c r="X115" s="135">
        <v>2398915.0293723601</v>
      </c>
      <c r="Y115" s="135">
        <v>1466003.6290608868</v>
      </c>
      <c r="Z115" s="136">
        <v>0</v>
      </c>
      <c r="AB115" s="236" t="s">
        <v>75</v>
      </c>
      <c r="AC115" s="231">
        <f xml:space="preserve"> 1/(1+$P$49)^COUNTA($O$112:$O115)</f>
        <v>0.888487047915689</v>
      </c>
    </row>
    <row r="116" spans="4:31" x14ac:dyDescent="0.35">
      <c r="O116" s="125" t="s">
        <v>76</v>
      </c>
      <c r="P116" s="116">
        <v>1478.7579123902435</v>
      </c>
      <c r="Q116" s="117">
        <v>788.67089350900028</v>
      </c>
      <c r="R116" s="117">
        <v>0</v>
      </c>
      <c r="S116" s="117">
        <v>69.008702750733136</v>
      </c>
      <c r="T116" s="118">
        <v>4964.9655138501021</v>
      </c>
      <c r="U116" s="135"/>
      <c r="V116" s="134">
        <v>0</v>
      </c>
      <c r="W116" s="135">
        <v>0</v>
      </c>
      <c r="X116" s="135">
        <v>2242782.8393988265</v>
      </c>
      <c r="Y116" s="135">
        <v>1293913.1765762463</v>
      </c>
      <c r="Z116" s="136">
        <v>0</v>
      </c>
      <c r="AB116" s="236" t="s">
        <v>76</v>
      </c>
      <c r="AC116" s="231">
        <f xml:space="preserve"> 1/(1+$P$49)^COUNTA($O$112:$O116)</f>
        <v>0.86260878438416411</v>
      </c>
    </row>
    <row r="117" spans="4:31" x14ac:dyDescent="0.35">
      <c r="O117" s="125" t="s">
        <v>99</v>
      </c>
      <c r="P117" s="116">
        <v>1435.6872935827607</v>
      </c>
      <c r="Q117" s="117">
        <v>1355.9588007213194</v>
      </c>
      <c r="R117" s="117">
        <v>0</v>
      </c>
      <c r="S117" s="117">
        <v>96.511685740224337</v>
      </c>
      <c r="T117" s="118">
        <v>5024.9055401019268</v>
      </c>
      <c r="U117" s="135"/>
      <c r="V117" s="134">
        <v>0</v>
      </c>
      <c r="W117" s="135">
        <v>0</v>
      </c>
      <c r="X117" s="135">
        <v>2093710.6417091361</v>
      </c>
      <c r="Y117" s="135">
        <v>1809594.1076292063</v>
      </c>
      <c r="Z117" s="136">
        <v>0</v>
      </c>
      <c r="AB117" s="236" t="s">
        <v>99</v>
      </c>
      <c r="AC117" s="231">
        <f xml:space="preserve"> 1/(1+$P$49)^COUNTA($O$112:$O117)</f>
        <v>0.83748425668365445</v>
      </c>
    </row>
    <row r="118" spans="4:31" x14ac:dyDescent="0.35">
      <c r="O118" s="125" t="s">
        <v>100</v>
      </c>
      <c r="P118" s="116">
        <v>1393.8711588182141</v>
      </c>
      <c r="Q118" s="117">
        <v>2048.2472152782607</v>
      </c>
      <c r="R118" s="117">
        <v>0</v>
      </c>
      <c r="S118" s="117">
        <v>130.28978377765901</v>
      </c>
      <c r="T118" s="118">
        <v>4878.5490680601224</v>
      </c>
      <c r="U118" s="135"/>
      <c r="V118" s="134">
        <v>0</v>
      </c>
      <c r="W118" s="135">
        <v>0</v>
      </c>
      <c r="X118" s="135">
        <v>1951419.6272240491</v>
      </c>
      <c r="Y118" s="135">
        <v>2442933.4458311065</v>
      </c>
      <c r="Z118" s="136">
        <v>0</v>
      </c>
      <c r="AB118" s="236" t="s">
        <v>100</v>
      </c>
      <c r="AC118" s="231">
        <f xml:space="preserve"> 1/(1+$P$49)^COUNTA($O$112:$O118)</f>
        <v>0.81309151134335378</v>
      </c>
    </row>
    <row r="119" spans="4:31" x14ac:dyDescent="0.35">
      <c r="O119" s="125" t="s">
        <v>101</v>
      </c>
      <c r="P119" s="116">
        <v>1353.2729697264215</v>
      </c>
      <c r="Q119" s="117">
        <v>2699.0578402789115</v>
      </c>
      <c r="R119" s="117">
        <v>0</v>
      </c>
      <c r="S119" s="117">
        <v>162.01835125059219</v>
      </c>
      <c r="T119" s="118">
        <v>4736.4554058836147</v>
      </c>
      <c r="U119" s="135"/>
      <c r="V119" s="134">
        <v>0</v>
      </c>
      <c r="W119" s="135">
        <v>0</v>
      </c>
      <c r="X119" s="135">
        <v>1815641.2389220521</v>
      </c>
      <c r="Y119" s="135">
        <v>3037844.0859486032</v>
      </c>
      <c r="Z119" s="136">
        <v>0</v>
      </c>
      <c r="AB119" s="236" t="s">
        <v>101</v>
      </c>
      <c r="AC119" s="231">
        <f xml:space="preserve"> 1/(1+$P$49)^COUNTA($O$112:$O119)</f>
        <v>0.78940923431393573</v>
      </c>
    </row>
    <row r="120" spans="4:31" x14ac:dyDescent="0.35">
      <c r="O120" s="125" t="s">
        <v>102</v>
      </c>
      <c r="P120" s="116">
        <v>1313.8572521615745</v>
      </c>
      <c r="Q120" s="117">
        <v>3310.2194722644135</v>
      </c>
      <c r="R120" s="117">
        <v>0</v>
      </c>
      <c r="S120" s="117">
        <v>191.78812310166921</v>
      </c>
      <c r="T120" s="118">
        <v>4598.5003940617617</v>
      </c>
      <c r="U120" s="135"/>
      <c r="V120" s="134">
        <v>0</v>
      </c>
      <c r="W120" s="135">
        <v>0</v>
      </c>
      <c r="X120" s="135">
        <v>1686116.8111559793</v>
      </c>
      <c r="Y120" s="135">
        <v>3596027.3081562975</v>
      </c>
      <c r="Z120" s="136">
        <v>0</v>
      </c>
      <c r="AB120" s="236" t="s">
        <v>102</v>
      </c>
      <c r="AC120" s="231">
        <f xml:space="preserve"> 1/(1+$P$49)^COUNTA($O$112:$O120)</f>
        <v>0.76641673234362695</v>
      </c>
    </row>
    <row r="121" spans="4:31" x14ac:dyDescent="0.35">
      <c r="O121" s="125" t="s">
        <v>103</v>
      </c>
      <c r="P121" s="119">
        <v>1275.5895652054119</v>
      </c>
      <c r="Q121" s="4">
        <v>3883.4898362851231</v>
      </c>
      <c r="R121" s="4">
        <v>0</v>
      </c>
      <c r="S121" s="4">
        <v>219.68628743410915</v>
      </c>
      <c r="T121" s="120">
        <v>4464.5634893803508</v>
      </c>
      <c r="U121" s="135"/>
      <c r="V121" s="138">
        <v>0</v>
      </c>
      <c r="W121" s="139">
        <v>0</v>
      </c>
      <c r="X121" s="139">
        <v>1562597.2212831229</v>
      </c>
      <c r="Y121" s="139">
        <v>4119117.8893895461</v>
      </c>
      <c r="Z121" s="140">
        <v>0</v>
      </c>
      <c r="AB121" s="236" t="s">
        <v>103</v>
      </c>
      <c r="AC121" s="232">
        <f xml:space="preserve"> 1/(1+$P$49)^COUNTA($O$112:$O121)</f>
        <v>0.74409391489672516</v>
      </c>
    </row>
    <row r="123" spans="4:31" x14ac:dyDescent="0.35">
      <c r="P123" s="125" t="s">
        <v>127</v>
      </c>
    </row>
    <row r="124" spans="4:31" x14ac:dyDescent="0.35">
      <c r="D124" s="125" t="s">
        <v>78</v>
      </c>
      <c r="E124" s="125" t="s">
        <v>39</v>
      </c>
      <c r="O124" s="125" t="s">
        <v>72</v>
      </c>
      <c r="P124" s="234" cm="1">
        <f t="array" ref="P124:T133">($P$20:$T$20*P66:T75) * AC112:AC121</f>
        <v>0</v>
      </c>
      <c r="Q124" s="238">
        <v>0</v>
      </c>
      <c r="R124" s="238">
        <v>0</v>
      </c>
      <c r="S124" s="238">
        <v>0</v>
      </c>
      <c r="T124" s="239">
        <v>0</v>
      </c>
      <c r="V124" s="219"/>
      <c r="W124" s="219"/>
      <c r="X124" s="219"/>
      <c r="Y124" s="219"/>
      <c r="Z124" s="219"/>
      <c r="AE124" s="227"/>
    </row>
    <row r="125" spans="4:31" x14ac:dyDescent="0.35">
      <c r="O125" s="125" t="s">
        <v>73</v>
      </c>
      <c r="P125" s="240">
        <v>0</v>
      </c>
      <c r="Q125" s="241">
        <v>0</v>
      </c>
      <c r="R125" s="241">
        <v>0</v>
      </c>
      <c r="S125" s="241">
        <v>0</v>
      </c>
      <c r="T125" s="242">
        <v>2429614.0069752098</v>
      </c>
      <c r="V125" s="219"/>
      <c r="W125" s="219"/>
      <c r="X125" s="219"/>
      <c r="Y125" s="219"/>
      <c r="Z125" s="219"/>
      <c r="AE125" s="227"/>
    </row>
    <row r="126" spans="4:31" x14ac:dyDescent="0.35">
      <c r="O126" s="125" t="s">
        <v>74</v>
      </c>
      <c r="P126" s="240">
        <v>0</v>
      </c>
      <c r="Q126" s="241">
        <v>0</v>
      </c>
      <c r="R126" s="241">
        <v>0</v>
      </c>
      <c r="S126" s="241">
        <v>0</v>
      </c>
      <c r="T126" s="242">
        <v>30344411.275643416</v>
      </c>
      <c r="V126" s="219"/>
      <c r="W126" s="219"/>
      <c r="X126" s="219"/>
      <c r="Y126" s="219"/>
      <c r="Z126" s="219"/>
      <c r="AE126" s="227"/>
    </row>
    <row r="127" spans="4:31" x14ac:dyDescent="0.35">
      <c r="O127" s="125" t="s">
        <v>75</v>
      </c>
      <c r="P127" s="240">
        <v>0</v>
      </c>
      <c r="Q127" s="241">
        <v>0</v>
      </c>
      <c r="R127" s="241">
        <v>0</v>
      </c>
      <c r="S127" s="241">
        <v>36017043.704882242</v>
      </c>
      <c r="T127" s="242">
        <v>29460593.471498463</v>
      </c>
      <c r="V127" s="219"/>
      <c r="W127" s="219"/>
      <c r="X127" s="219"/>
      <c r="Y127" s="219"/>
      <c r="Z127" s="219"/>
      <c r="AE127" s="227"/>
    </row>
    <row r="128" spans="4:31" x14ac:dyDescent="0.35">
      <c r="O128" s="125" t="s">
        <v>76</v>
      </c>
      <c r="P128" s="240">
        <v>0</v>
      </c>
      <c r="Q128" s="241">
        <v>4.1158762244218341E-5</v>
      </c>
      <c r="R128" s="241">
        <v>0</v>
      </c>
      <c r="S128" s="241">
        <v>42860873.974088155</v>
      </c>
      <c r="T128" s="242">
        <v>5267180.6739808507</v>
      </c>
      <c r="V128" s="219"/>
      <c r="W128" s="219"/>
      <c r="X128" s="219"/>
      <c r="Y128" s="219"/>
      <c r="Z128" s="219"/>
      <c r="AE128" s="227"/>
    </row>
    <row r="129" spans="15:31" x14ac:dyDescent="0.35">
      <c r="O129" s="125" t="s">
        <v>99</v>
      </c>
      <c r="P129" s="240">
        <v>0</v>
      </c>
      <c r="Q129" s="241">
        <v>1.8843395775382228E-3</v>
      </c>
      <c r="R129" s="241">
        <v>0</v>
      </c>
      <c r="S129" s="241">
        <v>41612499.003969081</v>
      </c>
      <c r="T129" s="242">
        <v>0</v>
      </c>
      <c r="V129" s="219"/>
      <c r="W129" s="219"/>
      <c r="X129" s="219"/>
      <c r="Y129" s="219"/>
      <c r="Z129" s="219"/>
      <c r="AE129" s="227"/>
    </row>
    <row r="130" spans="15:31" x14ac:dyDescent="0.35">
      <c r="O130" s="125" t="s">
        <v>100</v>
      </c>
      <c r="P130" s="240">
        <v>0</v>
      </c>
      <c r="Q130" s="241">
        <v>1.8294559005225463E-3</v>
      </c>
      <c r="R130" s="241">
        <v>0</v>
      </c>
      <c r="S130" s="241">
        <v>40400484.469872892</v>
      </c>
      <c r="T130" s="242">
        <v>0</v>
      </c>
      <c r="V130" s="219"/>
      <c r="W130" s="219"/>
      <c r="X130" s="219"/>
      <c r="Y130" s="219"/>
      <c r="Z130" s="219"/>
      <c r="AE130" s="227"/>
    </row>
    <row r="131" spans="15:31" x14ac:dyDescent="0.35">
      <c r="O131" s="125" t="s">
        <v>101</v>
      </c>
      <c r="P131" s="240">
        <v>0</v>
      </c>
      <c r="Q131" s="241">
        <v>1.7761707772063556E-3</v>
      </c>
      <c r="R131" s="241">
        <v>0</v>
      </c>
      <c r="S131" s="241">
        <v>39223771.329973683</v>
      </c>
      <c r="T131" s="242">
        <v>0</v>
      </c>
      <c r="V131" s="219"/>
      <c r="W131" s="219"/>
      <c r="X131" s="219"/>
      <c r="Y131" s="219"/>
      <c r="Z131" s="219"/>
      <c r="AE131" s="227"/>
    </row>
    <row r="132" spans="15:31" x14ac:dyDescent="0.35">
      <c r="O132" s="125" t="s">
        <v>102</v>
      </c>
      <c r="P132" s="240">
        <v>0</v>
      </c>
      <c r="Q132" s="241">
        <v>1.7244376477731607E-3</v>
      </c>
      <c r="R132" s="241">
        <v>0</v>
      </c>
      <c r="S132" s="241">
        <v>0</v>
      </c>
      <c r="T132" s="242">
        <v>0</v>
      </c>
      <c r="V132" s="219"/>
      <c r="W132" s="219"/>
      <c r="X132" s="219"/>
      <c r="Y132" s="219"/>
      <c r="Z132" s="219"/>
      <c r="AE132" s="227"/>
    </row>
    <row r="133" spans="15:31" x14ac:dyDescent="0.35">
      <c r="O133" s="125" t="s">
        <v>103</v>
      </c>
      <c r="P133" s="243">
        <v>0</v>
      </c>
      <c r="Q133" s="244">
        <v>0</v>
      </c>
      <c r="R133" s="244">
        <v>0</v>
      </c>
      <c r="S133" s="244">
        <v>0</v>
      </c>
      <c r="T133" s="245">
        <v>0</v>
      </c>
      <c r="V133" s="219"/>
      <c r="W133" s="219"/>
      <c r="X133" s="219"/>
      <c r="Y133" s="219"/>
      <c r="Z133" s="219"/>
      <c r="AE133" s="227"/>
    </row>
    <row r="134" spans="15:31" x14ac:dyDescent="0.35">
      <c r="V134" s="135"/>
      <c r="W134" s="135"/>
      <c r="X134" s="135"/>
      <c r="Y134" s="135"/>
      <c r="Z134" s="135"/>
      <c r="AE134" s="227"/>
    </row>
    <row r="135" spans="15:31" x14ac:dyDescent="0.35">
      <c r="AE135" s="22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0724-045E-4D8F-BCCC-F25A31CADD2C}">
  <dimension ref="A1:BA184"/>
  <sheetViews>
    <sheetView tabSelected="1" zoomScale="85" zoomScaleNormal="85" workbookViewId="0">
      <pane xSplit="5" ySplit="8" topLeftCell="F23" activePane="bottomRight" state="frozen"/>
      <selection pane="topRight" activeCell="F1" sqref="F1"/>
      <selection pane="bottomLeft" activeCell="A9" sqref="A9"/>
      <selection pane="bottomRight" activeCell="U35" sqref="U35"/>
    </sheetView>
  </sheetViews>
  <sheetFormatPr defaultRowHeight="14.5" x14ac:dyDescent="0.35"/>
  <cols>
    <col min="1" max="2" width="8.7265625" style="125"/>
    <col min="3" max="3" width="16.26953125" style="125" bestFit="1" customWidth="1"/>
    <col min="4" max="4" width="18" style="125" customWidth="1"/>
    <col min="5" max="6" width="8.7265625" style="125"/>
    <col min="7" max="7" width="10" style="125" customWidth="1"/>
    <col min="8" max="8" width="5.7265625" style="125" customWidth="1"/>
    <col min="9" max="9" width="6.6328125" style="125" bestFit="1" customWidth="1"/>
    <col min="10" max="14" width="4.7265625" style="125" customWidth="1"/>
    <col min="15" max="15" width="8.7265625" style="125"/>
    <col min="16" max="16" width="9.1796875" style="125" bestFit="1" customWidth="1"/>
    <col min="17" max="17" width="9.1796875" style="125" customWidth="1"/>
    <col min="18" max="18" width="12.6328125" style="125" customWidth="1"/>
    <col min="19" max="19" width="11.6328125" style="125" customWidth="1"/>
    <col min="20" max="20" width="10.81640625" style="125" bestFit="1" customWidth="1"/>
    <col min="21" max="21" width="8.7265625" style="125"/>
    <col min="22" max="22" width="9.90625" style="125" customWidth="1"/>
    <col min="23" max="24" width="12" style="125" customWidth="1"/>
    <col min="25" max="25" width="12.453125" style="125" customWidth="1"/>
    <col min="26" max="27" width="8" style="125" bestFit="1" customWidth="1"/>
    <col min="28" max="28" width="13.54296875" style="125" customWidth="1"/>
    <col min="29" max="29" width="13.6328125" style="125" bestFit="1" customWidth="1"/>
    <col min="30" max="30" width="10.81640625" style="125" customWidth="1"/>
    <col min="31" max="31" width="11.36328125" style="125" customWidth="1"/>
    <col min="32" max="32" width="8.7265625" style="125"/>
    <col min="33" max="33" width="16.1796875" style="125" customWidth="1"/>
    <col min="34" max="34" width="12.54296875" style="125" bestFit="1" customWidth="1"/>
    <col min="35" max="35" width="9.08984375" style="125" bestFit="1" customWidth="1"/>
    <col min="36" max="36" width="8.36328125" style="125" customWidth="1"/>
    <col min="37" max="37" width="4.90625" style="125" bestFit="1" customWidth="1"/>
    <col min="38" max="39" width="4.7265625" style="125" bestFit="1" customWidth="1"/>
    <col min="40" max="40" width="7.54296875" style="125" customWidth="1"/>
    <col min="41" max="41" width="4.90625" style="125" bestFit="1" customWidth="1"/>
    <col min="42" max="42" width="5.7265625" style="125" bestFit="1" customWidth="1"/>
    <col min="43" max="16384" width="8.7265625" style="125"/>
  </cols>
  <sheetData>
    <row r="1" spans="1:53" x14ac:dyDescent="0.35">
      <c r="A1" s="125" t="s">
        <v>56</v>
      </c>
      <c r="C1" s="126" t="s">
        <v>57</v>
      </c>
      <c r="D1" s="126"/>
    </row>
    <row r="2" spans="1:53" x14ac:dyDescent="0.35">
      <c r="C2" s="127" t="s">
        <v>58</v>
      </c>
      <c r="D2" s="127"/>
    </row>
    <row r="3" spans="1:53" x14ac:dyDescent="0.35">
      <c r="C3" s="128" t="s">
        <v>59</v>
      </c>
      <c r="D3" s="128"/>
    </row>
    <row r="4" spans="1:53" x14ac:dyDescent="0.35">
      <c r="A4" s="129" t="s">
        <v>104</v>
      </c>
      <c r="V4" s="125" t="s">
        <v>72</v>
      </c>
      <c r="W4" s="125" t="s">
        <v>73</v>
      </c>
      <c r="X4" s="125" t="s">
        <v>74</v>
      </c>
      <c r="Y4" s="125" t="s">
        <v>75</v>
      </c>
      <c r="Z4" s="125" t="s">
        <v>76</v>
      </c>
      <c r="AA4" s="125" t="s">
        <v>99</v>
      </c>
      <c r="AB4" s="125" t="s">
        <v>100</v>
      </c>
      <c r="AC4" s="125" t="s">
        <v>101</v>
      </c>
      <c r="AD4" s="125" t="s">
        <v>102</v>
      </c>
      <c r="AE4" s="125" t="s">
        <v>103</v>
      </c>
      <c r="AG4" s="125" t="s">
        <v>72</v>
      </c>
      <c r="AH4" s="125" t="s">
        <v>73</v>
      </c>
      <c r="AI4" s="125" t="s">
        <v>74</v>
      </c>
      <c r="AJ4" s="125" t="s">
        <v>75</v>
      </c>
      <c r="AK4" s="125" t="s">
        <v>76</v>
      </c>
      <c r="AL4" s="125" t="s">
        <v>99</v>
      </c>
      <c r="AM4" s="125" t="s">
        <v>100</v>
      </c>
      <c r="AN4" s="125" t="s">
        <v>101</v>
      </c>
      <c r="AO4" s="125" t="s">
        <v>102</v>
      </c>
      <c r="AP4" s="125" t="s">
        <v>103</v>
      </c>
      <c r="AR4" s="125" t="s">
        <v>72</v>
      </c>
      <c r="AS4" s="125" t="s">
        <v>73</v>
      </c>
      <c r="AT4" s="125" t="s">
        <v>74</v>
      </c>
      <c r="AU4" s="125" t="s">
        <v>75</v>
      </c>
      <c r="AV4" s="125" t="s">
        <v>76</v>
      </c>
      <c r="AW4" s="125" t="s">
        <v>99</v>
      </c>
      <c r="AX4" s="125" t="s">
        <v>100</v>
      </c>
      <c r="AY4" s="125" t="s">
        <v>101</v>
      </c>
      <c r="AZ4" s="125" t="s">
        <v>102</v>
      </c>
      <c r="BA4" s="125" t="s">
        <v>103</v>
      </c>
    </row>
    <row r="5" spans="1:53" x14ac:dyDescent="0.35">
      <c r="B5" s="129" t="s">
        <v>1</v>
      </c>
      <c r="C5" s="129"/>
      <c r="D5" s="129"/>
      <c r="E5" s="129"/>
      <c r="G5" s="125" t="s">
        <v>12</v>
      </c>
      <c r="H5" s="125" t="s">
        <v>13</v>
      </c>
      <c r="I5" s="125" t="s">
        <v>14</v>
      </c>
    </row>
    <row r="6" spans="1:53" x14ac:dyDescent="0.35">
      <c r="B6" s="129"/>
      <c r="C6" s="129" t="s">
        <v>66</v>
      </c>
      <c r="D6" s="129"/>
      <c r="E6" s="129"/>
      <c r="J6" s="125" t="s">
        <v>24</v>
      </c>
      <c r="K6" s="125" t="s">
        <v>25</v>
      </c>
      <c r="L6" s="125" t="s">
        <v>26</v>
      </c>
      <c r="M6" s="125" t="s">
        <v>27</v>
      </c>
      <c r="N6" s="125" t="s">
        <v>28</v>
      </c>
      <c r="P6" s="125" t="s">
        <v>24</v>
      </c>
      <c r="Q6" s="125" t="s">
        <v>25</v>
      </c>
      <c r="R6" s="125" t="s">
        <v>26</v>
      </c>
      <c r="S6" s="125" t="s">
        <v>27</v>
      </c>
      <c r="T6" s="125" t="s">
        <v>28</v>
      </c>
    </row>
    <row r="7" spans="1:53" x14ac:dyDescent="0.35">
      <c r="B7" s="129"/>
      <c r="C7" s="129"/>
      <c r="D7" s="129" t="s">
        <v>2</v>
      </c>
      <c r="P7" s="125" t="s">
        <v>111</v>
      </c>
      <c r="Q7" s="125" t="s">
        <v>129</v>
      </c>
      <c r="R7" s="125" t="s">
        <v>69</v>
      </c>
      <c r="S7" s="125" t="s">
        <v>70</v>
      </c>
      <c r="T7" s="125" t="s">
        <v>71</v>
      </c>
    </row>
    <row r="8" spans="1:53" x14ac:dyDescent="0.35">
      <c r="B8" s="129"/>
      <c r="C8" s="129"/>
      <c r="D8" s="129"/>
      <c r="E8" s="129" t="s">
        <v>3</v>
      </c>
      <c r="P8" s="125" t="s">
        <v>29</v>
      </c>
      <c r="Q8" s="125" t="s">
        <v>29</v>
      </c>
      <c r="R8" s="125" t="s">
        <v>29</v>
      </c>
      <c r="S8" s="125" t="s">
        <v>29</v>
      </c>
      <c r="T8" s="125" t="s">
        <v>29</v>
      </c>
    </row>
    <row r="9" spans="1:53" x14ac:dyDescent="0.35">
      <c r="J9" s="125" t="s">
        <v>98</v>
      </c>
      <c r="P9" s="125" t="s">
        <v>95</v>
      </c>
      <c r="V9" s="125" t="s">
        <v>34</v>
      </c>
      <c r="AG9" s="125" t="s">
        <v>109</v>
      </c>
    </row>
    <row r="10" spans="1:53" x14ac:dyDescent="0.35">
      <c r="B10" s="125" t="s">
        <v>12</v>
      </c>
      <c r="D10" s="125" t="s">
        <v>4</v>
      </c>
      <c r="E10" s="125" t="s">
        <v>29</v>
      </c>
      <c r="J10" s="163">
        <v>0.7</v>
      </c>
      <c r="K10" s="164">
        <v>0</v>
      </c>
      <c r="L10" s="131">
        <v>0</v>
      </c>
      <c r="M10" s="131">
        <v>0</v>
      </c>
      <c r="N10" s="132">
        <v>0</v>
      </c>
      <c r="P10" s="130">
        <v>0</v>
      </c>
      <c r="Q10" s="131">
        <v>0</v>
      </c>
      <c r="R10" s="131">
        <v>0</v>
      </c>
      <c r="S10" s="131">
        <v>0</v>
      </c>
      <c r="T10" s="132">
        <v>0</v>
      </c>
      <c r="V10" s="133">
        <v>40</v>
      </c>
      <c r="W10" s="133">
        <f>V10</f>
        <v>40</v>
      </c>
      <c r="X10" s="133">
        <f t="shared" ref="X10:AE10" si="0">W10</f>
        <v>40</v>
      </c>
      <c r="Y10" s="133">
        <f t="shared" si="0"/>
        <v>40</v>
      </c>
      <c r="Z10" s="133">
        <f t="shared" si="0"/>
        <v>40</v>
      </c>
      <c r="AA10" s="133">
        <f t="shared" si="0"/>
        <v>40</v>
      </c>
      <c r="AB10" s="133">
        <f t="shared" si="0"/>
        <v>40</v>
      </c>
      <c r="AC10" s="133">
        <f t="shared" si="0"/>
        <v>40</v>
      </c>
      <c r="AD10" s="133">
        <f t="shared" si="0"/>
        <v>40</v>
      </c>
      <c r="AE10" s="133">
        <f t="shared" si="0"/>
        <v>40</v>
      </c>
      <c r="AG10" s="186" cm="1">
        <f t="array" ref="AG10:AP12">TRANSPOSE(G25:I34) - MMULT(P10:T12,TRANSPOSE(P25:T34)) - V10:AE12</f>
        <v>-1.0000000116860974E-7</v>
      </c>
      <c r="AH10" s="187">
        <v>-1.0000000116860974E-7</v>
      </c>
      <c r="AI10" s="187">
        <v>-1.0000000116860974E-7</v>
      </c>
      <c r="AJ10" s="187">
        <v>-1.0000000116860974E-7</v>
      </c>
      <c r="AK10" s="187">
        <v>-1.0000000116860974E-7</v>
      </c>
      <c r="AL10" s="187">
        <v>-1.0000000116860974E-7</v>
      </c>
      <c r="AM10" s="187">
        <v>-1.0000000116860974E-7</v>
      </c>
      <c r="AN10" s="187">
        <v>-1.0000000116860974E-7</v>
      </c>
      <c r="AO10" s="187">
        <v>-1.0000000116860974E-7</v>
      </c>
      <c r="AP10" s="188">
        <v>-1.0000000116860974E-7</v>
      </c>
    </row>
    <row r="11" spans="1:53" x14ac:dyDescent="0.35">
      <c r="B11" s="125" t="s">
        <v>13</v>
      </c>
      <c r="D11" s="125" t="s">
        <v>5</v>
      </c>
      <c r="E11" s="125" t="s">
        <v>29</v>
      </c>
      <c r="J11" s="122">
        <f>1-J10</f>
        <v>0.30000000000000004</v>
      </c>
      <c r="K11" s="123">
        <v>1</v>
      </c>
      <c r="L11" s="135">
        <v>0</v>
      </c>
      <c r="M11" s="135">
        <v>0</v>
      </c>
      <c r="N11" s="136">
        <v>0</v>
      </c>
      <c r="P11" s="134">
        <v>0</v>
      </c>
      <c r="Q11" s="135">
        <v>0</v>
      </c>
      <c r="R11" s="135">
        <v>0</v>
      </c>
      <c r="S11" s="135">
        <v>2</v>
      </c>
      <c r="T11" s="136">
        <v>0</v>
      </c>
      <c r="V11" s="137">
        <v>0</v>
      </c>
      <c r="W11" s="137">
        <v>0</v>
      </c>
      <c r="X11" s="137">
        <v>0</v>
      </c>
      <c r="Y11" s="137">
        <v>0</v>
      </c>
      <c r="Z11" s="137">
        <v>0</v>
      </c>
      <c r="AA11" s="137">
        <v>0</v>
      </c>
      <c r="AB11" s="137">
        <v>0</v>
      </c>
      <c r="AC11" s="137">
        <v>0</v>
      </c>
      <c r="AD11" s="137">
        <v>0</v>
      </c>
      <c r="AE11" s="137">
        <v>0</v>
      </c>
      <c r="AG11" s="189">
        <v>1.000000082740371E-7</v>
      </c>
      <c r="AH11" s="190">
        <v>1.000000082740371E-7</v>
      </c>
      <c r="AI11" s="190">
        <v>1.000000082740371E-7</v>
      </c>
      <c r="AJ11" s="190">
        <v>1.000000082740371E-7</v>
      </c>
      <c r="AK11" s="190">
        <v>1.000000082740371E-7</v>
      </c>
      <c r="AL11" s="190">
        <v>1.0000000116860974E-7</v>
      </c>
      <c r="AM11" s="190">
        <v>9.9999994063182385E-8</v>
      </c>
      <c r="AN11" s="190">
        <v>9.9999994063182385E-8</v>
      </c>
      <c r="AO11" s="190">
        <v>9.9999994063182385E-8</v>
      </c>
      <c r="AP11" s="191">
        <v>9.9999994063182385E-8</v>
      </c>
    </row>
    <row r="12" spans="1:53" x14ac:dyDescent="0.35">
      <c r="B12" s="125" t="s">
        <v>14</v>
      </c>
      <c r="D12" s="125" t="s">
        <v>7</v>
      </c>
      <c r="E12" s="125" t="s">
        <v>29</v>
      </c>
      <c r="J12" s="138">
        <v>0</v>
      </c>
      <c r="K12" s="139">
        <v>0</v>
      </c>
      <c r="L12" s="139">
        <v>1</v>
      </c>
      <c r="M12" s="139">
        <v>1</v>
      </c>
      <c r="N12" s="140">
        <v>1</v>
      </c>
      <c r="P12" s="138">
        <v>0</v>
      </c>
      <c r="Q12" s="139">
        <v>0</v>
      </c>
      <c r="R12" s="139">
        <v>0</v>
      </c>
      <c r="S12" s="139">
        <v>0</v>
      </c>
      <c r="T12" s="112">
        <v>1E-3</v>
      </c>
      <c r="V12" s="141">
        <v>70</v>
      </c>
      <c r="W12" s="141">
        <f>V12+10</f>
        <v>80</v>
      </c>
      <c r="X12" s="141">
        <f t="shared" ref="X12:AE12" si="1">W12+10</f>
        <v>90</v>
      </c>
      <c r="Y12" s="141">
        <f t="shared" si="1"/>
        <v>100</v>
      </c>
      <c r="Z12" s="141">
        <f t="shared" si="1"/>
        <v>110</v>
      </c>
      <c r="AA12" s="141">
        <f t="shared" si="1"/>
        <v>120</v>
      </c>
      <c r="AB12" s="141">
        <f t="shared" si="1"/>
        <v>130</v>
      </c>
      <c r="AC12" s="141">
        <f t="shared" si="1"/>
        <v>140</v>
      </c>
      <c r="AD12" s="141">
        <f t="shared" si="1"/>
        <v>150</v>
      </c>
      <c r="AE12" s="141">
        <f t="shared" si="1"/>
        <v>160</v>
      </c>
      <c r="AG12" s="192">
        <v>-4.5000092541158665E-9</v>
      </c>
      <c r="AH12" s="193">
        <v>2.3200000498491136E-7</v>
      </c>
      <c r="AI12" s="193">
        <v>-3.0999999012237822E-8</v>
      </c>
      <c r="AJ12" s="193">
        <v>-2.9399998879853229E-7</v>
      </c>
      <c r="AK12" s="193">
        <v>4.4200000104410719E-7</v>
      </c>
      <c r="AL12" s="193">
        <v>0</v>
      </c>
      <c r="AM12" s="193">
        <v>0</v>
      </c>
      <c r="AN12" s="193">
        <v>0</v>
      </c>
      <c r="AO12" s="193">
        <v>0</v>
      </c>
      <c r="AP12" s="194">
        <v>0</v>
      </c>
    </row>
    <row r="13" spans="1:53" x14ac:dyDescent="0.35">
      <c r="G13" s="125" t="s">
        <v>96</v>
      </c>
      <c r="P13" s="125" t="s">
        <v>97</v>
      </c>
      <c r="V13" s="125" t="s">
        <v>107</v>
      </c>
    </row>
    <row r="14" spans="1:53" ht="15" customHeight="1" x14ac:dyDescent="0.35">
      <c r="C14" s="125" t="s">
        <v>24</v>
      </c>
      <c r="D14" s="125" t="s">
        <v>67</v>
      </c>
      <c r="E14" s="125" t="s">
        <v>29</v>
      </c>
      <c r="G14" s="130">
        <v>1</v>
      </c>
      <c r="H14" s="131">
        <v>1</v>
      </c>
      <c r="I14" s="132">
        <v>0</v>
      </c>
      <c r="J14" s="135"/>
      <c r="K14" s="135"/>
      <c r="L14" s="135"/>
      <c r="M14" s="135"/>
      <c r="N14" s="135"/>
      <c r="P14" s="172">
        <v>1</v>
      </c>
      <c r="Q14" s="173">
        <v>0</v>
      </c>
      <c r="R14" s="173">
        <v>0</v>
      </c>
      <c r="S14" s="173">
        <v>0</v>
      </c>
      <c r="T14" s="174">
        <v>0</v>
      </c>
      <c r="V14" s="113" cm="1">
        <f t="array" ref="V14:AE16">MMULT(P14:T16,TRANSPOSE(P25:T34))</f>
        <v>57.142856999999999</v>
      </c>
      <c r="W14" s="114">
        <v>57.142856999999999</v>
      </c>
      <c r="X14" s="114">
        <v>57.142856999999999</v>
      </c>
      <c r="Y14" s="114">
        <v>57.142856999999999</v>
      </c>
      <c r="Z14" s="114">
        <v>57.142856999999999</v>
      </c>
      <c r="AA14" s="114">
        <v>57.142856999999999</v>
      </c>
      <c r="AB14" s="114">
        <v>57.142856999999999</v>
      </c>
      <c r="AC14" s="114">
        <v>57.142856999999999</v>
      </c>
      <c r="AD14" s="114">
        <v>57.142856999999999</v>
      </c>
      <c r="AE14" s="115">
        <v>57.142856999999999</v>
      </c>
    </row>
    <row r="15" spans="1:53" ht="15" customHeight="1" x14ac:dyDescent="0.35">
      <c r="C15" s="125" t="s">
        <v>25</v>
      </c>
      <c r="D15" s="125" t="s">
        <v>129</v>
      </c>
      <c r="E15" s="125" t="s">
        <v>29</v>
      </c>
      <c r="G15" s="134">
        <v>0</v>
      </c>
      <c r="H15" s="135">
        <v>1</v>
      </c>
      <c r="I15" s="136">
        <v>0</v>
      </c>
      <c r="J15" s="135"/>
      <c r="K15" s="135"/>
      <c r="L15" s="135"/>
      <c r="M15" s="135"/>
      <c r="N15" s="135"/>
      <c r="P15" s="206">
        <v>0</v>
      </c>
      <c r="Q15" s="207">
        <v>1</v>
      </c>
      <c r="R15" s="207">
        <v>0</v>
      </c>
      <c r="S15" s="207">
        <v>0</v>
      </c>
      <c r="T15" s="208">
        <v>0</v>
      </c>
      <c r="V15" s="116">
        <v>38.857143000000001</v>
      </c>
      <c r="W15" s="117">
        <v>34.857143000000001</v>
      </c>
      <c r="X15" s="117">
        <v>30.857143000000001</v>
      </c>
      <c r="Y15" s="117">
        <v>26.857143000000001</v>
      </c>
      <c r="Z15" s="117">
        <v>22.857143000000001</v>
      </c>
      <c r="AA15" s="117">
        <v>40.477142999999998</v>
      </c>
      <c r="AB15" s="117">
        <v>62.977142999999998</v>
      </c>
      <c r="AC15" s="117">
        <v>85.477142999999998</v>
      </c>
      <c r="AD15" s="117">
        <v>81.477142999999998</v>
      </c>
      <c r="AE15" s="118">
        <v>77.477142999999998</v>
      </c>
    </row>
    <row r="16" spans="1:53" x14ac:dyDescent="0.35">
      <c r="C16" s="125" t="s">
        <v>130</v>
      </c>
      <c r="D16" s="125" t="s">
        <v>68</v>
      </c>
      <c r="E16" s="125" t="s">
        <v>29</v>
      </c>
      <c r="G16" s="138">
        <v>0</v>
      </c>
      <c r="H16" s="139">
        <v>0</v>
      </c>
      <c r="I16" s="140">
        <v>1</v>
      </c>
      <c r="J16" s="135"/>
      <c r="K16" s="135"/>
      <c r="L16" s="135"/>
      <c r="M16" s="135"/>
      <c r="N16" s="135"/>
      <c r="P16" s="175">
        <v>0</v>
      </c>
      <c r="Q16" s="176">
        <v>0</v>
      </c>
      <c r="R16" s="176">
        <v>1</v>
      </c>
      <c r="S16" s="176">
        <v>1</v>
      </c>
      <c r="T16" s="177">
        <v>1</v>
      </c>
      <c r="V16" s="119">
        <v>70.004504499999996</v>
      </c>
      <c r="W16" s="4">
        <v>80.017768000000004</v>
      </c>
      <c r="X16" s="4">
        <v>90.031030999999999</v>
      </c>
      <c r="Y16" s="4">
        <v>100.04429400000001</v>
      </c>
      <c r="Z16" s="4">
        <v>110.057558</v>
      </c>
      <c r="AA16" s="4">
        <v>120.06</v>
      </c>
      <c r="AB16" s="4">
        <v>130.06</v>
      </c>
      <c r="AC16" s="4">
        <v>140.06</v>
      </c>
      <c r="AD16" s="4">
        <v>150.06</v>
      </c>
      <c r="AE16" s="120">
        <v>160.06</v>
      </c>
    </row>
    <row r="17" spans="1:37" x14ac:dyDescent="0.35">
      <c r="W17" s="121"/>
    </row>
    <row r="18" spans="1:37" x14ac:dyDescent="0.35">
      <c r="D18" s="125" t="s">
        <v>38</v>
      </c>
      <c r="E18" s="125" t="s">
        <v>81</v>
      </c>
      <c r="P18" s="178">
        <v>30</v>
      </c>
      <c r="Q18" s="179">
        <v>40</v>
      </c>
      <c r="R18" s="179">
        <v>0</v>
      </c>
      <c r="S18" s="179">
        <v>4</v>
      </c>
      <c r="T18" s="180">
        <v>100</v>
      </c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</row>
    <row r="19" spans="1:37" x14ac:dyDescent="0.35">
      <c r="D19" s="125" t="s">
        <v>77</v>
      </c>
      <c r="E19" s="125" t="s">
        <v>80</v>
      </c>
      <c r="P19" s="181">
        <v>0</v>
      </c>
      <c r="Q19" s="182">
        <v>0</v>
      </c>
      <c r="R19" s="182">
        <f>R20*0.02</f>
        <v>20000</v>
      </c>
      <c r="S19" s="182">
        <f>S20*0.02</f>
        <v>30000</v>
      </c>
      <c r="T19" s="183">
        <v>0</v>
      </c>
    </row>
    <row r="20" spans="1:37" x14ac:dyDescent="0.35">
      <c r="D20" s="125" t="s">
        <v>78</v>
      </c>
      <c r="E20" s="125" t="s">
        <v>79</v>
      </c>
      <c r="P20" s="184">
        <v>500</v>
      </c>
      <c r="Q20" s="185">
        <v>1E-4</v>
      </c>
      <c r="R20" s="185">
        <f>1000*10^3</f>
        <v>1000000</v>
      </c>
      <c r="S20" s="185">
        <f>1500*10^3</f>
        <v>1500000</v>
      </c>
      <c r="T20" s="185">
        <f>2500*10^3</f>
        <v>2500000</v>
      </c>
    </row>
    <row r="21" spans="1:37" x14ac:dyDescent="0.35">
      <c r="P21" s="158"/>
      <c r="Q21" s="158"/>
      <c r="R21" s="158"/>
      <c r="S21" s="158"/>
      <c r="T21" s="158"/>
    </row>
    <row r="22" spans="1:37" x14ac:dyDescent="0.35">
      <c r="P22" s="158"/>
      <c r="Q22" s="158"/>
      <c r="R22" s="158"/>
      <c r="S22" s="158"/>
      <c r="T22" s="158"/>
      <c r="U22" s="125" t="s">
        <v>108</v>
      </c>
      <c r="V22" s="205">
        <f>SUM(P112:T121,V112:Z121,P124:T133) - SUM(P164:T173)</f>
        <v>176319270.58337221</v>
      </c>
    </row>
    <row r="23" spans="1:37" x14ac:dyDescent="0.35">
      <c r="P23" s="158"/>
      <c r="Q23" s="158"/>
      <c r="R23" s="158"/>
      <c r="S23" s="158"/>
      <c r="T23" s="158"/>
      <c r="AG23" s="125" t="s">
        <v>24</v>
      </c>
      <c r="AH23" s="125" t="s">
        <v>25</v>
      </c>
      <c r="AI23" s="125" t="s">
        <v>26</v>
      </c>
      <c r="AJ23" s="125" t="s">
        <v>27</v>
      </c>
      <c r="AK23" s="125" t="s">
        <v>28</v>
      </c>
    </row>
    <row r="24" spans="1:37" x14ac:dyDescent="0.35">
      <c r="G24" s="125" t="s">
        <v>105</v>
      </c>
      <c r="P24" s="125" t="s">
        <v>106</v>
      </c>
      <c r="AG24" s="204" t="s">
        <v>123</v>
      </c>
    </row>
    <row r="25" spans="1:37" x14ac:dyDescent="0.35">
      <c r="A25" s="125" t="s">
        <v>72</v>
      </c>
      <c r="G25" s="163" cm="1">
        <f t="array" ref="G25:I34">TRANSPOSE(MMULT(J10:N12,TRANSPOSE(P25:T34)))</f>
        <v>39.999999899999999</v>
      </c>
      <c r="H25" s="164">
        <v>56.000000100000008</v>
      </c>
      <c r="I25" s="165">
        <v>70.004504499999996</v>
      </c>
      <c r="P25" s="195">
        <v>57.142856999999999</v>
      </c>
      <c r="Q25" s="196">
        <v>38.857143000000001</v>
      </c>
      <c r="R25" s="196">
        <v>37.5</v>
      </c>
      <c r="S25" s="196">
        <v>28</v>
      </c>
      <c r="T25" s="197">
        <v>4.5045045000000004</v>
      </c>
      <c r="AF25" s="125" t="s">
        <v>72</v>
      </c>
      <c r="AG25" s="237" cm="1">
        <f t="array" ref="AG25:AK34">P25:T34 - (P99:T108*$P$61:$T$61*$P$63:$T$63)</f>
        <v>-2.8571430000000007</v>
      </c>
      <c r="AH25" s="187">
        <v>-1.1428569999999993</v>
      </c>
      <c r="AI25" s="187">
        <v>0</v>
      </c>
      <c r="AJ25" s="187">
        <v>0</v>
      </c>
      <c r="AK25" s="188">
        <v>-25.495495500000001</v>
      </c>
    </row>
    <row r="26" spans="1:37" x14ac:dyDescent="0.35">
      <c r="A26" s="125" t="s">
        <v>73</v>
      </c>
      <c r="G26" s="166">
        <v>39.999999899999999</v>
      </c>
      <c r="H26" s="167">
        <v>52.000000100000008</v>
      </c>
      <c r="I26" s="168">
        <v>80.017768000000004</v>
      </c>
      <c r="P26" s="198">
        <v>57.142856999999999</v>
      </c>
      <c r="Q26" s="199">
        <v>34.857143000000001</v>
      </c>
      <c r="R26" s="199">
        <v>36.25</v>
      </c>
      <c r="S26" s="199">
        <v>26</v>
      </c>
      <c r="T26" s="200">
        <v>17.767768</v>
      </c>
      <c r="AF26" s="125" t="s">
        <v>73</v>
      </c>
      <c r="AG26" s="189">
        <v>-2.8571430000000007</v>
      </c>
      <c r="AH26" s="190">
        <v>-5.1428569999999993</v>
      </c>
      <c r="AI26" s="190">
        <v>0</v>
      </c>
      <c r="AJ26" s="190">
        <v>0</v>
      </c>
      <c r="AK26" s="191">
        <v>-12.232232</v>
      </c>
    </row>
    <row r="27" spans="1:37" x14ac:dyDescent="0.35">
      <c r="A27" s="125" t="s">
        <v>74</v>
      </c>
      <c r="G27" s="166">
        <v>39.999999899999999</v>
      </c>
      <c r="H27" s="167">
        <v>48.000000100000008</v>
      </c>
      <c r="I27" s="168">
        <v>90.031030999999999</v>
      </c>
      <c r="P27" s="198">
        <v>57.142856999999999</v>
      </c>
      <c r="Q27" s="199">
        <v>30.857143000000001</v>
      </c>
      <c r="R27" s="199">
        <v>35</v>
      </c>
      <c r="S27" s="199">
        <v>24</v>
      </c>
      <c r="T27" s="200">
        <v>31.031030999999999</v>
      </c>
      <c r="AF27" s="125" t="s">
        <v>74</v>
      </c>
      <c r="AG27" s="189">
        <v>-2.8571430000000007</v>
      </c>
      <c r="AH27" s="190">
        <v>-9.1428569999999993</v>
      </c>
      <c r="AI27" s="190">
        <v>0</v>
      </c>
      <c r="AJ27" s="190">
        <v>0</v>
      </c>
      <c r="AK27" s="191">
        <v>0</v>
      </c>
    </row>
    <row r="28" spans="1:37" x14ac:dyDescent="0.35">
      <c r="A28" s="125" t="s">
        <v>75</v>
      </c>
      <c r="G28" s="166">
        <v>39.999999899999999</v>
      </c>
      <c r="H28" s="167">
        <v>44.000000100000008</v>
      </c>
      <c r="I28" s="168">
        <v>100.04429400000001</v>
      </c>
      <c r="P28" s="198">
        <v>57.142856999999999</v>
      </c>
      <c r="Q28" s="199">
        <v>26.857143000000001</v>
      </c>
      <c r="R28" s="199">
        <v>33.75</v>
      </c>
      <c r="S28" s="199">
        <v>22</v>
      </c>
      <c r="T28" s="200">
        <v>44.294294000000001</v>
      </c>
      <c r="AF28" s="125" t="s">
        <v>75</v>
      </c>
      <c r="AG28" s="189">
        <v>-2.8571430000000007</v>
      </c>
      <c r="AH28" s="190">
        <v>-13.142856999999999</v>
      </c>
      <c r="AI28" s="190">
        <v>0</v>
      </c>
      <c r="AJ28" s="190">
        <v>0</v>
      </c>
      <c r="AK28" s="191">
        <v>0</v>
      </c>
    </row>
    <row r="29" spans="1:37" x14ac:dyDescent="0.35">
      <c r="A29" s="125" t="s">
        <v>76</v>
      </c>
      <c r="G29" s="166">
        <v>39.999999899999999</v>
      </c>
      <c r="H29" s="167">
        <v>40.000000100000008</v>
      </c>
      <c r="I29" s="168">
        <v>110.057558</v>
      </c>
      <c r="P29" s="198">
        <v>57.142856999999999</v>
      </c>
      <c r="Q29" s="199">
        <v>22.857143000000001</v>
      </c>
      <c r="R29" s="199">
        <v>32.5</v>
      </c>
      <c r="S29" s="199">
        <v>20</v>
      </c>
      <c r="T29" s="200">
        <v>57.557558</v>
      </c>
      <c r="AF29" s="125" t="s">
        <v>76</v>
      </c>
      <c r="AG29" s="189">
        <v>-2.8571430000000007</v>
      </c>
      <c r="AH29" s="190">
        <v>-17.142856999999999</v>
      </c>
      <c r="AI29" s="190">
        <v>0</v>
      </c>
      <c r="AJ29" s="190">
        <v>0</v>
      </c>
      <c r="AK29" s="191">
        <v>9.9999999747524271E-7</v>
      </c>
    </row>
    <row r="30" spans="1:37" x14ac:dyDescent="0.35">
      <c r="A30" s="125" t="s">
        <v>99</v>
      </c>
      <c r="G30" s="166">
        <v>39.999999899999999</v>
      </c>
      <c r="H30" s="167">
        <v>57.620000099999999</v>
      </c>
      <c r="I30" s="168">
        <v>120.06</v>
      </c>
      <c r="P30" s="198">
        <v>57.142856999999999</v>
      </c>
      <c r="Q30" s="199">
        <v>40.477142999999998</v>
      </c>
      <c r="R30" s="199">
        <v>31.25</v>
      </c>
      <c r="S30" s="199">
        <v>28.81</v>
      </c>
      <c r="T30" s="200">
        <v>60</v>
      </c>
      <c r="AF30" s="125" t="s">
        <v>99</v>
      </c>
      <c r="AG30" s="189">
        <v>-2.8571430000000007</v>
      </c>
      <c r="AH30" s="190">
        <v>1.3999999737279722E-7</v>
      </c>
      <c r="AI30" s="190">
        <v>0</v>
      </c>
      <c r="AJ30" s="190">
        <v>0</v>
      </c>
      <c r="AK30" s="191">
        <v>5.9999999280080374E-7</v>
      </c>
    </row>
    <row r="31" spans="1:37" x14ac:dyDescent="0.35">
      <c r="A31" s="125" t="s">
        <v>100</v>
      </c>
      <c r="G31" s="166">
        <v>39.999999899999999</v>
      </c>
      <c r="H31" s="167">
        <v>80.120000099999999</v>
      </c>
      <c r="I31" s="168">
        <v>130.06</v>
      </c>
      <c r="P31" s="198">
        <v>57.142856999999999</v>
      </c>
      <c r="Q31" s="199">
        <v>62.977142999999998</v>
      </c>
      <c r="R31" s="199">
        <v>30</v>
      </c>
      <c r="S31" s="199">
        <v>40.06</v>
      </c>
      <c r="T31" s="200">
        <v>60</v>
      </c>
      <c r="AF31" s="125" t="s">
        <v>100</v>
      </c>
      <c r="AG31" s="189">
        <v>-2.8571430000000007</v>
      </c>
      <c r="AH31" s="190">
        <v>1.3999999737279722E-7</v>
      </c>
      <c r="AI31" s="190">
        <v>0</v>
      </c>
      <c r="AJ31" s="190">
        <v>0</v>
      </c>
      <c r="AK31" s="191">
        <v>5.9999999280080374E-7</v>
      </c>
    </row>
    <row r="32" spans="1:37" x14ac:dyDescent="0.35">
      <c r="A32" s="125" t="s">
        <v>101</v>
      </c>
      <c r="G32" s="166">
        <v>39.999999899999999</v>
      </c>
      <c r="H32" s="167">
        <v>102.6200001</v>
      </c>
      <c r="I32" s="168">
        <v>140.06</v>
      </c>
      <c r="P32" s="198">
        <v>57.142856999999999</v>
      </c>
      <c r="Q32" s="199">
        <v>85.477142999999998</v>
      </c>
      <c r="R32" s="199">
        <v>28.75</v>
      </c>
      <c r="S32" s="199">
        <v>51.31</v>
      </c>
      <c r="T32" s="200">
        <v>60</v>
      </c>
      <c r="AF32" s="125" t="s">
        <v>101</v>
      </c>
      <c r="AG32" s="189">
        <v>-2.8571430000000007</v>
      </c>
      <c r="AH32" s="190">
        <v>1.3999999737279722E-7</v>
      </c>
      <c r="AI32" s="190">
        <v>0</v>
      </c>
      <c r="AJ32" s="190">
        <v>0</v>
      </c>
      <c r="AK32" s="191">
        <v>5.9999999280080374E-7</v>
      </c>
    </row>
    <row r="33" spans="1:37" x14ac:dyDescent="0.35">
      <c r="A33" s="125" t="s">
        <v>102</v>
      </c>
      <c r="G33" s="166">
        <v>39.999999899999999</v>
      </c>
      <c r="H33" s="167">
        <v>98.620000099999999</v>
      </c>
      <c r="I33" s="168">
        <v>150.06</v>
      </c>
      <c r="P33" s="198">
        <v>57.142856999999999</v>
      </c>
      <c r="Q33" s="199">
        <v>81.477142999999998</v>
      </c>
      <c r="R33" s="199">
        <v>40.75</v>
      </c>
      <c r="S33" s="199">
        <v>49.31</v>
      </c>
      <c r="T33" s="200">
        <v>60</v>
      </c>
      <c r="AF33" s="125" t="s">
        <v>102</v>
      </c>
      <c r="AG33" s="189">
        <v>-2.8571430000000007</v>
      </c>
      <c r="AH33" s="190">
        <v>-3.9999998600000026</v>
      </c>
      <c r="AI33" s="190">
        <v>0</v>
      </c>
      <c r="AJ33" s="190">
        <v>0</v>
      </c>
      <c r="AK33" s="191">
        <v>5.9999999280080374E-7</v>
      </c>
    </row>
    <row r="34" spans="1:37" x14ac:dyDescent="0.35">
      <c r="A34" s="125" t="s">
        <v>103</v>
      </c>
      <c r="G34" s="169">
        <v>39.999999899999999</v>
      </c>
      <c r="H34" s="170">
        <v>94.620000099999999</v>
      </c>
      <c r="I34" s="171">
        <v>160.06</v>
      </c>
      <c r="P34" s="201">
        <v>57.142856999999999</v>
      </c>
      <c r="Q34" s="202">
        <v>77.477142999999998</v>
      </c>
      <c r="R34" s="202">
        <v>52.75</v>
      </c>
      <c r="S34" s="202">
        <v>47.31</v>
      </c>
      <c r="T34" s="203">
        <v>60</v>
      </c>
      <c r="AF34" s="125" t="s">
        <v>103</v>
      </c>
      <c r="AG34" s="192">
        <v>-2.8571430000000007</v>
      </c>
      <c r="AH34" s="193">
        <v>-99922.522999860012</v>
      </c>
      <c r="AI34" s="193">
        <v>0</v>
      </c>
      <c r="AJ34" s="193">
        <v>0</v>
      </c>
      <c r="AK34" s="194">
        <v>5.9999999280080374E-7</v>
      </c>
    </row>
    <row r="35" spans="1:37" x14ac:dyDescent="0.35">
      <c r="G35" s="167"/>
      <c r="H35" s="167"/>
      <c r="I35" s="167"/>
      <c r="P35" s="158"/>
      <c r="Q35" s="158"/>
      <c r="R35" s="158"/>
      <c r="S35" s="158"/>
      <c r="T35" s="158"/>
      <c r="AG35" s="125" t="s">
        <v>24</v>
      </c>
      <c r="AH35" s="125" t="s">
        <v>25</v>
      </c>
      <c r="AI35" s="125" t="s">
        <v>26</v>
      </c>
      <c r="AJ35" s="125" t="s">
        <v>27</v>
      </c>
      <c r="AK35" s="125" t="s">
        <v>28</v>
      </c>
    </row>
    <row r="36" spans="1:37" x14ac:dyDescent="0.35">
      <c r="P36" s="125" t="s">
        <v>89</v>
      </c>
      <c r="AG36" s="204" t="s">
        <v>122</v>
      </c>
    </row>
    <row r="37" spans="1:37" x14ac:dyDescent="0.35">
      <c r="D37" s="125" t="s">
        <v>82</v>
      </c>
      <c r="E37" s="125" t="s">
        <v>83</v>
      </c>
      <c r="O37" s="125" t="s">
        <v>72</v>
      </c>
      <c r="P37" s="130">
        <v>60</v>
      </c>
      <c r="Q37" s="131">
        <v>40</v>
      </c>
      <c r="R37" s="131">
        <v>150</v>
      </c>
      <c r="S37" s="131">
        <v>70</v>
      </c>
      <c r="T37" s="132">
        <v>30</v>
      </c>
      <c r="AF37" s="125" t="s">
        <v>72</v>
      </c>
      <c r="AG37" s="186" cm="1">
        <f t="array" ref="AG37:AK46" xml:space="preserve"> P99:T108 - $P$59:$T$59</f>
        <v>-99940</v>
      </c>
      <c r="AH37" s="187">
        <v>-99960</v>
      </c>
      <c r="AI37" s="187">
        <v>-150</v>
      </c>
      <c r="AJ37" s="187">
        <v>-230</v>
      </c>
      <c r="AK37" s="188">
        <v>-30</v>
      </c>
    </row>
    <row r="38" spans="1:37" x14ac:dyDescent="0.35">
      <c r="O38" s="125" t="s">
        <v>73</v>
      </c>
      <c r="P38" s="134">
        <f>P37</f>
        <v>60</v>
      </c>
      <c r="Q38" s="135">
        <v>40</v>
      </c>
      <c r="R38" s="135">
        <f>R37-5</f>
        <v>145</v>
      </c>
      <c r="S38" s="135">
        <f>S37-5</f>
        <v>65</v>
      </c>
      <c r="T38" s="136">
        <f>T37</f>
        <v>30</v>
      </c>
      <c r="AF38" s="125" t="s">
        <v>73</v>
      </c>
      <c r="AG38" s="189">
        <v>-99940</v>
      </c>
      <c r="AH38" s="190">
        <v>-99960</v>
      </c>
      <c r="AI38" s="190">
        <v>-155</v>
      </c>
      <c r="AJ38" s="190">
        <v>-235</v>
      </c>
      <c r="AK38" s="191">
        <v>-30</v>
      </c>
    </row>
    <row r="39" spans="1:37" x14ac:dyDescent="0.35">
      <c r="O39" s="125" t="s">
        <v>74</v>
      </c>
      <c r="P39" s="134">
        <f t="shared" ref="P39:P46" si="2">P38</f>
        <v>60</v>
      </c>
      <c r="Q39" s="135">
        <v>40</v>
      </c>
      <c r="R39" s="135">
        <f t="shared" ref="R39:R41" si="3">R38-5</f>
        <v>140</v>
      </c>
      <c r="S39" s="135">
        <f t="shared" ref="S39:S41" si="4">S38-5</f>
        <v>60</v>
      </c>
      <c r="T39" s="136">
        <f t="shared" ref="T39:T46" si="5">T38</f>
        <v>30</v>
      </c>
      <c r="AF39" s="125" t="s">
        <v>74</v>
      </c>
      <c r="AG39" s="189">
        <v>-99940</v>
      </c>
      <c r="AH39" s="190">
        <v>-99960</v>
      </c>
      <c r="AI39" s="190">
        <v>-160</v>
      </c>
      <c r="AJ39" s="190">
        <v>-240</v>
      </c>
      <c r="AK39" s="191">
        <v>-28.968969000000001</v>
      </c>
    </row>
    <row r="40" spans="1:37" x14ac:dyDescent="0.35">
      <c r="O40" s="125" t="s">
        <v>75</v>
      </c>
      <c r="P40" s="134">
        <f t="shared" si="2"/>
        <v>60</v>
      </c>
      <c r="Q40" s="135">
        <v>40</v>
      </c>
      <c r="R40" s="135">
        <f t="shared" si="3"/>
        <v>135</v>
      </c>
      <c r="S40" s="135">
        <f t="shared" si="4"/>
        <v>55</v>
      </c>
      <c r="T40" s="136">
        <f t="shared" si="5"/>
        <v>30</v>
      </c>
      <c r="AF40" s="125" t="s">
        <v>75</v>
      </c>
      <c r="AG40" s="189">
        <v>-99940</v>
      </c>
      <c r="AH40" s="190">
        <v>-99960</v>
      </c>
      <c r="AI40" s="190">
        <v>-165</v>
      </c>
      <c r="AJ40" s="190">
        <v>-245</v>
      </c>
      <c r="AK40" s="191">
        <v>-15.705705999999999</v>
      </c>
    </row>
    <row r="41" spans="1:37" x14ac:dyDescent="0.35">
      <c r="O41" s="125" t="s">
        <v>76</v>
      </c>
      <c r="P41" s="134">
        <f t="shared" si="2"/>
        <v>60</v>
      </c>
      <c r="Q41" s="135">
        <v>40</v>
      </c>
      <c r="R41" s="135">
        <f t="shared" si="3"/>
        <v>130</v>
      </c>
      <c r="S41" s="135">
        <f t="shared" si="4"/>
        <v>50</v>
      </c>
      <c r="T41" s="136">
        <f t="shared" si="5"/>
        <v>30</v>
      </c>
      <c r="AF41" s="125" t="s">
        <v>76</v>
      </c>
      <c r="AG41" s="189">
        <v>-99940</v>
      </c>
      <c r="AH41" s="190">
        <v>-99960</v>
      </c>
      <c r="AI41" s="190">
        <v>-170</v>
      </c>
      <c r="AJ41" s="190">
        <v>-250</v>
      </c>
      <c r="AK41" s="191">
        <v>-2.4424429999999973</v>
      </c>
    </row>
    <row r="42" spans="1:37" x14ac:dyDescent="0.35">
      <c r="O42" s="125" t="s">
        <v>99</v>
      </c>
      <c r="P42" s="134">
        <f t="shared" si="2"/>
        <v>60</v>
      </c>
      <c r="Q42" s="135">
        <v>40</v>
      </c>
      <c r="R42" s="135">
        <f t="shared" ref="R42:R46" si="6">R41-5</f>
        <v>125</v>
      </c>
      <c r="S42" s="135">
        <f t="shared" ref="S42:S46" si="7">S41-5</f>
        <v>45</v>
      </c>
      <c r="T42" s="136">
        <f t="shared" si="5"/>
        <v>30</v>
      </c>
      <c r="AF42" s="125" t="s">
        <v>99</v>
      </c>
      <c r="AG42" s="189">
        <v>-99940</v>
      </c>
      <c r="AH42" s="190">
        <v>-99959.522857139993</v>
      </c>
      <c r="AI42" s="190">
        <v>-175</v>
      </c>
      <c r="AJ42" s="190">
        <v>-227.97499999999999</v>
      </c>
      <c r="AK42" s="191">
        <v>-5.9999999280080374E-7</v>
      </c>
    </row>
    <row r="43" spans="1:37" x14ac:dyDescent="0.35">
      <c r="O43" s="125" t="s">
        <v>100</v>
      </c>
      <c r="P43" s="134">
        <f t="shared" si="2"/>
        <v>60</v>
      </c>
      <c r="Q43" s="135">
        <v>40</v>
      </c>
      <c r="R43" s="135">
        <f t="shared" si="6"/>
        <v>120</v>
      </c>
      <c r="S43" s="135">
        <f t="shared" si="7"/>
        <v>40</v>
      </c>
      <c r="T43" s="136">
        <f t="shared" si="5"/>
        <v>30</v>
      </c>
      <c r="AF43" s="125" t="s">
        <v>100</v>
      </c>
      <c r="AG43" s="189">
        <v>-99940</v>
      </c>
      <c r="AH43" s="190">
        <v>-99937.022857139993</v>
      </c>
      <c r="AI43" s="190">
        <v>-180</v>
      </c>
      <c r="AJ43" s="190">
        <v>-199.85</v>
      </c>
      <c r="AK43" s="191">
        <v>-5.9999999280080374E-7</v>
      </c>
    </row>
    <row r="44" spans="1:37" x14ac:dyDescent="0.35">
      <c r="O44" s="125" t="s">
        <v>101</v>
      </c>
      <c r="P44" s="134">
        <f t="shared" si="2"/>
        <v>60</v>
      </c>
      <c r="Q44" s="135">
        <v>40</v>
      </c>
      <c r="R44" s="135">
        <f t="shared" si="6"/>
        <v>115</v>
      </c>
      <c r="S44" s="135">
        <f t="shared" si="7"/>
        <v>35</v>
      </c>
      <c r="T44" s="136">
        <f t="shared" si="5"/>
        <v>30</v>
      </c>
      <c r="AF44" s="125" t="s">
        <v>101</v>
      </c>
      <c r="AG44" s="189">
        <v>-99940</v>
      </c>
      <c r="AH44" s="190">
        <v>-99914.522857139993</v>
      </c>
      <c r="AI44" s="190">
        <v>-185</v>
      </c>
      <c r="AJ44" s="190">
        <v>-171.72499999999999</v>
      </c>
      <c r="AK44" s="191">
        <v>-5.9999999280080374E-7</v>
      </c>
    </row>
    <row r="45" spans="1:37" x14ac:dyDescent="0.35">
      <c r="O45" s="125" t="s">
        <v>102</v>
      </c>
      <c r="P45" s="134">
        <f t="shared" si="2"/>
        <v>60</v>
      </c>
      <c r="Q45" s="135">
        <v>40</v>
      </c>
      <c r="R45" s="135">
        <f t="shared" si="6"/>
        <v>110</v>
      </c>
      <c r="S45" s="135">
        <f t="shared" si="7"/>
        <v>30</v>
      </c>
      <c r="T45" s="136">
        <f t="shared" si="5"/>
        <v>30</v>
      </c>
      <c r="AF45" s="125" t="s">
        <v>102</v>
      </c>
      <c r="AG45" s="189">
        <v>-99940</v>
      </c>
      <c r="AH45" s="190">
        <v>-99914.522857139993</v>
      </c>
      <c r="AI45" s="190">
        <v>-137</v>
      </c>
      <c r="AJ45" s="190">
        <v>-176.72499999999999</v>
      </c>
      <c r="AK45" s="191">
        <v>-5.9999999280080374E-7</v>
      </c>
    </row>
    <row r="46" spans="1:37" x14ac:dyDescent="0.35">
      <c r="O46" s="125" t="s">
        <v>103</v>
      </c>
      <c r="P46" s="138">
        <f t="shared" si="2"/>
        <v>60</v>
      </c>
      <c r="Q46" s="139">
        <v>40</v>
      </c>
      <c r="R46" s="139">
        <f t="shared" si="6"/>
        <v>105</v>
      </c>
      <c r="S46" s="139">
        <f t="shared" si="7"/>
        <v>25</v>
      </c>
      <c r="T46" s="140">
        <f t="shared" si="5"/>
        <v>30</v>
      </c>
      <c r="AF46" s="125" t="s">
        <v>103</v>
      </c>
      <c r="AG46" s="192">
        <v>-99940</v>
      </c>
      <c r="AH46" s="193">
        <v>1.428600080544129E-4</v>
      </c>
      <c r="AI46" s="193">
        <v>-89</v>
      </c>
      <c r="AJ46" s="193">
        <v>-181.72499999999999</v>
      </c>
      <c r="AK46" s="194">
        <v>-5.9999999280080374E-7</v>
      </c>
    </row>
    <row r="47" spans="1:37" x14ac:dyDescent="0.35">
      <c r="P47" s="135"/>
      <c r="Q47" s="135"/>
      <c r="R47" s="135"/>
      <c r="S47" s="135"/>
      <c r="T47" s="135"/>
      <c r="AG47" s="158"/>
      <c r="AH47" s="158"/>
      <c r="AI47" s="158"/>
      <c r="AJ47" s="158"/>
    </row>
    <row r="48" spans="1:37" x14ac:dyDescent="0.35">
      <c r="P48" s="135" t="s">
        <v>131</v>
      </c>
      <c r="Q48" s="135"/>
      <c r="R48" s="135"/>
      <c r="S48" s="135"/>
      <c r="T48" s="135"/>
      <c r="AG48" s="158"/>
      <c r="AH48" s="158"/>
      <c r="AI48" s="158"/>
      <c r="AJ48" s="158"/>
    </row>
    <row r="49" spans="4:36" x14ac:dyDescent="0.35">
      <c r="D49" s="125" t="s">
        <v>124</v>
      </c>
      <c r="E49" s="125" t="s">
        <v>92</v>
      </c>
      <c r="P49" s="209">
        <v>0.03</v>
      </c>
      <c r="Q49" s="117"/>
      <c r="R49" s="135"/>
      <c r="S49" s="135"/>
      <c r="T49" s="135"/>
      <c r="AG49" s="158"/>
      <c r="AH49" s="158"/>
      <c r="AI49" s="158"/>
      <c r="AJ49" s="158"/>
    </row>
    <row r="50" spans="4:36" x14ac:dyDescent="0.35">
      <c r="P50" s="117" t="s">
        <v>132</v>
      </c>
      <c r="Q50" s="117"/>
      <c r="R50" s="135"/>
      <c r="S50" s="135"/>
      <c r="T50" s="135"/>
      <c r="AG50" s="158"/>
      <c r="AH50" s="158"/>
      <c r="AI50" s="158"/>
      <c r="AJ50" s="158"/>
    </row>
    <row r="51" spans="4:36" x14ac:dyDescent="0.35">
      <c r="D51" s="125" t="s">
        <v>133</v>
      </c>
      <c r="E51" s="125" t="s">
        <v>92</v>
      </c>
      <c r="P51" s="210">
        <v>0.05</v>
      </c>
      <c r="Q51" s="211">
        <v>0.05</v>
      </c>
      <c r="R51" s="211">
        <v>0.05</v>
      </c>
      <c r="S51" s="211">
        <v>0.05</v>
      </c>
      <c r="T51" s="212">
        <v>0.05</v>
      </c>
      <c r="AG51" s="158"/>
      <c r="AH51" s="158"/>
      <c r="AI51" s="158"/>
      <c r="AJ51" s="158"/>
    </row>
    <row r="52" spans="4:36" x14ac:dyDescent="0.35">
      <c r="P52" s="125" t="s">
        <v>87</v>
      </c>
    </row>
    <row r="53" spans="4:36" x14ac:dyDescent="0.35">
      <c r="D53" s="125" t="s">
        <v>84</v>
      </c>
      <c r="E53" s="125" t="s">
        <v>85</v>
      </c>
      <c r="P53" s="213">
        <v>1</v>
      </c>
      <c r="Q53" s="214">
        <v>1</v>
      </c>
      <c r="R53" s="214">
        <v>1</v>
      </c>
      <c r="S53" s="214">
        <v>2</v>
      </c>
      <c r="T53" s="215">
        <v>1</v>
      </c>
    </row>
    <row r="54" spans="4:36" x14ac:dyDescent="0.35">
      <c r="P54" s="125" t="s">
        <v>88</v>
      </c>
    </row>
    <row r="55" spans="4:36" x14ac:dyDescent="0.35">
      <c r="D55" s="125" t="s">
        <v>86</v>
      </c>
      <c r="E55" s="125" t="s">
        <v>85</v>
      </c>
      <c r="P55" s="213">
        <v>10</v>
      </c>
      <c r="Q55" s="214">
        <v>10</v>
      </c>
      <c r="R55" s="214">
        <v>6</v>
      </c>
      <c r="S55" s="214">
        <v>8</v>
      </c>
      <c r="T55" s="215">
        <v>30</v>
      </c>
    </row>
    <row r="56" spans="4:36" x14ac:dyDescent="0.35">
      <c r="P56" s="135" t="s">
        <v>135</v>
      </c>
      <c r="Q56" s="135"/>
      <c r="R56" s="135"/>
      <c r="S56" s="135"/>
      <c r="T56" s="135"/>
    </row>
    <row r="57" spans="4:36" x14ac:dyDescent="0.35">
      <c r="D57" s="125" t="s">
        <v>134</v>
      </c>
      <c r="E57" s="125" t="s">
        <v>85</v>
      </c>
      <c r="P57" s="213">
        <v>10</v>
      </c>
      <c r="Q57" s="214">
        <v>10</v>
      </c>
      <c r="R57" s="214">
        <v>6</v>
      </c>
      <c r="S57" s="214">
        <v>8</v>
      </c>
      <c r="T57" s="215">
        <v>30</v>
      </c>
    </row>
    <row r="58" spans="4:36" x14ac:dyDescent="0.35">
      <c r="P58" s="125" t="s">
        <v>94</v>
      </c>
    </row>
    <row r="59" spans="4:36" x14ac:dyDescent="0.35">
      <c r="D59" s="125" t="s">
        <v>90</v>
      </c>
      <c r="E59" s="125" t="s">
        <v>83</v>
      </c>
      <c r="P59" s="142">
        <v>100000</v>
      </c>
      <c r="Q59" s="143">
        <v>100000</v>
      </c>
      <c r="R59" s="143">
        <v>300</v>
      </c>
      <c r="S59" s="143">
        <v>300</v>
      </c>
      <c r="T59" s="143">
        <v>60</v>
      </c>
    </row>
    <row r="60" spans="4:36" x14ac:dyDescent="0.35">
      <c r="P60" s="125" t="s">
        <v>93</v>
      </c>
    </row>
    <row r="61" spans="4:36" x14ac:dyDescent="0.35">
      <c r="D61" s="125" t="s">
        <v>91</v>
      </c>
      <c r="E61" s="125" t="s">
        <v>92</v>
      </c>
      <c r="P61" s="142">
        <v>1</v>
      </c>
      <c r="Q61" s="143">
        <v>1</v>
      </c>
      <c r="R61" s="246">
        <v>0.25</v>
      </c>
      <c r="S61" s="124">
        <v>0.4</v>
      </c>
      <c r="T61" s="144">
        <v>1</v>
      </c>
    </row>
    <row r="62" spans="4:36" x14ac:dyDescent="0.35">
      <c r="P62" s="135" t="s">
        <v>121</v>
      </c>
      <c r="Q62" s="135"/>
      <c r="R62" s="123"/>
      <c r="S62" s="123"/>
      <c r="T62" s="135"/>
    </row>
    <row r="63" spans="4:36" x14ac:dyDescent="0.35">
      <c r="D63" s="125" t="s">
        <v>120</v>
      </c>
      <c r="E63" s="125" t="s">
        <v>92</v>
      </c>
      <c r="P63" s="142">
        <v>1</v>
      </c>
      <c r="Q63" s="143">
        <v>1</v>
      </c>
      <c r="R63" s="124">
        <v>1</v>
      </c>
      <c r="S63" s="124">
        <v>1</v>
      </c>
      <c r="T63" s="144">
        <v>1</v>
      </c>
    </row>
    <row r="65" spans="1:53" x14ac:dyDescent="0.35">
      <c r="P65" s="125" t="s">
        <v>113</v>
      </c>
    </row>
    <row r="66" spans="1:53" x14ac:dyDescent="0.35">
      <c r="A66" s="125" t="s">
        <v>72</v>
      </c>
      <c r="D66" s="125" t="s">
        <v>110</v>
      </c>
      <c r="E66" s="125" t="s">
        <v>83</v>
      </c>
      <c r="O66" s="125" t="s">
        <v>72</v>
      </c>
      <c r="P66" s="145">
        <v>0</v>
      </c>
      <c r="Q66" s="146">
        <v>0</v>
      </c>
      <c r="R66" s="146">
        <v>0</v>
      </c>
      <c r="S66" s="146">
        <v>0</v>
      </c>
      <c r="T66" s="147">
        <v>0</v>
      </c>
      <c r="V66" s="3"/>
      <c r="W66" s="3"/>
      <c r="X66" s="3"/>
      <c r="Y66" s="3"/>
    </row>
    <row r="67" spans="1:53" x14ac:dyDescent="0.35">
      <c r="A67" s="125" t="s">
        <v>73</v>
      </c>
      <c r="O67" s="125" t="s">
        <v>73</v>
      </c>
      <c r="P67" s="148">
        <v>0</v>
      </c>
      <c r="Q67" s="149">
        <v>0</v>
      </c>
      <c r="R67" s="149">
        <v>0</v>
      </c>
      <c r="S67" s="149">
        <v>0</v>
      </c>
      <c r="T67" s="150">
        <v>1.031031</v>
      </c>
      <c r="V67" s="3"/>
      <c r="W67" s="3"/>
      <c r="X67" s="3"/>
      <c r="Y67" s="3"/>
    </row>
    <row r="68" spans="1:53" x14ac:dyDescent="0.35">
      <c r="A68" s="125" t="s">
        <v>74</v>
      </c>
      <c r="O68" s="125" t="s">
        <v>74</v>
      </c>
      <c r="P68" s="148">
        <v>0</v>
      </c>
      <c r="Q68" s="149">
        <v>0</v>
      </c>
      <c r="R68" s="149">
        <v>0</v>
      </c>
      <c r="S68" s="149">
        <v>0</v>
      </c>
      <c r="T68" s="150">
        <v>13.263263</v>
      </c>
      <c r="V68" s="3"/>
      <c r="W68" s="3"/>
      <c r="X68" s="3"/>
      <c r="Y68" s="3"/>
    </row>
    <row r="69" spans="1:53" x14ac:dyDescent="0.35">
      <c r="A69" s="125" t="s">
        <v>75</v>
      </c>
      <c r="O69" s="125" t="s">
        <v>75</v>
      </c>
      <c r="P69" s="148">
        <v>0</v>
      </c>
      <c r="Q69" s="149">
        <v>0</v>
      </c>
      <c r="R69" s="149">
        <v>0</v>
      </c>
      <c r="S69" s="149">
        <v>27.024999999999999</v>
      </c>
      <c r="T69" s="150">
        <v>13.263263</v>
      </c>
      <c r="V69" s="3"/>
      <c r="W69" s="3"/>
      <c r="X69" s="3"/>
      <c r="Y69" s="3"/>
    </row>
    <row r="70" spans="1:53" x14ac:dyDescent="0.35">
      <c r="A70" s="125" t="s">
        <v>76</v>
      </c>
      <c r="O70" s="125" t="s">
        <v>76</v>
      </c>
      <c r="P70" s="148">
        <v>0</v>
      </c>
      <c r="Q70" s="149">
        <v>0.47714286</v>
      </c>
      <c r="R70" s="149">
        <v>0</v>
      </c>
      <c r="S70" s="149">
        <v>33.125</v>
      </c>
      <c r="T70" s="150">
        <v>2.4424424</v>
      </c>
      <c r="V70" s="3"/>
      <c r="W70" s="3"/>
      <c r="X70" s="3"/>
      <c r="Y70" s="3"/>
    </row>
    <row r="71" spans="1:53" x14ac:dyDescent="0.35">
      <c r="A71" s="125" t="s">
        <v>99</v>
      </c>
      <c r="O71" s="125" t="s">
        <v>99</v>
      </c>
      <c r="P71" s="148">
        <v>0</v>
      </c>
      <c r="Q71" s="149">
        <v>22.5</v>
      </c>
      <c r="R71" s="149">
        <v>0</v>
      </c>
      <c r="S71" s="149">
        <v>33.125</v>
      </c>
      <c r="T71" s="150">
        <v>0</v>
      </c>
      <c r="V71" s="3"/>
      <c r="W71" s="3"/>
      <c r="X71" s="3"/>
      <c r="Y71" s="3"/>
    </row>
    <row r="72" spans="1:53" x14ac:dyDescent="0.35">
      <c r="A72" s="125" t="s">
        <v>100</v>
      </c>
      <c r="O72" s="125" t="s">
        <v>100</v>
      </c>
      <c r="P72" s="148">
        <v>0</v>
      </c>
      <c r="Q72" s="149">
        <v>22.5</v>
      </c>
      <c r="R72" s="149">
        <v>0</v>
      </c>
      <c r="S72" s="149">
        <v>0</v>
      </c>
      <c r="T72" s="150">
        <v>0</v>
      </c>
      <c r="V72" s="3"/>
      <c r="W72" s="3"/>
      <c r="X72" s="3"/>
      <c r="Y72" s="3"/>
    </row>
    <row r="73" spans="1:53" x14ac:dyDescent="0.35">
      <c r="A73" s="125" t="s">
        <v>101</v>
      </c>
      <c r="O73" s="125" t="s">
        <v>101</v>
      </c>
      <c r="P73" s="148">
        <v>0</v>
      </c>
      <c r="Q73" s="149">
        <v>0</v>
      </c>
      <c r="R73" s="149">
        <v>53</v>
      </c>
      <c r="S73" s="149">
        <v>0</v>
      </c>
      <c r="T73" s="150">
        <v>0</v>
      </c>
      <c r="V73" s="3"/>
      <c r="W73" s="3"/>
      <c r="X73" s="3"/>
      <c r="Y73" s="3"/>
    </row>
    <row r="74" spans="1:53" x14ac:dyDescent="0.35">
      <c r="A74" s="125" t="s">
        <v>102</v>
      </c>
      <c r="O74" s="125" t="s">
        <v>102</v>
      </c>
      <c r="P74" s="148">
        <v>0</v>
      </c>
      <c r="Q74" s="149">
        <v>99914.523000000001</v>
      </c>
      <c r="R74" s="149">
        <v>53</v>
      </c>
      <c r="S74" s="149">
        <v>0</v>
      </c>
      <c r="T74" s="150">
        <v>0</v>
      </c>
      <c r="V74" s="3"/>
      <c r="W74" s="3"/>
      <c r="X74" s="3"/>
      <c r="Y74" s="3"/>
    </row>
    <row r="75" spans="1:53" x14ac:dyDescent="0.35">
      <c r="A75" s="125" t="s">
        <v>103</v>
      </c>
      <c r="O75" s="125" t="s">
        <v>103</v>
      </c>
      <c r="P75" s="151">
        <v>0</v>
      </c>
      <c r="Q75" s="152">
        <v>0</v>
      </c>
      <c r="R75" s="152">
        <v>0</v>
      </c>
      <c r="S75" s="152">
        <v>0</v>
      </c>
      <c r="T75" s="153">
        <v>0</v>
      </c>
      <c r="V75" s="3"/>
      <c r="W75" s="3"/>
      <c r="X75" s="3"/>
      <c r="Y75" s="3"/>
    </row>
    <row r="76" spans="1:53" x14ac:dyDescent="0.35">
      <c r="P76" s="125" t="s">
        <v>114</v>
      </c>
      <c r="V76" s="125" t="s">
        <v>155</v>
      </c>
      <c r="AG76" s="125" t="s">
        <v>156</v>
      </c>
      <c r="AR76" s="125" t="s">
        <v>159</v>
      </c>
    </row>
    <row r="77" spans="1:53" x14ac:dyDescent="0.35">
      <c r="D77" s="125" t="s">
        <v>112</v>
      </c>
      <c r="E77" s="125" t="s">
        <v>83</v>
      </c>
      <c r="O77" s="125" t="s">
        <v>72</v>
      </c>
      <c r="P77" s="154" cm="1">
        <f t="array" ref="P77:P86">MMULT($V$77:$AE$86,P66:P75)</f>
        <v>0</v>
      </c>
      <c r="Q77" s="155" cm="1">
        <f t="array" ref="Q77:Q86">MMULT($V$77:$AE$86,Q66:Q75)</f>
        <v>0</v>
      </c>
      <c r="R77" s="155" cm="1">
        <f t="array" ref="R77:R86">MMULT($V$77:$AE$86,R66:R75)</f>
        <v>0</v>
      </c>
      <c r="S77" s="155" cm="1">
        <f t="array" ref="S77:S86">MMULT($AG$77:$AP$86,S66:S75)</f>
        <v>0</v>
      </c>
      <c r="T77" s="156" cm="1">
        <f t="array" ref="T77:T86">MMULT($AR$77:$BA$86,T66:T75)</f>
        <v>0</v>
      </c>
      <c r="V77" s="154">
        <v>0</v>
      </c>
      <c r="W77" s="155">
        <v>0</v>
      </c>
      <c r="X77" s="155">
        <v>0</v>
      </c>
      <c r="Y77" s="155">
        <v>0</v>
      </c>
      <c r="Z77" s="155">
        <v>0</v>
      </c>
      <c r="AA77" s="155">
        <v>0</v>
      </c>
      <c r="AB77" s="155">
        <v>0</v>
      </c>
      <c r="AC77" s="155">
        <v>0</v>
      </c>
      <c r="AD77" s="155">
        <v>0</v>
      </c>
      <c r="AE77" s="156">
        <v>0</v>
      </c>
      <c r="AG77" s="154">
        <v>0</v>
      </c>
      <c r="AH77" s="155">
        <v>0</v>
      </c>
      <c r="AI77" s="155">
        <v>0</v>
      </c>
      <c r="AJ77" s="155">
        <v>0</v>
      </c>
      <c r="AK77" s="155">
        <v>0</v>
      </c>
      <c r="AL77" s="155">
        <v>0</v>
      </c>
      <c r="AM77" s="155">
        <v>0</v>
      </c>
      <c r="AN77" s="155">
        <v>0</v>
      </c>
      <c r="AO77" s="155">
        <v>0</v>
      </c>
      <c r="AP77" s="156">
        <v>0</v>
      </c>
      <c r="AR77" s="154">
        <v>0</v>
      </c>
      <c r="AS77" s="155">
        <v>0</v>
      </c>
      <c r="AT77" s="155">
        <v>0</v>
      </c>
      <c r="AU77" s="155">
        <v>0</v>
      </c>
      <c r="AV77" s="155">
        <v>0</v>
      </c>
      <c r="AW77" s="155">
        <v>0</v>
      </c>
      <c r="AX77" s="155">
        <v>0</v>
      </c>
      <c r="AY77" s="155">
        <v>0</v>
      </c>
      <c r="AZ77" s="155">
        <v>0</v>
      </c>
      <c r="BA77" s="156">
        <v>0</v>
      </c>
    </row>
    <row r="78" spans="1:53" x14ac:dyDescent="0.35">
      <c r="O78" s="125" t="s">
        <v>73</v>
      </c>
      <c r="P78" s="157">
        <v>0</v>
      </c>
      <c r="Q78" s="158">
        <v>0</v>
      </c>
      <c r="R78" s="158">
        <v>0</v>
      </c>
      <c r="S78" s="158">
        <v>0</v>
      </c>
      <c r="T78" s="159">
        <v>0</v>
      </c>
      <c r="V78" s="206">
        <f>IF(COUNTA($O$78:$O78) = $R$53, 1, 0)</f>
        <v>1</v>
      </c>
      <c r="W78" s="135">
        <f t="shared" ref="W78:AE86" si="8">V77</f>
        <v>0</v>
      </c>
      <c r="X78" s="135">
        <f t="shared" si="8"/>
        <v>0</v>
      </c>
      <c r="Y78" s="135">
        <f t="shared" si="8"/>
        <v>0</v>
      </c>
      <c r="Z78" s="135">
        <f t="shared" si="8"/>
        <v>0</v>
      </c>
      <c r="AA78" s="135">
        <f t="shared" si="8"/>
        <v>0</v>
      </c>
      <c r="AB78" s="135">
        <f t="shared" si="8"/>
        <v>0</v>
      </c>
      <c r="AC78" s="135">
        <f t="shared" si="8"/>
        <v>0</v>
      </c>
      <c r="AD78" s="135">
        <f t="shared" si="8"/>
        <v>0</v>
      </c>
      <c r="AE78" s="136">
        <f t="shared" si="8"/>
        <v>0</v>
      </c>
      <c r="AG78" s="206">
        <f>IF(COUNTA($O$78:$O78) = $S$53, 1, 0)</f>
        <v>0</v>
      </c>
      <c r="AH78" s="135">
        <f t="shared" ref="AH78:AP86" si="9">AG77</f>
        <v>0</v>
      </c>
      <c r="AI78" s="135">
        <f t="shared" si="9"/>
        <v>0</v>
      </c>
      <c r="AJ78" s="135">
        <f t="shared" si="9"/>
        <v>0</v>
      </c>
      <c r="AK78" s="135">
        <f t="shared" si="9"/>
        <v>0</v>
      </c>
      <c r="AL78" s="135">
        <f t="shared" si="9"/>
        <v>0</v>
      </c>
      <c r="AM78" s="135">
        <f t="shared" si="9"/>
        <v>0</v>
      </c>
      <c r="AN78" s="135">
        <f t="shared" si="9"/>
        <v>0</v>
      </c>
      <c r="AO78" s="135">
        <f t="shared" si="9"/>
        <v>0</v>
      </c>
      <c r="AP78" s="136">
        <f t="shared" si="9"/>
        <v>0</v>
      </c>
      <c r="AR78" s="206">
        <f>IF(COUNTA($O$78:$O78) = $T$53, 1, 0)</f>
        <v>1</v>
      </c>
      <c r="AS78" s="135">
        <f t="shared" ref="AS78:BA86" si="10">AR77</f>
        <v>0</v>
      </c>
      <c r="AT78" s="135">
        <f t="shared" si="10"/>
        <v>0</v>
      </c>
      <c r="AU78" s="135">
        <f t="shared" si="10"/>
        <v>0</v>
      </c>
      <c r="AV78" s="135">
        <f t="shared" si="10"/>
        <v>0</v>
      </c>
      <c r="AW78" s="135">
        <f t="shared" si="10"/>
        <v>0</v>
      </c>
      <c r="AX78" s="135">
        <f t="shared" si="10"/>
        <v>0</v>
      </c>
      <c r="AY78" s="135">
        <f t="shared" si="10"/>
        <v>0</v>
      </c>
      <c r="AZ78" s="135">
        <f t="shared" si="10"/>
        <v>0</v>
      </c>
      <c r="BA78" s="136">
        <f t="shared" si="10"/>
        <v>0</v>
      </c>
    </row>
    <row r="79" spans="1:53" x14ac:dyDescent="0.35">
      <c r="O79" s="125" t="s">
        <v>74</v>
      </c>
      <c r="P79" s="157">
        <v>0</v>
      </c>
      <c r="Q79" s="158">
        <v>0</v>
      </c>
      <c r="R79" s="158">
        <v>0</v>
      </c>
      <c r="S79" s="158">
        <v>0</v>
      </c>
      <c r="T79" s="159">
        <v>1.031031</v>
      </c>
      <c r="V79" s="206">
        <f>IF(COUNTA($O$78:$O79) = $R$53, 1, 0)</f>
        <v>0</v>
      </c>
      <c r="W79" s="135">
        <f t="shared" si="8"/>
        <v>1</v>
      </c>
      <c r="X79" s="135">
        <f t="shared" si="8"/>
        <v>0</v>
      </c>
      <c r="Y79" s="135">
        <f t="shared" si="8"/>
        <v>0</v>
      </c>
      <c r="Z79" s="135">
        <f t="shared" si="8"/>
        <v>0</v>
      </c>
      <c r="AA79" s="135">
        <f t="shared" si="8"/>
        <v>0</v>
      </c>
      <c r="AB79" s="135">
        <f t="shared" si="8"/>
        <v>0</v>
      </c>
      <c r="AC79" s="135">
        <f t="shared" si="8"/>
        <v>0</v>
      </c>
      <c r="AD79" s="135">
        <f t="shared" si="8"/>
        <v>0</v>
      </c>
      <c r="AE79" s="136">
        <f t="shared" si="8"/>
        <v>0</v>
      </c>
      <c r="AG79" s="206">
        <f>IF(COUNTA($O$78:$O79) = $S$53, 1, 0)</f>
        <v>1</v>
      </c>
      <c r="AH79" s="135">
        <f t="shared" si="9"/>
        <v>0</v>
      </c>
      <c r="AI79" s="135">
        <f t="shared" si="9"/>
        <v>0</v>
      </c>
      <c r="AJ79" s="135">
        <f t="shared" si="9"/>
        <v>0</v>
      </c>
      <c r="AK79" s="135">
        <f t="shared" si="9"/>
        <v>0</v>
      </c>
      <c r="AL79" s="135">
        <f t="shared" si="9"/>
        <v>0</v>
      </c>
      <c r="AM79" s="135">
        <f t="shared" si="9"/>
        <v>0</v>
      </c>
      <c r="AN79" s="135">
        <f t="shared" si="9"/>
        <v>0</v>
      </c>
      <c r="AO79" s="135">
        <f t="shared" si="9"/>
        <v>0</v>
      </c>
      <c r="AP79" s="136">
        <f t="shared" si="9"/>
        <v>0</v>
      </c>
      <c r="AR79" s="206">
        <f>IF(COUNTA($O$78:$O79) = $T$53, 1, 0)</f>
        <v>0</v>
      </c>
      <c r="AS79" s="135">
        <f t="shared" si="10"/>
        <v>1</v>
      </c>
      <c r="AT79" s="135">
        <f t="shared" si="10"/>
        <v>0</v>
      </c>
      <c r="AU79" s="135">
        <f t="shared" si="10"/>
        <v>0</v>
      </c>
      <c r="AV79" s="135">
        <f t="shared" si="10"/>
        <v>0</v>
      </c>
      <c r="AW79" s="135">
        <f t="shared" si="10"/>
        <v>0</v>
      </c>
      <c r="AX79" s="135">
        <f t="shared" si="10"/>
        <v>0</v>
      </c>
      <c r="AY79" s="135">
        <f t="shared" si="10"/>
        <v>0</v>
      </c>
      <c r="AZ79" s="135">
        <f t="shared" si="10"/>
        <v>0</v>
      </c>
      <c r="BA79" s="136">
        <f t="shared" si="10"/>
        <v>0</v>
      </c>
    </row>
    <row r="80" spans="1:53" x14ac:dyDescent="0.35">
      <c r="O80" s="125" t="s">
        <v>75</v>
      </c>
      <c r="P80" s="157">
        <v>0</v>
      </c>
      <c r="Q80" s="158">
        <v>0</v>
      </c>
      <c r="R80" s="158">
        <v>0</v>
      </c>
      <c r="S80" s="158">
        <v>0</v>
      </c>
      <c r="T80" s="159">
        <v>13.263263</v>
      </c>
      <c r="V80" s="206">
        <f>IF(COUNTA($O$78:$O80) = $R$53, 1, 0)</f>
        <v>0</v>
      </c>
      <c r="W80" s="135">
        <f t="shared" si="8"/>
        <v>0</v>
      </c>
      <c r="X80" s="135">
        <f t="shared" si="8"/>
        <v>1</v>
      </c>
      <c r="Y80" s="135">
        <f t="shared" si="8"/>
        <v>0</v>
      </c>
      <c r="Z80" s="135">
        <f t="shared" si="8"/>
        <v>0</v>
      </c>
      <c r="AA80" s="135">
        <f t="shared" si="8"/>
        <v>0</v>
      </c>
      <c r="AB80" s="135">
        <f t="shared" si="8"/>
        <v>0</v>
      </c>
      <c r="AC80" s="135">
        <f t="shared" si="8"/>
        <v>0</v>
      </c>
      <c r="AD80" s="135">
        <f t="shared" si="8"/>
        <v>0</v>
      </c>
      <c r="AE80" s="136">
        <f t="shared" si="8"/>
        <v>0</v>
      </c>
      <c r="AG80" s="206">
        <f>IF(COUNTA($O$78:$O80) = $S$53, 1, 0)</f>
        <v>0</v>
      </c>
      <c r="AH80" s="135">
        <f t="shared" si="9"/>
        <v>1</v>
      </c>
      <c r="AI80" s="135">
        <f t="shared" si="9"/>
        <v>0</v>
      </c>
      <c r="AJ80" s="135">
        <f t="shared" si="9"/>
        <v>0</v>
      </c>
      <c r="AK80" s="135">
        <f t="shared" si="9"/>
        <v>0</v>
      </c>
      <c r="AL80" s="135">
        <f t="shared" si="9"/>
        <v>0</v>
      </c>
      <c r="AM80" s="135">
        <f t="shared" si="9"/>
        <v>0</v>
      </c>
      <c r="AN80" s="135">
        <f t="shared" si="9"/>
        <v>0</v>
      </c>
      <c r="AO80" s="135">
        <f t="shared" si="9"/>
        <v>0</v>
      </c>
      <c r="AP80" s="136">
        <f t="shared" si="9"/>
        <v>0</v>
      </c>
      <c r="AR80" s="206">
        <f>IF(COUNTA($O$78:$O80) = $T$53, 1, 0)</f>
        <v>0</v>
      </c>
      <c r="AS80" s="135">
        <f t="shared" si="10"/>
        <v>0</v>
      </c>
      <c r="AT80" s="135">
        <f t="shared" si="10"/>
        <v>1</v>
      </c>
      <c r="AU80" s="135">
        <f t="shared" si="10"/>
        <v>0</v>
      </c>
      <c r="AV80" s="135">
        <f t="shared" si="10"/>
        <v>0</v>
      </c>
      <c r="AW80" s="135">
        <f t="shared" si="10"/>
        <v>0</v>
      </c>
      <c r="AX80" s="135">
        <f t="shared" si="10"/>
        <v>0</v>
      </c>
      <c r="AY80" s="135">
        <f t="shared" si="10"/>
        <v>0</v>
      </c>
      <c r="AZ80" s="135">
        <f t="shared" si="10"/>
        <v>0</v>
      </c>
      <c r="BA80" s="136">
        <f t="shared" si="10"/>
        <v>0</v>
      </c>
    </row>
    <row r="81" spans="4:53" x14ac:dyDescent="0.35">
      <c r="O81" s="125" t="s">
        <v>76</v>
      </c>
      <c r="P81" s="157">
        <v>0</v>
      </c>
      <c r="Q81" s="158">
        <v>0</v>
      </c>
      <c r="R81" s="158">
        <v>0</v>
      </c>
      <c r="S81" s="158">
        <v>0</v>
      </c>
      <c r="T81" s="159">
        <v>13.263263</v>
      </c>
      <c r="V81" s="206">
        <f>IF(COUNTA($O$78:$O81) = $R$53, 1, 0)</f>
        <v>0</v>
      </c>
      <c r="W81" s="135">
        <f t="shared" si="8"/>
        <v>0</v>
      </c>
      <c r="X81" s="135">
        <f t="shared" si="8"/>
        <v>0</v>
      </c>
      <c r="Y81" s="135">
        <f t="shared" si="8"/>
        <v>1</v>
      </c>
      <c r="Z81" s="135">
        <f t="shared" si="8"/>
        <v>0</v>
      </c>
      <c r="AA81" s="135">
        <f t="shared" si="8"/>
        <v>0</v>
      </c>
      <c r="AB81" s="135">
        <f t="shared" si="8"/>
        <v>0</v>
      </c>
      <c r="AC81" s="135">
        <f t="shared" si="8"/>
        <v>0</v>
      </c>
      <c r="AD81" s="135">
        <f t="shared" si="8"/>
        <v>0</v>
      </c>
      <c r="AE81" s="136">
        <f t="shared" si="8"/>
        <v>0</v>
      </c>
      <c r="AG81" s="206">
        <f>IF(COUNTA($O$78:$O81) = $S$53, 1, 0)</f>
        <v>0</v>
      </c>
      <c r="AH81" s="135">
        <f t="shared" si="9"/>
        <v>0</v>
      </c>
      <c r="AI81" s="135">
        <f t="shared" si="9"/>
        <v>1</v>
      </c>
      <c r="AJ81" s="135">
        <f t="shared" si="9"/>
        <v>0</v>
      </c>
      <c r="AK81" s="135">
        <f t="shared" si="9"/>
        <v>0</v>
      </c>
      <c r="AL81" s="135">
        <f t="shared" si="9"/>
        <v>0</v>
      </c>
      <c r="AM81" s="135">
        <f t="shared" si="9"/>
        <v>0</v>
      </c>
      <c r="AN81" s="135">
        <f t="shared" si="9"/>
        <v>0</v>
      </c>
      <c r="AO81" s="135">
        <f t="shared" si="9"/>
        <v>0</v>
      </c>
      <c r="AP81" s="136">
        <f t="shared" si="9"/>
        <v>0</v>
      </c>
      <c r="AR81" s="206">
        <f>IF(COUNTA($O$78:$O81) = $T$53, 1, 0)</f>
        <v>0</v>
      </c>
      <c r="AS81" s="135">
        <f t="shared" si="10"/>
        <v>0</v>
      </c>
      <c r="AT81" s="135">
        <f t="shared" si="10"/>
        <v>0</v>
      </c>
      <c r="AU81" s="135">
        <f t="shared" si="10"/>
        <v>1</v>
      </c>
      <c r="AV81" s="135">
        <f t="shared" si="10"/>
        <v>0</v>
      </c>
      <c r="AW81" s="135">
        <f t="shared" si="10"/>
        <v>0</v>
      </c>
      <c r="AX81" s="135">
        <f t="shared" si="10"/>
        <v>0</v>
      </c>
      <c r="AY81" s="135">
        <f t="shared" si="10"/>
        <v>0</v>
      </c>
      <c r="AZ81" s="135">
        <f t="shared" si="10"/>
        <v>0</v>
      </c>
      <c r="BA81" s="136">
        <f t="shared" si="10"/>
        <v>0</v>
      </c>
    </row>
    <row r="82" spans="4:53" x14ac:dyDescent="0.35">
      <c r="O82" s="125" t="s">
        <v>99</v>
      </c>
      <c r="P82" s="157">
        <v>0</v>
      </c>
      <c r="Q82" s="158">
        <v>0.47714286</v>
      </c>
      <c r="R82" s="158">
        <v>0</v>
      </c>
      <c r="S82" s="158">
        <v>27.024999999999999</v>
      </c>
      <c r="T82" s="159">
        <v>2.4424424</v>
      </c>
      <c r="V82" s="206">
        <f>IF(COUNTA($O$78:$O82) = $R$53, 1, 0)</f>
        <v>0</v>
      </c>
      <c r="W82" s="135">
        <f t="shared" si="8"/>
        <v>0</v>
      </c>
      <c r="X82" s="135">
        <f t="shared" si="8"/>
        <v>0</v>
      </c>
      <c r="Y82" s="135">
        <f t="shared" si="8"/>
        <v>0</v>
      </c>
      <c r="Z82" s="135">
        <f t="shared" si="8"/>
        <v>1</v>
      </c>
      <c r="AA82" s="135">
        <f t="shared" si="8"/>
        <v>0</v>
      </c>
      <c r="AB82" s="135">
        <f t="shared" si="8"/>
        <v>0</v>
      </c>
      <c r="AC82" s="135">
        <f t="shared" si="8"/>
        <v>0</v>
      </c>
      <c r="AD82" s="135">
        <f t="shared" si="8"/>
        <v>0</v>
      </c>
      <c r="AE82" s="136">
        <f t="shared" si="8"/>
        <v>0</v>
      </c>
      <c r="AG82" s="206">
        <f>IF(COUNTA($O$78:$O82) = $S$53, 1, 0)</f>
        <v>0</v>
      </c>
      <c r="AH82" s="135">
        <f t="shared" si="9"/>
        <v>0</v>
      </c>
      <c r="AI82" s="135">
        <f t="shared" si="9"/>
        <v>0</v>
      </c>
      <c r="AJ82" s="135">
        <f t="shared" si="9"/>
        <v>1</v>
      </c>
      <c r="AK82" s="135">
        <f t="shared" si="9"/>
        <v>0</v>
      </c>
      <c r="AL82" s="135">
        <f t="shared" si="9"/>
        <v>0</v>
      </c>
      <c r="AM82" s="135">
        <f t="shared" si="9"/>
        <v>0</v>
      </c>
      <c r="AN82" s="135">
        <f t="shared" si="9"/>
        <v>0</v>
      </c>
      <c r="AO82" s="135">
        <f t="shared" si="9"/>
        <v>0</v>
      </c>
      <c r="AP82" s="136">
        <f t="shared" si="9"/>
        <v>0</v>
      </c>
      <c r="AR82" s="206">
        <f>IF(COUNTA($O$78:$O82) = $T$53, 1, 0)</f>
        <v>0</v>
      </c>
      <c r="AS82" s="135">
        <f t="shared" si="10"/>
        <v>0</v>
      </c>
      <c r="AT82" s="135">
        <f t="shared" si="10"/>
        <v>0</v>
      </c>
      <c r="AU82" s="135">
        <f t="shared" si="10"/>
        <v>0</v>
      </c>
      <c r="AV82" s="135">
        <f t="shared" si="10"/>
        <v>1</v>
      </c>
      <c r="AW82" s="135">
        <f t="shared" si="10"/>
        <v>0</v>
      </c>
      <c r="AX82" s="135">
        <f t="shared" si="10"/>
        <v>0</v>
      </c>
      <c r="AY82" s="135">
        <f t="shared" si="10"/>
        <v>0</v>
      </c>
      <c r="AZ82" s="135">
        <f t="shared" si="10"/>
        <v>0</v>
      </c>
      <c r="BA82" s="136">
        <f t="shared" si="10"/>
        <v>0</v>
      </c>
    </row>
    <row r="83" spans="4:53" x14ac:dyDescent="0.35">
      <c r="O83" s="125" t="s">
        <v>100</v>
      </c>
      <c r="P83" s="157">
        <v>0</v>
      </c>
      <c r="Q83" s="158">
        <v>22.5</v>
      </c>
      <c r="R83" s="158">
        <v>0</v>
      </c>
      <c r="S83" s="158">
        <v>33.125</v>
      </c>
      <c r="T83" s="159">
        <v>0</v>
      </c>
      <c r="V83" s="206">
        <f>IF(COUNTA($O$78:$O83) = $R$53, 1, 0)</f>
        <v>0</v>
      </c>
      <c r="W83" s="135">
        <f t="shared" si="8"/>
        <v>0</v>
      </c>
      <c r="X83" s="135">
        <f t="shared" si="8"/>
        <v>0</v>
      </c>
      <c r="Y83" s="135">
        <f t="shared" si="8"/>
        <v>0</v>
      </c>
      <c r="Z83" s="135">
        <f t="shared" si="8"/>
        <v>0</v>
      </c>
      <c r="AA83" s="135">
        <f t="shared" si="8"/>
        <v>1</v>
      </c>
      <c r="AB83" s="135">
        <f t="shared" si="8"/>
        <v>0</v>
      </c>
      <c r="AC83" s="135">
        <f t="shared" si="8"/>
        <v>0</v>
      </c>
      <c r="AD83" s="135">
        <f t="shared" si="8"/>
        <v>0</v>
      </c>
      <c r="AE83" s="136">
        <f t="shared" si="8"/>
        <v>0</v>
      </c>
      <c r="AG83" s="206">
        <f>IF(COUNTA($O$78:$O83) = $S$53, 1, 0)</f>
        <v>0</v>
      </c>
      <c r="AH83" s="135">
        <f t="shared" si="9"/>
        <v>0</v>
      </c>
      <c r="AI83" s="135">
        <f t="shared" si="9"/>
        <v>0</v>
      </c>
      <c r="AJ83" s="135">
        <f t="shared" si="9"/>
        <v>0</v>
      </c>
      <c r="AK83" s="135">
        <f t="shared" si="9"/>
        <v>1</v>
      </c>
      <c r="AL83" s="135">
        <f t="shared" si="9"/>
        <v>0</v>
      </c>
      <c r="AM83" s="135">
        <f t="shared" si="9"/>
        <v>0</v>
      </c>
      <c r="AN83" s="135">
        <f t="shared" si="9"/>
        <v>0</v>
      </c>
      <c r="AO83" s="135">
        <f t="shared" si="9"/>
        <v>0</v>
      </c>
      <c r="AP83" s="136">
        <f t="shared" si="9"/>
        <v>0</v>
      </c>
      <c r="AR83" s="206">
        <f>IF(COUNTA($O$78:$O83) = $T$53, 1, 0)</f>
        <v>0</v>
      </c>
      <c r="AS83" s="135">
        <f t="shared" si="10"/>
        <v>0</v>
      </c>
      <c r="AT83" s="135">
        <f t="shared" si="10"/>
        <v>0</v>
      </c>
      <c r="AU83" s="135">
        <f t="shared" si="10"/>
        <v>0</v>
      </c>
      <c r="AV83" s="135">
        <f t="shared" si="10"/>
        <v>0</v>
      </c>
      <c r="AW83" s="135">
        <f t="shared" si="10"/>
        <v>1</v>
      </c>
      <c r="AX83" s="135">
        <f t="shared" si="10"/>
        <v>0</v>
      </c>
      <c r="AY83" s="135">
        <f t="shared" si="10"/>
        <v>0</v>
      </c>
      <c r="AZ83" s="135">
        <f t="shared" si="10"/>
        <v>0</v>
      </c>
      <c r="BA83" s="136">
        <f t="shared" si="10"/>
        <v>0</v>
      </c>
    </row>
    <row r="84" spans="4:53" x14ac:dyDescent="0.35">
      <c r="O84" s="125" t="s">
        <v>101</v>
      </c>
      <c r="P84" s="157">
        <v>0</v>
      </c>
      <c r="Q84" s="158">
        <v>22.5</v>
      </c>
      <c r="R84" s="158">
        <v>0</v>
      </c>
      <c r="S84" s="158">
        <v>33.125</v>
      </c>
      <c r="T84" s="159">
        <v>0</v>
      </c>
      <c r="V84" s="206">
        <f>IF(COUNTA($O$78:$O84) = $R$53, 1, 0)</f>
        <v>0</v>
      </c>
      <c r="W84" s="135">
        <f t="shared" si="8"/>
        <v>0</v>
      </c>
      <c r="X84" s="135">
        <f t="shared" si="8"/>
        <v>0</v>
      </c>
      <c r="Y84" s="135">
        <f t="shared" si="8"/>
        <v>0</v>
      </c>
      <c r="Z84" s="135">
        <f t="shared" si="8"/>
        <v>0</v>
      </c>
      <c r="AA84" s="135">
        <f t="shared" si="8"/>
        <v>0</v>
      </c>
      <c r="AB84" s="135">
        <f t="shared" si="8"/>
        <v>1</v>
      </c>
      <c r="AC84" s="135">
        <f t="shared" si="8"/>
        <v>0</v>
      </c>
      <c r="AD84" s="135">
        <f t="shared" si="8"/>
        <v>0</v>
      </c>
      <c r="AE84" s="136">
        <f t="shared" si="8"/>
        <v>0</v>
      </c>
      <c r="AG84" s="206">
        <f>IF(COUNTA($O$78:$O84) = $S$53, 1, 0)</f>
        <v>0</v>
      </c>
      <c r="AH84" s="135">
        <f t="shared" si="9"/>
        <v>0</v>
      </c>
      <c r="AI84" s="135">
        <f t="shared" si="9"/>
        <v>0</v>
      </c>
      <c r="AJ84" s="135">
        <f t="shared" si="9"/>
        <v>0</v>
      </c>
      <c r="AK84" s="135">
        <f t="shared" si="9"/>
        <v>0</v>
      </c>
      <c r="AL84" s="135">
        <f t="shared" si="9"/>
        <v>1</v>
      </c>
      <c r="AM84" s="135">
        <f t="shared" si="9"/>
        <v>0</v>
      </c>
      <c r="AN84" s="135">
        <f t="shared" si="9"/>
        <v>0</v>
      </c>
      <c r="AO84" s="135">
        <f t="shared" si="9"/>
        <v>0</v>
      </c>
      <c r="AP84" s="136">
        <f t="shared" si="9"/>
        <v>0</v>
      </c>
      <c r="AR84" s="206">
        <f>IF(COUNTA($O$78:$O84) = $T$53, 1, 0)</f>
        <v>0</v>
      </c>
      <c r="AS84" s="135">
        <f t="shared" si="10"/>
        <v>0</v>
      </c>
      <c r="AT84" s="135">
        <f t="shared" si="10"/>
        <v>0</v>
      </c>
      <c r="AU84" s="135">
        <f t="shared" si="10"/>
        <v>0</v>
      </c>
      <c r="AV84" s="135">
        <f t="shared" si="10"/>
        <v>0</v>
      </c>
      <c r="AW84" s="135">
        <f t="shared" si="10"/>
        <v>0</v>
      </c>
      <c r="AX84" s="135">
        <f t="shared" si="10"/>
        <v>1</v>
      </c>
      <c r="AY84" s="135">
        <f t="shared" si="10"/>
        <v>0</v>
      </c>
      <c r="AZ84" s="135">
        <f t="shared" si="10"/>
        <v>0</v>
      </c>
      <c r="BA84" s="136">
        <f t="shared" si="10"/>
        <v>0</v>
      </c>
    </row>
    <row r="85" spans="4:53" x14ac:dyDescent="0.35">
      <c r="O85" s="125" t="s">
        <v>102</v>
      </c>
      <c r="P85" s="157">
        <v>0</v>
      </c>
      <c r="Q85" s="158">
        <v>0</v>
      </c>
      <c r="R85" s="158">
        <v>53</v>
      </c>
      <c r="S85" s="158">
        <v>0</v>
      </c>
      <c r="T85" s="159">
        <v>0</v>
      </c>
      <c r="V85" s="206">
        <f>IF(COUNTA($O$78:$O85) = $R$53, 1, 0)</f>
        <v>0</v>
      </c>
      <c r="W85" s="135">
        <f t="shared" si="8"/>
        <v>0</v>
      </c>
      <c r="X85" s="135">
        <f t="shared" si="8"/>
        <v>0</v>
      </c>
      <c r="Y85" s="135">
        <f t="shared" si="8"/>
        <v>0</v>
      </c>
      <c r="Z85" s="135">
        <f t="shared" si="8"/>
        <v>0</v>
      </c>
      <c r="AA85" s="135">
        <f t="shared" si="8"/>
        <v>0</v>
      </c>
      <c r="AB85" s="135">
        <f t="shared" si="8"/>
        <v>0</v>
      </c>
      <c r="AC85" s="135">
        <f t="shared" si="8"/>
        <v>1</v>
      </c>
      <c r="AD85" s="135">
        <f t="shared" si="8"/>
        <v>0</v>
      </c>
      <c r="AE85" s="136">
        <f t="shared" si="8"/>
        <v>0</v>
      </c>
      <c r="AG85" s="206">
        <f>IF(COUNTA($O$78:$O85) = $S$53, 1, 0)</f>
        <v>0</v>
      </c>
      <c r="AH85" s="135">
        <f t="shared" si="9"/>
        <v>0</v>
      </c>
      <c r="AI85" s="135">
        <f t="shared" si="9"/>
        <v>0</v>
      </c>
      <c r="AJ85" s="135">
        <f t="shared" si="9"/>
        <v>0</v>
      </c>
      <c r="AK85" s="135">
        <f t="shared" si="9"/>
        <v>0</v>
      </c>
      <c r="AL85" s="135">
        <f t="shared" si="9"/>
        <v>0</v>
      </c>
      <c r="AM85" s="135">
        <f t="shared" si="9"/>
        <v>1</v>
      </c>
      <c r="AN85" s="135">
        <f t="shared" si="9"/>
        <v>0</v>
      </c>
      <c r="AO85" s="135">
        <f t="shared" si="9"/>
        <v>0</v>
      </c>
      <c r="AP85" s="136">
        <f t="shared" si="9"/>
        <v>0</v>
      </c>
      <c r="AR85" s="206">
        <f>IF(COUNTA($O$78:$O85) = $T$53, 1, 0)</f>
        <v>0</v>
      </c>
      <c r="AS85" s="135">
        <f t="shared" si="10"/>
        <v>0</v>
      </c>
      <c r="AT85" s="135">
        <f t="shared" si="10"/>
        <v>0</v>
      </c>
      <c r="AU85" s="135">
        <f t="shared" si="10"/>
        <v>0</v>
      </c>
      <c r="AV85" s="135">
        <f t="shared" si="10"/>
        <v>0</v>
      </c>
      <c r="AW85" s="135">
        <f t="shared" si="10"/>
        <v>0</v>
      </c>
      <c r="AX85" s="135">
        <f t="shared" si="10"/>
        <v>0</v>
      </c>
      <c r="AY85" s="135">
        <f t="shared" si="10"/>
        <v>1</v>
      </c>
      <c r="AZ85" s="135">
        <f t="shared" si="10"/>
        <v>0</v>
      </c>
      <c r="BA85" s="136">
        <f t="shared" si="10"/>
        <v>0</v>
      </c>
    </row>
    <row r="86" spans="4:53" x14ac:dyDescent="0.35">
      <c r="O86" s="125" t="s">
        <v>103</v>
      </c>
      <c r="P86" s="160">
        <v>0</v>
      </c>
      <c r="Q86" s="161">
        <v>99914.523000000001</v>
      </c>
      <c r="R86" s="161">
        <v>53</v>
      </c>
      <c r="S86" s="161">
        <v>0</v>
      </c>
      <c r="T86" s="162">
        <v>0</v>
      </c>
      <c r="V86" s="175">
        <f>IF(COUNTA($O$78:$O86) = $R$53, 1, 0)</f>
        <v>0</v>
      </c>
      <c r="W86" s="139">
        <f>V85</f>
        <v>0</v>
      </c>
      <c r="X86" s="139">
        <f t="shared" si="8"/>
        <v>0</v>
      </c>
      <c r="Y86" s="139">
        <f t="shared" si="8"/>
        <v>0</v>
      </c>
      <c r="Z86" s="139">
        <f t="shared" si="8"/>
        <v>0</v>
      </c>
      <c r="AA86" s="139">
        <f t="shared" si="8"/>
        <v>0</v>
      </c>
      <c r="AB86" s="139">
        <f t="shared" si="8"/>
        <v>0</v>
      </c>
      <c r="AC86" s="139">
        <f t="shared" si="8"/>
        <v>0</v>
      </c>
      <c r="AD86" s="139">
        <f t="shared" si="8"/>
        <v>1</v>
      </c>
      <c r="AE86" s="140">
        <f t="shared" si="8"/>
        <v>0</v>
      </c>
      <c r="AG86" s="175">
        <f>IF(COUNTA($O$78:$O86) = $S$53, 1, 0)</f>
        <v>0</v>
      </c>
      <c r="AH86" s="139">
        <f>AG85</f>
        <v>0</v>
      </c>
      <c r="AI86" s="139">
        <f t="shared" si="9"/>
        <v>0</v>
      </c>
      <c r="AJ86" s="139">
        <f t="shared" si="9"/>
        <v>0</v>
      </c>
      <c r="AK86" s="139">
        <f t="shared" si="9"/>
        <v>0</v>
      </c>
      <c r="AL86" s="139">
        <f t="shared" si="9"/>
        <v>0</v>
      </c>
      <c r="AM86" s="139">
        <f t="shared" si="9"/>
        <v>0</v>
      </c>
      <c r="AN86" s="139">
        <f t="shared" si="9"/>
        <v>1</v>
      </c>
      <c r="AO86" s="139">
        <f t="shared" si="9"/>
        <v>0</v>
      </c>
      <c r="AP86" s="140">
        <f t="shared" si="9"/>
        <v>0</v>
      </c>
      <c r="AR86" s="206">
        <f>IF(COUNTA($O$78:$O86) = $T$53, 1, 0)</f>
        <v>0</v>
      </c>
      <c r="AS86" s="139">
        <f>AR85</f>
        <v>0</v>
      </c>
      <c r="AT86" s="139">
        <f t="shared" si="10"/>
        <v>0</v>
      </c>
      <c r="AU86" s="139">
        <f t="shared" si="10"/>
        <v>0</v>
      </c>
      <c r="AV86" s="139">
        <f t="shared" si="10"/>
        <v>0</v>
      </c>
      <c r="AW86" s="139">
        <f t="shared" si="10"/>
        <v>0</v>
      </c>
      <c r="AX86" s="139">
        <f t="shared" si="10"/>
        <v>0</v>
      </c>
      <c r="AY86" s="139">
        <f t="shared" si="10"/>
        <v>0</v>
      </c>
      <c r="AZ86" s="139">
        <f t="shared" si="10"/>
        <v>1</v>
      </c>
      <c r="BA86" s="140">
        <f t="shared" si="10"/>
        <v>0</v>
      </c>
    </row>
    <row r="87" spans="4:53" x14ac:dyDescent="0.35">
      <c r="P87" s="125" t="s">
        <v>117</v>
      </c>
      <c r="V87" s="125" t="s">
        <v>158</v>
      </c>
      <c r="AG87" s="125" t="s">
        <v>157</v>
      </c>
      <c r="AR87" s="125" t="s">
        <v>160</v>
      </c>
    </row>
    <row r="88" spans="4:53" x14ac:dyDescent="0.35">
      <c r="D88" s="125" t="s">
        <v>116</v>
      </c>
      <c r="E88" s="125" t="s">
        <v>83</v>
      </c>
      <c r="O88" s="125" t="s">
        <v>72</v>
      </c>
      <c r="P88" s="154" cm="1">
        <f t="array" ref="P88:P97">MMULT($V$88:$AE$97,P66:P75)</f>
        <v>0</v>
      </c>
      <c r="Q88" s="155" cm="1">
        <f t="array" ref="Q88:Q97">MMULT($V$88:$AE$97,Q66:Q75)</f>
        <v>0</v>
      </c>
      <c r="R88" s="155" cm="1">
        <f t="array" ref="R88:R97">MMULT($V$88:$AE$97,R66:R75)</f>
        <v>0</v>
      </c>
      <c r="S88" s="155" cm="1">
        <f t="array" ref="S88:S97">MMULT($AG$88:$AP$97,S66:S75)</f>
        <v>0</v>
      </c>
      <c r="T88" s="156" cm="1">
        <f t="array" ref="T88:T97">MMULT($AR$88:$BA$97,T66:T75)</f>
        <v>0</v>
      </c>
      <c r="V88" s="154">
        <v>0</v>
      </c>
      <c r="W88" s="155">
        <v>0</v>
      </c>
      <c r="X88" s="155">
        <v>0</v>
      </c>
      <c r="Y88" s="155">
        <v>0</v>
      </c>
      <c r="Z88" s="155">
        <v>0</v>
      </c>
      <c r="AA88" s="155">
        <v>0</v>
      </c>
      <c r="AB88" s="155">
        <v>0</v>
      </c>
      <c r="AC88" s="155">
        <v>0</v>
      </c>
      <c r="AD88" s="155">
        <v>0</v>
      </c>
      <c r="AE88" s="156">
        <v>0</v>
      </c>
      <c r="AG88" s="154">
        <v>0</v>
      </c>
      <c r="AH88" s="155">
        <v>0</v>
      </c>
      <c r="AI88" s="155">
        <v>0</v>
      </c>
      <c r="AJ88" s="155">
        <v>0</v>
      </c>
      <c r="AK88" s="155">
        <v>0</v>
      </c>
      <c r="AL88" s="155">
        <v>0</v>
      </c>
      <c r="AM88" s="155">
        <v>0</v>
      </c>
      <c r="AN88" s="155">
        <v>0</v>
      </c>
      <c r="AO88" s="155">
        <v>0</v>
      </c>
      <c r="AP88" s="156">
        <v>0</v>
      </c>
      <c r="AR88" s="154">
        <v>0</v>
      </c>
      <c r="AS88" s="155">
        <v>0</v>
      </c>
      <c r="AT88" s="155">
        <v>0</v>
      </c>
      <c r="AU88" s="155">
        <v>0</v>
      </c>
      <c r="AV88" s="155">
        <v>0</v>
      </c>
      <c r="AW88" s="155">
        <v>0</v>
      </c>
      <c r="AX88" s="155">
        <v>0</v>
      </c>
      <c r="AY88" s="155">
        <v>0</v>
      </c>
      <c r="AZ88" s="155">
        <v>0</v>
      </c>
      <c r="BA88" s="156">
        <v>0</v>
      </c>
    </row>
    <row r="89" spans="4:53" x14ac:dyDescent="0.35">
      <c r="O89" s="125" t="s">
        <v>73</v>
      </c>
      <c r="P89" s="134">
        <v>0</v>
      </c>
      <c r="Q89" s="135">
        <v>0</v>
      </c>
      <c r="R89" s="135">
        <v>0</v>
      </c>
      <c r="S89" s="135">
        <v>0</v>
      </c>
      <c r="T89" s="136">
        <v>0</v>
      </c>
      <c r="V89" s="206">
        <f>IF(COUNTA($O$89:$O89) = $R$53+$R$55, 1, 0)</f>
        <v>0</v>
      </c>
      <c r="W89" s="135">
        <f t="shared" ref="W89:AE97" si="11">V88</f>
        <v>0</v>
      </c>
      <c r="X89" s="135">
        <f t="shared" si="11"/>
        <v>0</v>
      </c>
      <c r="Y89" s="135">
        <f t="shared" si="11"/>
        <v>0</v>
      </c>
      <c r="Z89" s="135">
        <f t="shared" si="11"/>
        <v>0</v>
      </c>
      <c r="AA89" s="135">
        <f t="shared" si="11"/>
        <v>0</v>
      </c>
      <c r="AB89" s="135">
        <f t="shared" si="11"/>
        <v>0</v>
      </c>
      <c r="AC89" s="135">
        <f t="shared" si="11"/>
        <v>0</v>
      </c>
      <c r="AD89" s="135">
        <f t="shared" si="11"/>
        <v>0</v>
      </c>
      <c r="AE89" s="136">
        <f t="shared" si="11"/>
        <v>0</v>
      </c>
      <c r="AG89" s="206">
        <f>IF(COUNTA($O$89:$O89) = $S$53+$S$55, 1, 0)</f>
        <v>0</v>
      </c>
      <c r="AH89" s="135">
        <f t="shared" ref="AH89:AP97" si="12">AG88</f>
        <v>0</v>
      </c>
      <c r="AI89" s="135">
        <f t="shared" si="12"/>
        <v>0</v>
      </c>
      <c r="AJ89" s="135">
        <f t="shared" si="12"/>
        <v>0</v>
      </c>
      <c r="AK89" s="135">
        <f t="shared" si="12"/>
        <v>0</v>
      </c>
      <c r="AL89" s="135">
        <f t="shared" si="12"/>
        <v>0</v>
      </c>
      <c r="AM89" s="135">
        <f t="shared" si="12"/>
        <v>0</v>
      </c>
      <c r="AN89" s="135">
        <f t="shared" si="12"/>
        <v>0</v>
      </c>
      <c r="AO89" s="135">
        <f t="shared" si="12"/>
        <v>0</v>
      </c>
      <c r="AP89" s="136">
        <f t="shared" si="12"/>
        <v>0</v>
      </c>
      <c r="AR89" s="206">
        <f>IF(COUNTA($O$89:$O89) = $T$53+$T$55, 1, 0)</f>
        <v>0</v>
      </c>
      <c r="AS89" s="135">
        <f t="shared" ref="AS89:BA97" si="13">AR88</f>
        <v>0</v>
      </c>
      <c r="AT89" s="135">
        <f t="shared" si="13"/>
        <v>0</v>
      </c>
      <c r="AU89" s="135">
        <f t="shared" si="13"/>
        <v>0</v>
      </c>
      <c r="AV89" s="135">
        <f t="shared" si="13"/>
        <v>0</v>
      </c>
      <c r="AW89" s="135">
        <f t="shared" si="13"/>
        <v>0</v>
      </c>
      <c r="AX89" s="135">
        <f t="shared" si="13"/>
        <v>0</v>
      </c>
      <c r="AY89" s="135">
        <f t="shared" si="13"/>
        <v>0</v>
      </c>
      <c r="AZ89" s="135">
        <f t="shared" si="13"/>
        <v>0</v>
      </c>
      <c r="BA89" s="136">
        <f t="shared" si="13"/>
        <v>0</v>
      </c>
    </row>
    <row r="90" spans="4:53" x14ac:dyDescent="0.35">
      <c r="O90" s="125" t="s">
        <v>74</v>
      </c>
      <c r="P90" s="134">
        <v>0</v>
      </c>
      <c r="Q90" s="135">
        <v>0</v>
      </c>
      <c r="R90" s="135">
        <v>0</v>
      </c>
      <c r="S90" s="135">
        <v>0</v>
      </c>
      <c r="T90" s="136">
        <v>0</v>
      </c>
      <c r="V90" s="206">
        <f>IF(COUNTA($O$89:$O90) = $R$53+$R$55, 1, 0)</f>
        <v>0</v>
      </c>
      <c r="W90" s="135">
        <f t="shared" si="11"/>
        <v>0</v>
      </c>
      <c r="X90" s="135">
        <f t="shared" si="11"/>
        <v>0</v>
      </c>
      <c r="Y90" s="135">
        <f t="shared" si="11"/>
        <v>0</v>
      </c>
      <c r="Z90" s="135">
        <f t="shared" si="11"/>
        <v>0</v>
      </c>
      <c r="AA90" s="135">
        <f t="shared" si="11"/>
        <v>0</v>
      </c>
      <c r="AB90" s="135">
        <f t="shared" si="11"/>
        <v>0</v>
      </c>
      <c r="AC90" s="135">
        <f t="shared" si="11"/>
        <v>0</v>
      </c>
      <c r="AD90" s="135">
        <f t="shared" si="11"/>
        <v>0</v>
      </c>
      <c r="AE90" s="136">
        <f t="shared" si="11"/>
        <v>0</v>
      </c>
      <c r="AG90" s="206">
        <f>IF(COUNTA($O$89:$O90) = $S$53+$S$55, 1, 0)</f>
        <v>0</v>
      </c>
      <c r="AH90" s="135">
        <f t="shared" si="12"/>
        <v>0</v>
      </c>
      <c r="AI90" s="135">
        <f t="shared" si="12"/>
        <v>0</v>
      </c>
      <c r="AJ90" s="135">
        <f t="shared" si="12"/>
        <v>0</v>
      </c>
      <c r="AK90" s="135">
        <f t="shared" si="12"/>
        <v>0</v>
      </c>
      <c r="AL90" s="135">
        <f t="shared" si="12"/>
        <v>0</v>
      </c>
      <c r="AM90" s="135">
        <f t="shared" si="12"/>
        <v>0</v>
      </c>
      <c r="AN90" s="135">
        <f t="shared" si="12"/>
        <v>0</v>
      </c>
      <c r="AO90" s="135">
        <f t="shared" si="12"/>
        <v>0</v>
      </c>
      <c r="AP90" s="136">
        <f t="shared" si="12"/>
        <v>0</v>
      </c>
      <c r="AR90" s="206">
        <f>IF(COUNTA($O$89:$O90) = $T$53+$T$55, 1, 0)</f>
        <v>0</v>
      </c>
      <c r="AS90" s="135">
        <f t="shared" si="13"/>
        <v>0</v>
      </c>
      <c r="AT90" s="135">
        <f t="shared" si="13"/>
        <v>0</v>
      </c>
      <c r="AU90" s="135">
        <f t="shared" si="13"/>
        <v>0</v>
      </c>
      <c r="AV90" s="135">
        <f t="shared" si="13"/>
        <v>0</v>
      </c>
      <c r="AW90" s="135">
        <f t="shared" si="13"/>
        <v>0</v>
      </c>
      <c r="AX90" s="135">
        <f t="shared" si="13"/>
        <v>0</v>
      </c>
      <c r="AY90" s="135">
        <f t="shared" si="13"/>
        <v>0</v>
      </c>
      <c r="AZ90" s="135">
        <f t="shared" si="13"/>
        <v>0</v>
      </c>
      <c r="BA90" s="136">
        <f t="shared" si="13"/>
        <v>0</v>
      </c>
    </row>
    <row r="91" spans="4:53" x14ac:dyDescent="0.35">
      <c r="O91" s="125" t="s">
        <v>75</v>
      </c>
      <c r="P91" s="134">
        <v>0</v>
      </c>
      <c r="Q91" s="135">
        <v>0</v>
      </c>
      <c r="R91" s="135">
        <v>0</v>
      </c>
      <c r="S91" s="135">
        <v>0</v>
      </c>
      <c r="T91" s="136">
        <v>0</v>
      </c>
      <c r="V91" s="206">
        <f>IF(COUNTA($O$89:$O91) = $R$53+$R$55, 1, 0)</f>
        <v>0</v>
      </c>
      <c r="W91" s="135">
        <f t="shared" si="11"/>
        <v>0</v>
      </c>
      <c r="X91" s="135">
        <f t="shared" si="11"/>
        <v>0</v>
      </c>
      <c r="Y91" s="135">
        <f t="shared" si="11"/>
        <v>0</v>
      </c>
      <c r="Z91" s="135">
        <f t="shared" si="11"/>
        <v>0</v>
      </c>
      <c r="AA91" s="135">
        <f t="shared" si="11"/>
        <v>0</v>
      </c>
      <c r="AB91" s="135">
        <f t="shared" si="11"/>
        <v>0</v>
      </c>
      <c r="AC91" s="135">
        <f t="shared" si="11"/>
        <v>0</v>
      </c>
      <c r="AD91" s="135">
        <f t="shared" si="11"/>
        <v>0</v>
      </c>
      <c r="AE91" s="136">
        <f t="shared" si="11"/>
        <v>0</v>
      </c>
      <c r="AG91" s="206">
        <f>IF(COUNTA($O$89:$O91) = $S$53+$S$55, 1, 0)</f>
        <v>0</v>
      </c>
      <c r="AH91" s="135">
        <f t="shared" si="12"/>
        <v>0</v>
      </c>
      <c r="AI91" s="135">
        <f t="shared" si="12"/>
        <v>0</v>
      </c>
      <c r="AJ91" s="135">
        <f t="shared" si="12"/>
        <v>0</v>
      </c>
      <c r="AK91" s="135">
        <f t="shared" si="12"/>
        <v>0</v>
      </c>
      <c r="AL91" s="135">
        <f t="shared" si="12"/>
        <v>0</v>
      </c>
      <c r="AM91" s="135">
        <f t="shared" si="12"/>
        <v>0</v>
      </c>
      <c r="AN91" s="135">
        <f t="shared" si="12"/>
        <v>0</v>
      </c>
      <c r="AO91" s="135">
        <f t="shared" si="12"/>
        <v>0</v>
      </c>
      <c r="AP91" s="136">
        <f t="shared" si="12"/>
        <v>0</v>
      </c>
      <c r="AR91" s="206">
        <f>IF(COUNTA($O$89:$O91) = $T$53+$T$55, 1, 0)</f>
        <v>0</v>
      </c>
      <c r="AS91" s="135">
        <f t="shared" si="13"/>
        <v>0</v>
      </c>
      <c r="AT91" s="135">
        <f t="shared" si="13"/>
        <v>0</v>
      </c>
      <c r="AU91" s="135">
        <f t="shared" si="13"/>
        <v>0</v>
      </c>
      <c r="AV91" s="135">
        <f t="shared" si="13"/>
        <v>0</v>
      </c>
      <c r="AW91" s="135">
        <f t="shared" si="13"/>
        <v>0</v>
      </c>
      <c r="AX91" s="135">
        <f t="shared" si="13"/>
        <v>0</v>
      </c>
      <c r="AY91" s="135">
        <f t="shared" si="13"/>
        <v>0</v>
      </c>
      <c r="AZ91" s="135">
        <f t="shared" si="13"/>
        <v>0</v>
      </c>
      <c r="BA91" s="136">
        <f t="shared" si="13"/>
        <v>0</v>
      </c>
    </row>
    <row r="92" spans="4:53" x14ac:dyDescent="0.35">
      <c r="O92" s="125" t="s">
        <v>76</v>
      </c>
      <c r="P92" s="134">
        <v>0</v>
      </c>
      <c r="Q92" s="135">
        <v>0</v>
      </c>
      <c r="R92" s="135">
        <v>0</v>
      </c>
      <c r="S92" s="135">
        <v>0</v>
      </c>
      <c r="T92" s="136">
        <v>0</v>
      </c>
      <c r="V92" s="206">
        <f>IF(COUNTA($O$89:$O92) = $R$53+$R$55, 1, 0)</f>
        <v>0</v>
      </c>
      <c r="W92" s="135">
        <f t="shared" si="11"/>
        <v>0</v>
      </c>
      <c r="X92" s="135">
        <f t="shared" si="11"/>
        <v>0</v>
      </c>
      <c r="Y92" s="135">
        <f t="shared" si="11"/>
        <v>0</v>
      </c>
      <c r="Z92" s="135">
        <f t="shared" si="11"/>
        <v>0</v>
      </c>
      <c r="AA92" s="135">
        <f t="shared" si="11"/>
        <v>0</v>
      </c>
      <c r="AB92" s="135">
        <f t="shared" si="11"/>
        <v>0</v>
      </c>
      <c r="AC92" s="135">
        <f t="shared" si="11"/>
        <v>0</v>
      </c>
      <c r="AD92" s="135">
        <f t="shared" si="11"/>
        <v>0</v>
      </c>
      <c r="AE92" s="136">
        <f t="shared" si="11"/>
        <v>0</v>
      </c>
      <c r="AG92" s="206">
        <f>IF(COUNTA($O$89:$O92) = $S$53+$S$55, 1, 0)</f>
        <v>0</v>
      </c>
      <c r="AH92" s="135">
        <f t="shared" si="12"/>
        <v>0</v>
      </c>
      <c r="AI92" s="135">
        <f t="shared" si="12"/>
        <v>0</v>
      </c>
      <c r="AJ92" s="135">
        <f t="shared" si="12"/>
        <v>0</v>
      </c>
      <c r="AK92" s="135">
        <f t="shared" si="12"/>
        <v>0</v>
      </c>
      <c r="AL92" s="135">
        <f t="shared" si="12"/>
        <v>0</v>
      </c>
      <c r="AM92" s="135">
        <f t="shared" si="12"/>
        <v>0</v>
      </c>
      <c r="AN92" s="135">
        <f t="shared" si="12"/>
        <v>0</v>
      </c>
      <c r="AO92" s="135">
        <f t="shared" si="12"/>
        <v>0</v>
      </c>
      <c r="AP92" s="136">
        <f t="shared" si="12"/>
        <v>0</v>
      </c>
      <c r="AR92" s="206">
        <f>IF(COUNTA($O$89:$O92) = $T$53+$T$55, 1, 0)</f>
        <v>0</v>
      </c>
      <c r="AS92" s="135">
        <f t="shared" si="13"/>
        <v>0</v>
      </c>
      <c r="AT92" s="135">
        <f t="shared" si="13"/>
        <v>0</v>
      </c>
      <c r="AU92" s="135">
        <f t="shared" si="13"/>
        <v>0</v>
      </c>
      <c r="AV92" s="135">
        <f t="shared" si="13"/>
        <v>0</v>
      </c>
      <c r="AW92" s="135">
        <f t="shared" si="13"/>
        <v>0</v>
      </c>
      <c r="AX92" s="135">
        <f t="shared" si="13"/>
        <v>0</v>
      </c>
      <c r="AY92" s="135">
        <f t="shared" si="13"/>
        <v>0</v>
      </c>
      <c r="AZ92" s="135">
        <f t="shared" si="13"/>
        <v>0</v>
      </c>
      <c r="BA92" s="136">
        <f t="shared" si="13"/>
        <v>0</v>
      </c>
    </row>
    <row r="93" spans="4:53" x14ac:dyDescent="0.35">
      <c r="O93" s="125" t="s">
        <v>99</v>
      </c>
      <c r="P93" s="134">
        <v>0</v>
      </c>
      <c r="Q93" s="135">
        <v>0</v>
      </c>
      <c r="R93" s="135">
        <v>0</v>
      </c>
      <c r="S93" s="135">
        <v>0</v>
      </c>
      <c r="T93" s="136">
        <v>0</v>
      </c>
      <c r="V93" s="206">
        <f>IF(COUNTA($O$89:$O93) = $R$53+$R$55, 1, 0)</f>
        <v>0</v>
      </c>
      <c r="W93" s="135">
        <f t="shared" si="11"/>
        <v>0</v>
      </c>
      <c r="X93" s="135">
        <f t="shared" si="11"/>
        <v>0</v>
      </c>
      <c r="Y93" s="135">
        <f t="shared" si="11"/>
        <v>0</v>
      </c>
      <c r="Z93" s="135">
        <f t="shared" si="11"/>
        <v>0</v>
      </c>
      <c r="AA93" s="135">
        <f t="shared" si="11"/>
        <v>0</v>
      </c>
      <c r="AB93" s="135">
        <f t="shared" si="11"/>
        <v>0</v>
      </c>
      <c r="AC93" s="135">
        <f t="shared" si="11"/>
        <v>0</v>
      </c>
      <c r="AD93" s="135">
        <f t="shared" si="11"/>
        <v>0</v>
      </c>
      <c r="AE93" s="136">
        <f t="shared" si="11"/>
        <v>0</v>
      </c>
      <c r="AG93" s="206">
        <f>IF(COUNTA($O$89:$O93) = $S$53+$S$55, 1, 0)</f>
        <v>0</v>
      </c>
      <c r="AH93" s="135">
        <f t="shared" si="12"/>
        <v>0</v>
      </c>
      <c r="AI93" s="135">
        <f t="shared" si="12"/>
        <v>0</v>
      </c>
      <c r="AJ93" s="135">
        <f t="shared" si="12"/>
        <v>0</v>
      </c>
      <c r="AK93" s="135">
        <f t="shared" si="12"/>
        <v>0</v>
      </c>
      <c r="AL93" s="135">
        <f t="shared" si="12"/>
        <v>0</v>
      </c>
      <c r="AM93" s="135">
        <f t="shared" si="12"/>
        <v>0</v>
      </c>
      <c r="AN93" s="135">
        <f t="shared" si="12"/>
        <v>0</v>
      </c>
      <c r="AO93" s="135">
        <f t="shared" si="12"/>
        <v>0</v>
      </c>
      <c r="AP93" s="136">
        <f t="shared" si="12"/>
        <v>0</v>
      </c>
      <c r="AR93" s="206">
        <f>IF(COUNTA($O$89:$O93) = $T$53+$T$55, 1, 0)</f>
        <v>0</v>
      </c>
      <c r="AS93" s="135">
        <f t="shared" si="13"/>
        <v>0</v>
      </c>
      <c r="AT93" s="135">
        <f t="shared" si="13"/>
        <v>0</v>
      </c>
      <c r="AU93" s="135">
        <f t="shared" si="13"/>
        <v>0</v>
      </c>
      <c r="AV93" s="135">
        <f t="shared" si="13"/>
        <v>0</v>
      </c>
      <c r="AW93" s="135">
        <f t="shared" si="13"/>
        <v>0</v>
      </c>
      <c r="AX93" s="135">
        <f t="shared" si="13"/>
        <v>0</v>
      </c>
      <c r="AY93" s="135">
        <f t="shared" si="13"/>
        <v>0</v>
      </c>
      <c r="AZ93" s="135">
        <f t="shared" si="13"/>
        <v>0</v>
      </c>
      <c r="BA93" s="136">
        <f t="shared" si="13"/>
        <v>0</v>
      </c>
    </row>
    <row r="94" spans="4:53" x14ac:dyDescent="0.35">
      <c r="O94" s="125" t="s">
        <v>100</v>
      </c>
      <c r="P94" s="134">
        <v>0</v>
      </c>
      <c r="Q94" s="135">
        <v>0</v>
      </c>
      <c r="R94" s="135">
        <v>0</v>
      </c>
      <c r="S94" s="135">
        <v>0</v>
      </c>
      <c r="T94" s="136">
        <v>0</v>
      </c>
      <c r="V94" s="206">
        <f>IF(COUNTA($O$89:$O94) = $R$53+$R$55, 1, 0)</f>
        <v>0</v>
      </c>
      <c r="W94" s="135">
        <f t="shared" si="11"/>
        <v>0</v>
      </c>
      <c r="X94" s="135">
        <f t="shared" si="11"/>
        <v>0</v>
      </c>
      <c r="Y94" s="135">
        <f t="shared" si="11"/>
        <v>0</v>
      </c>
      <c r="Z94" s="135">
        <f t="shared" si="11"/>
        <v>0</v>
      </c>
      <c r="AA94" s="135">
        <f t="shared" si="11"/>
        <v>0</v>
      </c>
      <c r="AB94" s="135">
        <f t="shared" si="11"/>
        <v>0</v>
      </c>
      <c r="AC94" s="135">
        <f t="shared" si="11"/>
        <v>0</v>
      </c>
      <c r="AD94" s="135">
        <f t="shared" si="11"/>
        <v>0</v>
      </c>
      <c r="AE94" s="136">
        <f t="shared" si="11"/>
        <v>0</v>
      </c>
      <c r="AG94" s="206">
        <f>IF(COUNTA($O$89:$O94) = $S$53+$S$55, 1, 0)</f>
        <v>0</v>
      </c>
      <c r="AH94" s="135">
        <f t="shared" si="12"/>
        <v>0</v>
      </c>
      <c r="AI94" s="135">
        <f t="shared" si="12"/>
        <v>0</v>
      </c>
      <c r="AJ94" s="135">
        <f t="shared" si="12"/>
        <v>0</v>
      </c>
      <c r="AK94" s="135">
        <f t="shared" si="12"/>
        <v>0</v>
      </c>
      <c r="AL94" s="135">
        <f t="shared" si="12"/>
        <v>0</v>
      </c>
      <c r="AM94" s="135">
        <f t="shared" si="12"/>
        <v>0</v>
      </c>
      <c r="AN94" s="135">
        <f t="shared" si="12"/>
        <v>0</v>
      </c>
      <c r="AO94" s="135">
        <f t="shared" si="12"/>
        <v>0</v>
      </c>
      <c r="AP94" s="136">
        <f t="shared" si="12"/>
        <v>0</v>
      </c>
      <c r="AR94" s="206">
        <f>IF(COUNTA($O$89:$O94) = $T$53+$T$55, 1, 0)</f>
        <v>0</v>
      </c>
      <c r="AS94" s="135">
        <f t="shared" si="13"/>
        <v>0</v>
      </c>
      <c r="AT94" s="135">
        <f t="shared" si="13"/>
        <v>0</v>
      </c>
      <c r="AU94" s="135">
        <f t="shared" si="13"/>
        <v>0</v>
      </c>
      <c r="AV94" s="135">
        <f t="shared" si="13"/>
        <v>0</v>
      </c>
      <c r="AW94" s="135">
        <f t="shared" si="13"/>
        <v>0</v>
      </c>
      <c r="AX94" s="135">
        <f t="shared" si="13"/>
        <v>0</v>
      </c>
      <c r="AY94" s="135">
        <f t="shared" si="13"/>
        <v>0</v>
      </c>
      <c r="AZ94" s="135">
        <f t="shared" si="13"/>
        <v>0</v>
      </c>
      <c r="BA94" s="136">
        <f t="shared" si="13"/>
        <v>0</v>
      </c>
    </row>
    <row r="95" spans="4:53" x14ac:dyDescent="0.35">
      <c r="O95" s="125" t="s">
        <v>101</v>
      </c>
      <c r="P95" s="134">
        <v>0</v>
      </c>
      <c r="Q95" s="135">
        <v>0</v>
      </c>
      <c r="R95" s="135">
        <v>0</v>
      </c>
      <c r="S95" s="135">
        <v>0</v>
      </c>
      <c r="T95" s="136">
        <v>0</v>
      </c>
      <c r="V95" s="206">
        <f>IF(COUNTA($O$89:$O95) = $R$53+$R$55, 1, 0)</f>
        <v>1</v>
      </c>
      <c r="W95" s="135">
        <f t="shared" si="11"/>
        <v>0</v>
      </c>
      <c r="X95" s="135">
        <f t="shared" si="11"/>
        <v>0</v>
      </c>
      <c r="Y95" s="135">
        <f t="shared" si="11"/>
        <v>0</v>
      </c>
      <c r="Z95" s="135">
        <f t="shared" si="11"/>
        <v>0</v>
      </c>
      <c r="AA95" s="135">
        <f t="shared" si="11"/>
        <v>0</v>
      </c>
      <c r="AB95" s="135">
        <f t="shared" si="11"/>
        <v>0</v>
      </c>
      <c r="AC95" s="135">
        <f t="shared" si="11"/>
        <v>0</v>
      </c>
      <c r="AD95" s="135">
        <f t="shared" si="11"/>
        <v>0</v>
      </c>
      <c r="AE95" s="136">
        <f t="shared" si="11"/>
        <v>0</v>
      </c>
      <c r="AG95" s="206">
        <f>IF(COUNTA($O$89:$O95) = $S$53+$S$55, 1, 0)</f>
        <v>0</v>
      </c>
      <c r="AH95" s="135">
        <f t="shared" si="12"/>
        <v>0</v>
      </c>
      <c r="AI95" s="135">
        <f t="shared" si="12"/>
        <v>0</v>
      </c>
      <c r="AJ95" s="135">
        <f t="shared" si="12"/>
        <v>0</v>
      </c>
      <c r="AK95" s="135">
        <f t="shared" si="12"/>
        <v>0</v>
      </c>
      <c r="AL95" s="135">
        <f t="shared" si="12"/>
        <v>0</v>
      </c>
      <c r="AM95" s="135">
        <f t="shared" si="12"/>
        <v>0</v>
      </c>
      <c r="AN95" s="135">
        <f t="shared" si="12"/>
        <v>0</v>
      </c>
      <c r="AO95" s="135">
        <f t="shared" si="12"/>
        <v>0</v>
      </c>
      <c r="AP95" s="136">
        <f t="shared" si="12"/>
        <v>0</v>
      </c>
      <c r="AR95" s="206">
        <f>IF(COUNTA($O$89:$O95) = $T$53+$T$55, 1, 0)</f>
        <v>0</v>
      </c>
      <c r="AS95" s="135">
        <f t="shared" si="13"/>
        <v>0</v>
      </c>
      <c r="AT95" s="135">
        <f t="shared" si="13"/>
        <v>0</v>
      </c>
      <c r="AU95" s="135">
        <f t="shared" si="13"/>
        <v>0</v>
      </c>
      <c r="AV95" s="135">
        <f t="shared" si="13"/>
        <v>0</v>
      </c>
      <c r="AW95" s="135">
        <f t="shared" si="13"/>
        <v>0</v>
      </c>
      <c r="AX95" s="135">
        <f t="shared" si="13"/>
        <v>0</v>
      </c>
      <c r="AY95" s="135">
        <f t="shared" si="13"/>
        <v>0</v>
      </c>
      <c r="AZ95" s="135">
        <f t="shared" si="13"/>
        <v>0</v>
      </c>
      <c r="BA95" s="136">
        <f t="shared" si="13"/>
        <v>0</v>
      </c>
    </row>
    <row r="96" spans="4:53" x14ac:dyDescent="0.35">
      <c r="O96" s="125" t="s">
        <v>102</v>
      </c>
      <c r="P96" s="134">
        <v>0</v>
      </c>
      <c r="Q96" s="135">
        <v>0</v>
      </c>
      <c r="R96" s="135">
        <v>0</v>
      </c>
      <c r="S96" s="135">
        <v>0</v>
      </c>
      <c r="T96" s="136">
        <v>0</v>
      </c>
      <c r="V96" s="206">
        <f>IF(COUNTA($O$89:$O96) = $R$53+$R$55, 1, 0)</f>
        <v>0</v>
      </c>
      <c r="W96" s="135">
        <f t="shared" si="11"/>
        <v>1</v>
      </c>
      <c r="X96" s="135">
        <f t="shared" si="11"/>
        <v>0</v>
      </c>
      <c r="Y96" s="135">
        <f t="shared" si="11"/>
        <v>0</v>
      </c>
      <c r="Z96" s="135">
        <f t="shared" si="11"/>
        <v>0</v>
      </c>
      <c r="AA96" s="135">
        <f t="shared" si="11"/>
        <v>0</v>
      </c>
      <c r="AB96" s="135">
        <f t="shared" si="11"/>
        <v>0</v>
      </c>
      <c r="AC96" s="135">
        <f t="shared" si="11"/>
        <v>0</v>
      </c>
      <c r="AD96" s="135">
        <f t="shared" si="11"/>
        <v>0</v>
      </c>
      <c r="AE96" s="136">
        <f t="shared" si="11"/>
        <v>0</v>
      </c>
      <c r="AG96" s="206">
        <f>IF(COUNTA($O$89:$O96) = $S$53+$S$55, 1, 0)</f>
        <v>0</v>
      </c>
      <c r="AH96" s="135">
        <f t="shared" si="12"/>
        <v>0</v>
      </c>
      <c r="AI96" s="135">
        <f t="shared" si="12"/>
        <v>0</v>
      </c>
      <c r="AJ96" s="135">
        <f t="shared" si="12"/>
        <v>0</v>
      </c>
      <c r="AK96" s="135">
        <f t="shared" si="12"/>
        <v>0</v>
      </c>
      <c r="AL96" s="135">
        <f t="shared" si="12"/>
        <v>0</v>
      </c>
      <c r="AM96" s="135">
        <f t="shared" si="12"/>
        <v>0</v>
      </c>
      <c r="AN96" s="135">
        <f t="shared" si="12"/>
        <v>0</v>
      </c>
      <c r="AO96" s="135">
        <f t="shared" si="12"/>
        <v>0</v>
      </c>
      <c r="AP96" s="136">
        <f t="shared" si="12"/>
        <v>0</v>
      </c>
      <c r="AR96" s="206">
        <f>IF(COUNTA($O$89:$O96) = $T$53+$T$55, 1, 0)</f>
        <v>0</v>
      </c>
      <c r="AS96" s="135">
        <f t="shared" si="13"/>
        <v>0</v>
      </c>
      <c r="AT96" s="135">
        <f t="shared" si="13"/>
        <v>0</v>
      </c>
      <c r="AU96" s="135">
        <f t="shared" si="13"/>
        <v>0</v>
      </c>
      <c r="AV96" s="135">
        <f t="shared" si="13"/>
        <v>0</v>
      </c>
      <c r="AW96" s="135">
        <f t="shared" si="13"/>
        <v>0</v>
      </c>
      <c r="AX96" s="135">
        <f t="shared" si="13"/>
        <v>0</v>
      </c>
      <c r="AY96" s="135">
        <f t="shared" si="13"/>
        <v>0</v>
      </c>
      <c r="AZ96" s="135">
        <f t="shared" si="13"/>
        <v>0</v>
      </c>
      <c r="BA96" s="136">
        <f t="shared" si="13"/>
        <v>0</v>
      </c>
    </row>
    <row r="97" spans="4:53" x14ac:dyDescent="0.35">
      <c r="O97" s="125" t="s">
        <v>103</v>
      </c>
      <c r="P97" s="138">
        <v>0</v>
      </c>
      <c r="Q97" s="139">
        <v>0</v>
      </c>
      <c r="R97" s="139">
        <v>0</v>
      </c>
      <c r="S97" s="139">
        <v>0</v>
      </c>
      <c r="T97" s="140">
        <v>0</v>
      </c>
      <c r="V97" s="175">
        <f>IF(COUNTA($O$89:$O97) = $R$53+$R$55, 1, 0)</f>
        <v>0</v>
      </c>
      <c r="W97" s="139">
        <f>V96</f>
        <v>0</v>
      </c>
      <c r="X97" s="139">
        <f t="shared" si="11"/>
        <v>1</v>
      </c>
      <c r="Y97" s="139">
        <f t="shared" si="11"/>
        <v>0</v>
      </c>
      <c r="Z97" s="139">
        <f t="shared" si="11"/>
        <v>0</v>
      </c>
      <c r="AA97" s="139">
        <f t="shared" si="11"/>
        <v>0</v>
      </c>
      <c r="AB97" s="139">
        <f t="shared" si="11"/>
        <v>0</v>
      </c>
      <c r="AC97" s="139">
        <f t="shared" si="11"/>
        <v>0</v>
      </c>
      <c r="AD97" s="139">
        <f t="shared" si="11"/>
        <v>0</v>
      </c>
      <c r="AE97" s="140">
        <f t="shared" si="11"/>
        <v>0</v>
      </c>
      <c r="AG97" s="175">
        <f>IF(COUNTA($O$89:$O97) = $S$53+$S$55, 1, 0)</f>
        <v>0</v>
      </c>
      <c r="AH97" s="139">
        <f>AG96</f>
        <v>0</v>
      </c>
      <c r="AI97" s="139">
        <f t="shared" si="12"/>
        <v>0</v>
      </c>
      <c r="AJ97" s="139">
        <f t="shared" si="12"/>
        <v>0</v>
      </c>
      <c r="AK97" s="139">
        <f t="shared" si="12"/>
        <v>0</v>
      </c>
      <c r="AL97" s="139">
        <f t="shared" si="12"/>
        <v>0</v>
      </c>
      <c r="AM97" s="139">
        <f t="shared" si="12"/>
        <v>0</v>
      </c>
      <c r="AN97" s="139">
        <f t="shared" si="12"/>
        <v>0</v>
      </c>
      <c r="AO97" s="139">
        <f t="shared" si="12"/>
        <v>0</v>
      </c>
      <c r="AP97" s="140">
        <f t="shared" si="12"/>
        <v>0</v>
      </c>
      <c r="AR97" s="206">
        <f>IF(COUNTA($O$89:$O97) = $T$53+$T$55, 1, 0)</f>
        <v>0</v>
      </c>
      <c r="AS97" s="139">
        <f>AR96</f>
        <v>0</v>
      </c>
      <c r="AT97" s="139">
        <f t="shared" si="13"/>
        <v>0</v>
      </c>
      <c r="AU97" s="139">
        <f t="shared" si="13"/>
        <v>0</v>
      </c>
      <c r="AV97" s="139">
        <f t="shared" si="13"/>
        <v>0</v>
      </c>
      <c r="AW97" s="139">
        <f t="shared" si="13"/>
        <v>0</v>
      </c>
      <c r="AX97" s="139">
        <f t="shared" si="13"/>
        <v>0</v>
      </c>
      <c r="AY97" s="139">
        <f t="shared" si="13"/>
        <v>0</v>
      </c>
      <c r="AZ97" s="139">
        <f t="shared" si="13"/>
        <v>0</v>
      </c>
      <c r="BA97" s="140">
        <f t="shared" si="13"/>
        <v>0</v>
      </c>
    </row>
    <row r="98" spans="4:53" x14ac:dyDescent="0.35">
      <c r="P98" s="125" t="s">
        <v>119</v>
      </c>
      <c r="V98" s="125" t="s">
        <v>118</v>
      </c>
    </row>
    <row r="99" spans="4:53" x14ac:dyDescent="0.35">
      <c r="D99" s="125" t="s">
        <v>115</v>
      </c>
      <c r="E99" s="125" t="s">
        <v>83</v>
      </c>
      <c r="O99" s="125" t="s">
        <v>72</v>
      </c>
      <c r="P99" s="130" cm="1">
        <f t="array" ref="P99:T108">P37:T46 + MMULT(V99:AE108,P77:T86) - P88:T97</f>
        <v>60</v>
      </c>
      <c r="Q99" s="131">
        <v>40</v>
      </c>
      <c r="R99" s="131">
        <v>150</v>
      </c>
      <c r="S99" s="131">
        <v>70</v>
      </c>
      <c r="T99" s="132">
        <v>30</v>
      </c>
      <c r="V99" s="130">
        <v>1</v>
      </c>
      <c r="W99" s="131">
        <v>0</v>
      </c>
      <c r="X99" s="131">
        <v>0</v>
      </c>
      <c r="Y99" s="131">
        <v>0</v>
      </c>
      <c r="Z99" s="131">
        <v>0</v>
      </c>
      <c r="AA99" s="131">
        <v>0</v>
      </c>
      <c r="AB99" s="131">
        <v>0</v>
      </c>
      <c r="AC99" s="131">
        <v>0</v>
      </c>
      <c r="AD99" s="131">
        <v>0</v>
      </c>
      <c r="AE99" s="132">
        <v>0</v>
      </c>
    </row>
    <row r="100" spans="4:53" x14ac:dyDescent="0.35">
      <c r="O100" s="125" t="s">
        <v>73</v>
      </c>
      <c r="P100" s="134">
        <v>60</v>
      </c>
      <c r="Q100" s="135">
        <v>40</v>
      </c>
      <c r="R100" s="135">
        <v>145</v>
      </c>
      <c r="S100" s="135">
        <v>65</v>
      </c>
      <c r="T100" s="136">
        <v>30</v>
      </c>
      <c r="V100" s="134">
        <v>1</v>
      </c>
      <c r="W100" s="135">
        <v>1</v>
      </c>
      <c r="X100" s="135">
        <v>0</v>
      </c>
      <c r="Y100" s="135">
        <v>0</v>
      </c>
      <c r="Z100" s="135">
        <v>0</v>
      </c>
      <c r="AA100" s="135">
        <v>0</v>
      </c>
      <c r="AB100" s="135">
        <v>0</v>
      </c>
      <c r="AC100" s="135">
        <v>0</v>
      </c>
      <c r="AD100" s="135">
        <v>0</v>
      </c>
      <c r="AE100" s="136">
        <v>0</v>
      </c>
    </row>
    <row r="101" spans="4:53" x14ac:dyDescent="0.35">
      <c r="O101" s="125" t="s">
        <v>74</v>
      </c>
      <c r="P101" s="134">
        <v>60</v>
      </c>
      <c r="Q101" s="135">
        <v>40</v>
      </c>
      <c r="R101" s="135">
        <v>140</v>
      </c>
      <c r="S101" s="135">
        <v>60</v>
      </c>
      <c r="T101" s="136">
        <v>31.031030999999999</v>
      </c>
      <c r="V101" s="134">
        <v>1</v>
      </c>
      <c r="W101" s="135">
        <v>1</v>
      </c>
      <c r="X101" s="135">
        <v>1</v>
      </c>
      <c r="Y101" s="135">
        <v>0</v>
      </c>
      <c r="Z101" s="135">
        <v>0</v>
      </c>
      <c r="AA101" s="135">
        <v>0</v>
      </c>
      <c r="AB101" s="135">
        <v>0</v>
      </c>
      <c r="AC101" s="135">
        <v>0</v>
      </c>
      <c r="AD101" s="135">
        <v>0</v>
      </c>
      <c r="AE101" s="136">
        <v>0</v>
      </c>
    </row>
    <row r="102" spans="4:53" x14ac:dyDescent="0.35">
      <c r="O102" s="125" t="s">
        <v>75</v>
      </c>
      <c r="P102" s="134">
        <v>60</v>
      </c>
      <c r="Q102" s="135">
        <v>40</v>
      </c>
      <c r="R102" s="135">
        <v>135</v>
      </c>
      <c r="S102" s="135">
        <v>55</v>
      </c>
      <c r="T102" s="136">
        <v>44.294294000000001</v>
      </c>
      <c r="V102" s="134">
        <v>1</v>
      </c>
      <c r="W102" s="135">
        <v>1</v>
      </c>
      <c r="X102" s="135">
        <v>1</v>
      </c>
      <c r="Y102" s="135">
        <v>1</v>
      </c>
      <c r="Z102" s="135">
        <v>0</v>
      </c>
      <c r="AA102" s="135">
        <v>0</v>
      </c>
      <c r="AB102" s="135">
        <v>0</v>
      </c>
      <c r="AC102" s="135">
        <v>0</v>
      </c>
      <c r="AD102" s="135">
        <v>0</v>
      </c>
      <c r="AE102" s="136">
        <v>0</v>
      </c>
    </row>
    <row r="103" spans="4:53" x14ac:dyDescent="0.35">
      <c r="O103" s="125" t="s">
        <v>76</v>
      </c>
      <c r="P103" s="134">
        <v>60</v>
      </c>
      <c r="Q103" s="135">
        <v>40</v>
      </c>
      <c r="R103" s="135">
        <v>130</v>
      </c>
      <c r="S103" s="135">
        <v>50</v>
      </c>
      <c r="T103" s="136">
        <v>57.557557000000003</v>
      </c>
      <c r="V103" s="134">
        <v>1</v>
      </c>
      <c r="W103" s="135">
        <v>1</v>
      </c>
      <c r="X103" s="135">
        <v>1</v>
      </c>
      <c r="Y103" s="135">
        <v>1</v>
      </c>
      <c r="Z103" s="135">
        <v>1</v>
      </c>
      <c r="AA103" s="135">
        <v>0</v>
      </c>
      <c r="AB103" s="135">
        <v>0</v>
      </c>
      <c r="AC103" s="135">
        <v>0</v>
      </c>
      <c r="AD103" s="135">
        <v>0</v>
      </c>
      <c r="AE103" s="136">
        <v>0</v>
      </c>
    </row>
    <row r="104" spans="4:53" x14ac:dyDescent="0.35">
      <c r="O104" s="125" t="s">
        <v>99</v>
      </c>
      <c r="P104" s="134">
        <v>60</v>
      </c>
      <c r="Q104" s="135">
        <v>40.477142860000001</v>
      </c>
      <c r="R104" s="135">
        <v>125</v>
      </c>
      <c r="S104" s="135">
        <v>72.025000000000006</v>
      </c>
      <c r="T104" s="136">
        <v>59.999999400000007</v>
      </c>
      <c r="V104" s="134">
        <v>1</v>
      </c>
      <c r="W104" s="135">
        <v>1</v>
      </c>
      <c r="X104" s="135">
        <v>1</v>
      </c>
      <c r="Y104" s="135">
        <v>1</v>
      </c>
      <c r="Z104" s="135">
        <v>1</v>
      </c>
      <c r="AA104" s="135">
        <v>1</v>
      </c>
      <c r="AB104" s="135">
        <v>0</v>
      </c>
      <c r="AC104" s="135">
        <v>0</v>
      </c>
      <c r="AD104" s="135">
        <v>0</v>
      </c>
      <c r="AE104" s="136">
        <v>0</v>
      </c>
    </row>
    <row r="105" spans="4:53" x14ac:dyDescent="0.35">
      <c r="O105" s="125" t="s">
        <v>100</v>
      </c>
      <c r="P105" s="134">
        <v>60</v>
      </c>
      <c r="Q105" s="135">
        <v>62.977142860000001</v>
      </c>
      <c r="R105" s="135">
        <v>120</v>
      </c>
      <c r="S105" s="135">
        <v>100.15</v>
      </c>
      <c r="T105" s="136">
        <v>59.999999400000007</v>
      </c>
      <c r="V105" s="134">
        <v>1</v>
      </c>
      <c r="W105" s="135">
        <v>1</v>
      </c>
      <c r="X105" s="135">
        <v>1</v>
      </c>
      <c r="Y105" s="135">
        <v>1</v>
      </c>
      <c r="Z105" s="135">
        <v>1</v>
      </c>
      <c r="AA105" s="135">
        <v>1</v>
      </c>
      <c r="AB105" s="135">
        <v>1</v>
      </c>
      <c r="AC105" s="135">
        <v>0</v>
      </c>
      <c r="AD105" s="135">
        <v>0</v>
      </c>
      <c r="AE105" s="136">
        <v>0</v>
      </c>
    </row>
    <row r="106" spans="4:53" x14ac:dyDescent="0.35">
      <c r="O106" s="125" t="s">
        <v>101</v>
      </c>
      <c r="P106" s="134">
        <v>60</v>
      </c>
      <c r="Q106" s="135">
        <v>85.477142860000001</v>
      </c>
      <c r="R106" s="135">
        <v>115</v>
      </c>
      <c r="S106" s="135">
        <v>128.27500000000001</v>
      </c>
      <c r="T106" s="136">
        <v>59.999999400000007</v>
      </c>
      <c r="V106" s="134">
        <v>1</v>
      </c>
      <c r="W106" s="135">
        <v>1</v>
      </c>
      <c r="X106" s="135">
        <v>1</v>
      </c>
      <c r="Y106" s="135">
        <v>1</v>
      </c>
      <c r="Z106" s="135">
        <v>1</v>
      </c>
      <c r="AA106" s="135">
        <v>1</v>
      </c>
      <c r="AB106" s="135">
        <v>1</v>
      </c>
      <c r="AC106" s="135">
        <v>1</v>
      </c>
      <c r="AD106" s="135">
        <v>0</v>
      </c>
      <c r="AE106" s="136">
        <v>0</v>
      </c>
    </row>
    <row r="107" spans="4:53" x14ac:dyDescent="0.35">
      <c r="O107" s="125" t="s">
        <v>102</v>
      </c>
      <c r="P107" s="134">
        <v>60</v>
      </c>
      <c r="Q107" s="135">
        <v>85.477142860000001</v>
      </c>
      <c r="R107" s="135">
        <v>163</v>
      </c>
      <c r="S107" s="135">
        <v>123.27500000000001</v>
      </c>
      <c r="T107" s="136">
        <v>59.999999400000007</v>
      </c>
      <c r="V107" s="134">
        <v>1</v>
      </c>
      <c r="W107" s="135">
        <v>1</v>
      </c>
      <c r="X107" s="135">
        <v>1</v>
      </c>
      <c r="Y107" s="135">
        <v>1</v>
      </c>
      <c r="Z107" s="135">
        <v>1</v>
      </c>
      <c r="AA107" s="135">
        <v>1</v>
      </c>
      <c r="AB107" s="135">
        <v>1</v>
      </c>
      <c r="AC107" s="135">
        <v>1</v>
      </c>
      <c r="AD107" s="135">
        <v>1</v>
      </c>
      <c r="AE107" s="136">
        <v>0</v>
      </c>
    </row>
    <row r="108" spans="4:53" x14ac:dyDescent="0.35">
      <c r="O108" s="125" t="s">
        <v>103</v>
      </c>
      <c r="P108" s="138">
        <v>60</v>
      </c>
      <c r="Q108" s="139">
        <v>100000.00014286001</v>
      </c>
      <c r="R108" s="139">
        <v>211</v>
      </c>
      <c r="S108" s="139">
        <v>118.27500000000001</v>
      </c>
      <c r="T108" s="140">
        <v>59.999999400000007</v>
      </c>
      <c r="V108" s="138">
        <v>1</v>
      </c>
      <c r="W108" s="139">
        <v>1</v>
      </c>
      <c r="X108" s="139">
        <v>1</v>
      </c>
      <c r="Y108" s="139">
        <v>1</v>
      </c>
      <c r="Z108" s="139">
        <v>1</v>
      </c>
      <c r="AA108" s="139">
        <v>1</v>
      </c>
      <c r="AB108" s="139">
        <v>1</v>
      </c>
      <c r="AC108" s="139">
        <v>1</v>
      </c>
      <c r="AD108" s="139">
        <v>1</v>
      </c>
      <c r="AE108" s="140">
        <v>1</v>
      </c>
    </row>
    <row r="110" spans="4:53" x14ac:dyDescent="0.35">
      <c r="V110" s="125" t="s">
        <v>24</v>
      </c>
      <c r="W110" s="125" t="s">
        <v>25</v>
      </c>
      <c r="X110" s="125" t="s">
        <v>26</v>
      </c>
      <c r="Y110" s="125" t="s">
        <v>27</v>
      </c>
      <c r="Z110" s="125" t="s">
        <v>28</v>
      </c>
    </row>
    <row r="111" spans="4:53" x14ac:dyDescent="0.35">
      <c r="P111" s="125" t="s">
        <v>125</v>
      </c>
      <c r="V111" s="125" t="s">
        <v>126</v>
      </c>
      <c r="AC111" s="125" t="s">
        <v>128</v>
      </c>
    </row>
    <row r="112" spans="4:53" x14ac:dyDescent="0.35">
      <c r="D112" s="125" t="s">
        <v>136</v>
      </c>
      <c r="E112" s="125" t="s">
        <v>39</v>
      </c>
      <c r="G112" s="3"/>
      <c r="O112" s="125" t="s">
        <v>72</v>
      </c>
      <c r="P112" s="113" cm="1">
        <f t="array" ref="P112:T121">($P$18:$T$18*P25:T34) * AC112:AC121</f>
        <v>1664.3550582524272</v>
      </c>
      <c r="Q112" s="114">
        <v>1509.0152621359225</v>
      </c>
      <c r="R112" s="114">
        <v>0</v>
      </c>
      <c r="S112" s="114">
        <v>108.73786407766991</v>
      </c>
      <c r="T112" s="115">
        <v>437.33053398058257</v>
      </c>
      <c r="U112" s="135"/>
      <c r="V112" s="130" cm="1">
        <f t="array" ref="V112:Z121">($P$19:$T$19*P99:T108) * AC112:AC121</f>
        <v>0</v>
      </c>
      <c r="W112" s="131">
        <v>0</v>
      </c>
      <c r="X112" s="131">
        <v>2912621.3592233011</v>
      </c>
      <c r="Y112" s="131">
        <v>2038834.9514563107</v>
      </c>
      <c r="Z112" s="132">
        <v>0</v>
      </c>
      <c r="AB112" s="236" t="s">
        <v>72</v>
      </c>
      <c r="AC112" s="230">
        <f xml:space="preserve"> 1/(1+$P$49)^COUNTA($O$112:$O112)</f>
        <v>0.970873786407767</v>
      </c>
      <c r="AE112" s="233"/>
      <c r="AF112" s="233"/>
      <c r="AG112" s="233"/>
      <c r="AH112" s="233"/>
      <c r="AI112" s="233"/>
    </row>
    <row r="113" spans="4:35" x14ac:dyDescent="0.35">
      <c r="O113" s="125" t="s">
        <v>73</v>
      </c>
      <c r="P113" s="116">
        <v>1615.8786973324534</v>
      </c>
      <c r="Q113" s="117">
        <v>1314.2480158356113</v>
      </c>
      <c r="R113" s="117">
        <v>0</v>
      </c>
      <c r="S113" s="117">
        <v>98.029974549910449</v>
      </c>
      <c r="T113" s="118">
        <v>1674.7825431237629</v>
      </c>
      <c r="U113" s="135"/>
      <c r="V113" s="134">
        <v>0</v>
      </c>
      <c r="W113" s="135">
        <v>0</v>
      </c>
      <c r="X113" s="135">
        <v>2733528.1364878877</v>
      </c>
      <c r="Y113" s="135">
        <v>1838062.022810821</v>
      </c>
      <c r="Z113" s="136">
        <v>0</v>
      </c>
      <c r="AB113" s="236" t="s">
        <v>73</v>
      </c>
      <c r="AC113" s="231">
        <f xml:space="preserve"> 1/(1+$P$49)^COUNTA($O$112:$O113)</f>
        <v>0.94259590913375435</v>
      </c>
      <c r="AE113" s="233"/>
      <c r="AF113" s="233"/>
      <c r="AG113" s="233"/>
      <c r="AH113" s="233"/>
      <c r="AI113" s="233"/>
    </row>
    <row r="114" spans="4:35" x14ac:dyDescent="0.35">
      <c r="O114" s="125" t="s">
        <v>74</v>
      </c>
      <c r="P114" s="116">
        <v>1568.8142692548092</v>
      </c>
      <c r="Q114" s="117">
        <v>1129.5462819167094</v>
      </c>
      <c r="R114" s="117">
        <v>0</v>
      </c>
      <c r="S114" s="117">
        <v>87.853599297903315</v>
      </c>
      <c r="T114" s="118">
        <v>2839.7789200779334</v>
      </c>
      <c r="U114" s="135"/>
      <c r="V114" s="134">
        <v>0</v>
      </c>
      <c r="W114" s="135">
        <v>0</v>
      </c>
      <c r="X114" s="135">
        <v>2562396.6461888468</v>
      </c>
      <c r="Y114" s="135">
        <v>1647254.9868356872</v>
      </c>
      <c r="Z114" s="136">
        <v>0</v>
      </c>
      <c r="AB114" s="236" t="s">
        <v>74</v>
      </c>
      <c r="AC114" s="231">
        <f xml:space="preserve"> 1/(1+$P$49)^COUNTA($O$112:$O114)</f>
        <v>0.91514165935315961</v>
      </c>
      <c r="AE114" s="233"/>
      <c r="AF114" s="233"/>
      <c r="AG114" s="233"/>
      <c r="AH114" s="233"/>
      <c r="AI114" s="233"/>
    </row>
    <row r="115" spans="4:35" x14ac:dyDescent="0.35">
      <c r="O115" s="125" t="s">
        <v>75</v>
      </c>
      <c r="P115" s="116">
        <v>1523.1206497619507</v>
      </c>
      <c r="Q115" s="117">
        <v>954.48894798078049</v>
      </c>
      <c r="R115" s="117">
        <v>0</v>
      </c>
      <c r="S115" s="117">
        <v>78.186860216580627</v>
      </c>
      <c r="T115" s="118">
        <v>3935.4906515569614</v>
      </c>
      <c r="U115" s="135"/>
      <c r="V115" s="134">
        <v>0</v>
      </c>
      <c r="W115" s="135">
        <v>0</v>
      </c>
      <c r="X115" s="135">
        <v>2398915.0293723601</v>
      </c>
      <c r="Y115" s="135">
        <v>1466003.6290608868</v>
      </c>
      <c r="Z115" s="136">
        <v>0</v>
      </c>
      <c r="AB115" s="236" t="s">
        <v>75</v>
      </c>
      <c r="AC115" s="231">
        <f xml:space="preserve"> 1/(1+$P$49)^COUNTA($O$112:$O115)</f>
        <v>0.888487047915689</v>
      </c>
      <c r="AE115" s="233"/>
      <c r="AF115" s="233"/>
      <c r="AG115" s="233"/>
      <c r="AH115" s="233"/>
      <c r="AI115" s="233"/>
    </row>
    <row r="116" spans="4:35" x14ac:dyDescent="0.35">
      <c r="O116" s="125" t="s">
        <v>76</v>
      </c>
      <c r="P116" s="116">
        <v>1478.7579123902435</v>
      </c>
      <c r="Q116" s="117">
        <v>788.67089350900028</v>
      </c>
      <c r="R116" s="117">
        <v>0</v>
      </c>
      <c r="S116" s="117">
        <v>69.008702750733136</v>
      </c>
      <c r="T116" s="118">
        <v>4964.9655138501021</v>
      </c>
      <c r="U116" s="135"/>
      <c r="V116" s="134">
        <v>0</v>
      </c>
      <c r="W116" s="135">
        <v>0</v>
      </c>
      <c r="X116" s="135">
        <v>2242782.8393988265</v>
      </c>
      <c r="Y116" s="135">
        <v>1293913.1765762463</v>
      </c>
      <c r="Z116" s="136">
        <v>0</v>
      </c>
      <c r="AB116" s="236" t="s">
        <v>76</v>
      </c>
      <c r="AC116" s="231">
        <f xml:space="preserve"> 1/(1+$P$49)^COUNTA($O$112:$O116)</f>
        <v>0.86260878438416411</v>
      </c>
      <c r="AE116" s="233"/>
      <c r="AF116" s="233"/>
      <c r="AG116" s="233"/>
      <c r="AH116" s="233"/>
      <c r="AI116" s="233"/>
    </row>
    <row r="117" spans="4:35" x14ac:dyDescent="0.35">
      <c r="O117" s="125" t="s">
        <v>99</v>
      </c>
      <c r="P117" s="116">
        <v>1435.6872935827607</v>
      </c>
      <c r="Q117" s="117">
        <v>1355.9588007213194</v>
      </c>
      <c r="R117" s="117">
        <v>0</v>
      </c>
      <c r="S117" s="117">
        <v>96.511685740224337</v>
      </c>
      <c r="T117" s="118">
        <v>5024.9055401019268</v>
      </c>
      <c r="U117" s="135"/>
      <c r="V117" s="134">
        <v>0</v>
      </c>
      <c r="W117" s="135">
        <v>0</v>
      </c>
      <c r="X117" s="135">
        <v>2093710.6417091361</v>
      </c>
      <c r="Y117" s="135">
        <v>1809594.1076292063</v>
      </c>
      <c r="Z117" s="136">
        <v>0</v>
      </c>
      <c r="AB117" s="236" t="s">
        <v>99</v>
      </c>
      <c r="AC117" s="231">
        <f xml:space="preserve"> 1/(1+$P$49)^COUNTA($O$112:$O117)</f>
        <v>0.83748425668365445</v>
      </c>
      <c r="AE117" s="233"/>
      <c r="AF117" s="233"/>
      <c r="AG117" s="233"/>
      <c r="AH117" s="233"/>
      <c r="AI117" s="233"/>
    </row>
    <row r="118" spans="4:35" x14ac:dyDescent="0.35">
      <c r="O118" s="125" t="s">
        <v>100</v>
      </c>
      <c r="P118" s="116">
        <v>1393.8711588182141</v>
      </c>
      <c r="Q118" s="117">
        <v>2048.2472152782607</v>
      </c>
      <c r="R118" s="117">
        <v>0</v>
      </c>
      <c r="S118" s="117">
        <v>130.28978377765901</v>
      </c>
      <c r="T118" s="118">
        <v>4878.5490680601224</v>
      </c>
      <c r="U118" s="135"/>
      <c r="V118" s="134">
        <v>0</v>
      </c>
      <c r="W118" s="135">
        <v>0</v>
      </c>
      <c r="X118" s="135">
        <v>1951419.6272240491</v>
      </c>
      <c r="Y118" s="135">
        <v>2442933.4458311065</v>
      </c>
      <c r="Z118" s="136">
        <v>0</v>
      </c>
      <c r="AB118" s="236" t="s">
        <v>100</v>
      </c>
      <c r="AC118" s="231">
        <f xml:space="preserve"> 1/(1+$P$49)^COUNTA($O$112:$O118)</f>
        <v>0.81309151134335378</v>
      </c>
      <c r="AE118" s="233"/>
      <c r="AF118" s="233"/>
      <c r="AG118" s="233"/>
      <c r="AH118" s="233"/>
      <c r="AI118" s="233"/>
    </row>
    <row r="119" spans="4:35" x14ac:dyDescent="0.35">
      <c r="O119" s="125" t="s">
        <v>101</v>
      </c>
      <c r="P119" s="116">
        <v>1353.2729697264215</v>
      </c>
      <c r="Q119" s="117">
        <v>2699.0578402789115</v>
      </c>
      <c r="R119" s="117">
        <v>0</v>
      </c>
      <c r="S119" s="117">
        <v>162.01835125059219</v>
      </c>
      <c r="T119" s="118">
        <v>4736.4554058836147</v>
      </c>
      <c r="U119" s="135"/>
      <c r="V119" s="134">
        <v>0</v>
      </c>
      <c r="W119" s="135">
        <v>0</v>
      </c>
      <c r="X119" s="135">
        <v>1815641.2389220521</v>
      </c>
      <c r="Y119" s="135">
        <v>3037844.0859486032</v>
      </c>
      <c r="Z119" s="136">
        <v>0</v>
      </c>
      <c r="AB119" s="236" t="s">
        <v>101</v>
      </c>
      <c r="AC119" s="231">
        <f xml:space="preserve"> 1/(1+$P$49)^COUNTA($O$112:$O119)</f>
        <v>0.78940923431393573</v>
      </c>
      <c r="AE119" s="233"/>
      <c r="AF119" s="233"/>
      <c r="AG119" s="233"/>
      <c r="AH119" s="233"/>
      <c r="AI119" s="233"/>
    </row>
    <row r="120" spans="4:35" x14ac:dyDescent="0.35">
      <c r="O120" s="125" t="s">
        <v>102</v>
      </c>
      <c r="P120" s="116">
        <v>1313.8572521615745</v>
      </c>
      <c r="Q120" s="117">
        <v>2497.8178279501767</v>
      </c>
      <c r="R120" s="117">
        <v>0</v>
      </c>
      <c r="S120" s="117">
        <v>151.168036287457</v>
      </c>
      <c r="T120" s="118">
        <v>4598.5003940617617</v>
      </c>
      <c r="U120" s="135"/>
      <c r="V120" s="134">
        <v>0</v>
      </c>
      <c r="W120" s="135">
        <v>0</v>
      </c>
      <c r="X120" s="135">
        <v>2498518.5474402239</v>
      </c>
      <c r="Y120" s="135">
        <v>2834400.6803898183</v>
      </c>
      <c r="Z120" s="136">
        <v>0</v>
      </c>
      <c r="AB120" s="236" t="s">
        <v>102</v>
      </c>
      <c r="AC120" s="231">
        <f xml:space="preserve"> 1/(1+$P$49)^COUNTA($O$112:$O120)</f>
        <v>0.76641673234362695</v>
      </c>
      <c r="AE120" s="233"/>
      <c r="AF120" s="233"/>
      <c r="AG120" s="233"/>
      <c r="AH120" s="233"/>
      <c r="AI120" s="233"/>
    </row>
    <row r="121" spans="4:35" x14ac:dyDescent="0.35">
      <c r="O121" s="125" t="s">
        <v>103</v>
      </c>
      <c r="P121" s="119">
        <v>1275.5895652054119</v>
      </c>
      <c r="Q121" s="4">
        <v>2306.0108259953363</v>
      </c>
      <c r="R121" s="4">
        <v>0</v>
      </c>
      <c r="S121" s="4">
        <v>140.81233245505626</v>
      </c>
      <c r="T121" s="120">
        <v>4464.5634893803508</v>
      </c>
      <c r="U121" s="135"/>
      <c r="V121" s="138">
        <v>0</v>
      </c>
      <c r="W121" s="139">
        <v>0</v>
      </c>
      <c r="X121" s="139">
        <v>3140076.3208641801</v>
      </c>
      <c r="Y121" s="139">
        <v>2640231.2335323049</v>
      </c>
      <c r="Z121" s="140">
        <v>0</v>
      </c>
      <c r="AB121" s="236" t="s">
        <v>103</v>
      </c>
      <c r="AC121" s="232">
        <f xml:space="preserve"> 1/(1+$P$49)^COUNTA($O$112:$O121)</f>
        <v>0.74409391489672516</v>
      </c>
      <c r="AE121" s="233"/>
      <c r="AF121" s="233"/>
      <c r="AG121" s="233"/>
      <c r="AH121" s="233"/>
      <c r="AI121" s="233"/>
    </row>
    <row r="122" spans="4:35" x14ac:dyDescent="0.35">
      <c r="V122" s="125" t="s">
        <v>24</v>
      </c>
      <c r="W122" s="125" t="s">
        <v>25</v>
      </c>
      <c r="X122" s="125" t="s">
        <v>26</v>
      </c>
      <c r="Y122" s="125" t="s">
        <v>27</v>
      </c>
      <c r="Z122" s="125" t="s">
        <v>28</v>
      </c>
    </row>
    <row r="123" spans="4:35" x14ac:dyDescent="0.35">
      <c r="P123" s="125" t="s">
        <v>127</v>
      </c>
      <c r="V123" s="125" t="s">
        <v>142</v>
      </c>
    </row>
    <row r="124" spans="4:35" x14ac:dyDescent="0.35">
      <c r="D124" s="125" t="s">
        <v>78</v>
      </c>
      <c r="E124" s="125" t="s">
        <v>39</v>
      </c>
      <c r="O124" s="125" t="s">
        <v>72</v>
      </c>
      <c r="P124" s="130" cm="1">
        <f t="array" ref="P124:T133" xml:space="preserve"> P66:T75 * $P$140:$T$140 * V124:Z133</f>
        <v>0</v>
      </c>
      <c r="Q124" s="131">
        <v>0</v>
      </c>
      <c r="R124" s="131">
        <v>0</v>
      </c>
      <c r="S124" s="131">
        <v>0</v>
      </c>
      <c r="T124" s="132">
        <v>0</v>
      </c>
      <c r="V124" s="220" cm="1">
        <f t="array" ref="V124">SUMPRODUCT(1 / (1 + $P$49) ^ _xlfn.SEQUENCE(P$57, 1, COUNTA($O$124:$O124), 1))</f>
        <v>8.53020283677583</v>
      </c>
      <c r="W124" s="221" cm="1">
        <f t="array" ref="W124">SUMPRODUCT(1 / (1 + $P$49) ^ _xlfn.SEQUENCE(Q$57, 1, COUNTA($O$124:$O124), 1))</f>
        <v>8.53020283677583</v>
      </c>
      <c r="X124" s="221" cm="1">
        <f t="array" ref="X124">SUMPRODUCT(1 / (1 + $P$49) ^ _xlfn.SEQUENCE(R$57, 1, COUNTA($O$124:$O124), 1))</f>
        <v>5.4171914438781892</v>
      </c>
      <c r="Y124" s="221" cm="1">
        <f t="array" ref="Y124">SUMPRODUCT(1 / (1 + $P$49) ^ _xlfn.SEQUENCE(S$57, 1, COUNTA($O$124:$O124), 1))</f>
        <v>7.019692189535478</v>
      </c>
      <c r="Z124" s="222" cm="1">
        <f t="array" ref="Z124">SUMPRODUCT(1 / (1 + $P$49) ^ _xlfn.SEQUENCE(T$57, 1, COUNTA($O$124:$O124), 1))</f>
        <v>19.600441349469783</v>
      </c>
    </row>
    <row r="125" spans="4:35" x14ac:dyDescent="0.35">
      <c r="O125" s="125" t="s">
        <v>73</v>
      </c>
      <c r="P125" s="134">
        <v>0</v>
      </c>
      <c r="Q125" s="135">
        <v>0</v>
      </c>
      <c r="R125" s="135">
        <v>0</v>
      </c>
      <c r="S125" s="135">
        <v>0</v>
      </c>
      <c r="T125" s="136">
        <v>3038840.7445896091</v>
      </c>
      <c r="V125" s="223" cm="1">
        <f t="array" ref="V125">SUMPRODUCT(1 / (1 + $P$49) ^ _xlfn.SEQUENCE(P$57, 1, COUNTA($O$124:$O125), 1))</f>
        <v>8.2817503269668258</v>
      </c>
      <c r="W125" s="219" cm="1">
        <f t="array" ref="W125">SUMPRODUCT(1 / (1 + $P$49) ^ _xlfn.SEQUENCE(Q$57, 1, COUNTA($O$124:$O125), 1))</f>
        <v>8.2817503269668258</v>
      </c>
      <c r="X125" s="219" cm="1">
        <f t="array" ref="X125">SUMPRODUCT(1 / (1 + $P$49) ^ _xlfn.SEQUENCE(R$57, 1, COUNTA($O$124:$O125), 1))</f>
        <v>5.2594091688137752</v>
      </c>
      <c r="Y125" s="219" cm="1">
        <f t="array" ref="Y125">SUMPRODUCT(1 / (1 + $P$49) ^ _xlfn.SEQUENCE(S$57, 1, COUNTA($O$124:$O125), 1))</f>
        <v>6.8152351354713376</v>
      </c>
      <c r="Z125" s="224" cm="1">
        <f t="array" ref="Z125">SUMPRODUCT(1 / (1 + $P$49) ^ _xlfn.SEQUENCE(T$57, 1, COUNTA($O$124:$O125), 1))</f>
        <v>19.029554708223095</v>
      </c>
      <c r="AE125" s="227"/>
    </row>
    <row r="126" spans="4:35" x14ac:dyDescent="0.35">
      <c r="O126" s="125" t="s">
        <v>74</v>
      </c>
      <c r="P126" s="134">
        <v>0</v>
      </c>
      <c r="Q126" s="135">
        <v>0</v>
      </c>
      <c r="R126" s="135">
        <v>0</v>
      </c>
      <c r="S126" s="135">
        <v>0</v>
      </c>
      <c r="T126" s="136">
        <v>37953285.209205009</v>
      </c>
      <c r="V126" s="223" cm="1">
        <f t="array" ref="V126">SUMPRODUCT(1 / (1 + $P$49) ^ _xlfn.SEQUENCE(P$57, 1, COUNTA($O$124:$O126), 1))</f>
        <v>8.0405342980260439</v>
      </c>
      <c r="W126" s="219" cm="1">
        <f t="array" ref="W126">SUMPRODUCT(1 / (1 + $P$49) ^ _xlfn.SEQUENCE(Q$57, 1, COUNTA($O$124:$O126), 1))</f>
        <v>8.0405342980260439</v>
      </c>
      <c r="X126" s="219" cm="1">
        <f t="array" ref="X126">SUMPRODUCT(1 / (1 + $P$49) ^ _xlfn.SEQUENCE(R$57, 1, COUNTA($O$124:$O126), 1))</f>
        <v>5.1062224939939558</v>
      </c>
      <c r="Y126" s="219" cm="1">
        <f t="array" ref="Y126">SUMPRODUCT(1 / (1 + $P$49) ^ _xlfn.SEQUENCE(S$57, 1, COUNTA($O$124:$O126), 1))</f>
        <v>6.6167331412343078</v>
      </c>
      <c r="Z126" s="224" cm="1">
        <f t="array" ref="Z126">SUMPRODUCT(1 / (1 + $P$49) ^ _xlfn.SEQUENCE(T$57, 1, COUNTA($O$124:$O126), 1))</f>
        <v>18.475295833226305</v>
      </c>
      <c r="AE126" s="227"/>
    </row>
    <row r="127" spans="4:35" x14ac:dyDescent="0.35">
      <c r="O127" s="125" t="s">
        <v>75</v>
      </c>
      <c r="P127" s="134">
        <v>0</v>
      </c>
      <c r="Q127" s="135">
        <v>0</v>
      </c>
      <c r="R127" s="135">
        <v>0</v>
      </c>
      <c r="S127" s="135">
        <v>38372986.858745858</v>
      </c>
      <c r="T127" s="136">
        <v>36847849.717674762</v>
      </c>
      <c r="V127" s="223" cm="1">
        <f t="array" ref="V127">SUMPRODUCT(1 / (1 + $P$49) ^ _xlfn.SEQUENCE(P$57, 1, COUNTA($O$124:$O127), 1))</f>
        <v>7.806343978666062</v>
      </c>
      <c r="W127" s="219" cm="1">
        <f t="array" ref="W127">SUMPRODUCT(1 / (1 + $P$49) ^ _xlfn.SEQUENCE(Q$57, 1, COUNTA($O$124:$O127), 1))</f>
        <v>7.806343978666062</v>
      </c>
      <c r="X127" s="219" cm="1">
        <f t="array" ref="X127">SUMPRODUCT(1 / (1 + $P$49) ^ _xlfn.SEQUENCE(R$57, 1, COUNTA($O$124:$O127), 1))</f>
        <v>4.9574975669844239</v>
      </c>
      <c r="Y127" s="219" cm="1">
        <f t="array" ref="Y127">SUMPRODUCT(1 / (1 + $P$49) ^ _xlfn.SEQUENCE(S$57, 1, COUNTA($O$124:$O127), 1))</f>
        <v>6.4240127584799112</v>
      </c>
      <c r="Z127" s="224" cm="1">
        <f t="array" ref="Z127">SUMPRODUCT(1 / (1 + $P$49) ^ _xlfn.SEQUENCE(T$57, 1, COUNTA($O$124:$O127), 1))</f>
        <v>17.937180420608058</v>
      </c>
      <c r="AE127" s="227"/>
    </row>
    <row r="128" spans="4:35" x14ac:dyDescent="0.35">
      <c r="O128" s="125" t="s">
        <v>76</v>
      </c>
      <c r="P128" s="134">
        <v>0</v>
      </c>
      <c r="Q128" s="135">
        <v>4.4602037715475705E-5</v>
      </c>
      <c r="R128" s="135">
        <v>0</v>
      </c>
      <c r="S128" s="135">
        <v>45664485.048757687</v>
      </c>
      <c r="T128" s="136">
        <v>6587928.4508797601</v>
      </c>
      <c r="V128" s="223" cm="1">
        <f t="array" ref="V128">SUMPRODUCT(1 / (1 + $P$49) ^ _xlfn.SEQUENCE(P$57, 1, COUNTA($O$124:$O128), 1))</f>
        <v>7.5789747365689921</v>
      </c>
      <c r="W128" s="219" cm="1">
        <f t="array" ref="W128">SUMPRODUCT(1 / (1 + $P$49) ^ _xlfn.SEQUENCE(Q$57, 1, COUNTA($O$124:$O128), 1))</f>
        <v>7.5789747365689921</v>
      </c>
      <c r="X128" s="219" cm="1">
        <f t="array" ref="X128">SUMPRODUCT(1 / (1 + $P$49) ^ _xlfn.SEQUENCE(R$57, 1, COUNTA($O$124:$O128), 1))</f>
        <v>4.8131044339654601</v>
      </c>
      <c r="Y128" s="219" cm="1">
        <f t="array" ref="Y128">SUMPRODUCT(1 / (1 + $P$49) ^ _xlfn.SEQUENCE(S$57, 1, COUNTA($O$124:$O128), 1))</f>
        <v>6.2369055907571953</v>
      </c>
      <c r="Z128" s="224" cm="1">
        <f t="array" ref="Z128">SUMPRODUCT(1 / (1 + $P$49) ^ _xlfn.SEQUENCE(T$57, 1, COUNTA($O$124:$O128), 1))</f>
        <v>17.414738272435009</v>
      </c>
      <c r="AE128" s="227"/>
    </row>
    <row r="129" spans="4:31" x14ac:dyDescent="0.35">
      <c r="O129" s="125" t="s">
        <v>99</v>
      </c>
      <c r="P129" s="134">
        <v>0</v>
      </c>
      <c r="Q129" s="135">
        <v>2.0419803785020141E-3</v>
      </c>
      <c r="R129" s="135">
        <v>0</v>
      </c>
      <c r="S129" s="135">
        <v>44334451.503648244</v>
      </c>
      <c r="T129" s="136">
        <v>0</v>
      </c>
      <c r="V129" s="223" cm="1">
        <f t="array" ref="V129">SUMPRODUCT(1 / (1 + $P$49) ^ _xlfn.SEQUENCE(P$57, 1, COUNTA($O$124:$O129), 1))</f>
        <v>7.3582278995815464</v>
      </c>
      <c r="W129" s="219" cm="1">
        <f t="array" ref="W129">SUMPRODUCT(1 / (1 + $P$49) ^ _xlfn.SEQUENCE(Q$57, 1, COUNTA($O$124:$O129), 1))</f>
        <v>7.3582278995815464</v>
      </c>
      <c r="X129" s="219" cm="1">
        <f t="array" ref="X129">SUMPRODUCT(1 / (1 + $P$49) ^ _xlfn.SEQUENCE(R$57, 1, COUNTA($O$124:$O129), 1))</f>
        <v>4.6729169261800587</v>
      </c>
      <c r="Y129" s="219" cm="1">
        <f t="array" ref="Y129">SUMPRODUCT(1 / (1 + $P$49) ^ _xlfn.SEQUENCE(S$57, 1, COUNTA($O$124:$O129), 1))</f>
        <v>6.0552481463662096</v>
      </c>
      <c r="Z129" s="224" cm="1">
        <f t="array" ref="Z129">SUMPRODUCT(1 / (1 + $P$49) ^ _xlfn.SEQUENCE(T$57, 1, COUNTA($O$124:$O129), 1))</f>
        <v>16.907512885859234</v>
      </c>
      <c r="AE129" s="227"/>
    </row>
    <row r="130" spans="4:31" x14ac:dyDescent="0.35">
      <c r="O130" s="125" t="s">
        <v>100</v>
      </c>
      <c r="P130" s="134">
        <v>0</v>
      </c>
      <c r="Q130" s="135">
        <v>1.9825052218466156E-3</v>
      </c>
      <c r="R130" s="135">
        <v>0</v>
      </c>
      <c r="S130" s="135">
        <v>0</v>
      </c>
      <c r="T130" s="136">
        <v>0</v>
      </c>
      <c r="V130" s="223" cm="1">
        <f t="array" ref="V130">SUMPRODUCT(1 / (1 + $P$49) ^ _xlfn.SEQUENCE(P$57, 1, COUNTA($O$124:$O130), 1))</f>
        <v>7.1439105821180062</v>
      </c>
      <c r="W130" s="219" cm="1">
        <f t="array" ref="W130">SUMPRODUCT(1 / (1 + $P$49) ^ _xlfn.SEQUENCE(Q$57, 1, COUNTA($O$124:$O130), 1))</f>
        <v>7.1439105821180062</v>
      </c>
      <c r="X130" s="219" cm="1">
        <f t="array" ref="X130">SUMPRODUCT(1 / (1 + $P$49) ^ _xlfn.SEQUENCE(R$57, 1, COUNTA($O$124:$O130), 1))</f>
        <v>4.536812549689377</v>
      </c>
      <c r="Y130" s="219" cm="1">
        <f t="array" ref="Y130">SUMPRODUCT(1 / (1 + $P$49) ^ _xlfn.SEQUENCE(S$57, 1, COUNTA($O$124:$O130), 1))</f>
        <v>5.8788816955011738</v>
      </c>
      <c r="Z130" s="224" cm="1">
        <f t="array" ref="Z130">SUMPRODUCT(1 / (1 + $P$49) ^ _xlfn.SEQUENCE(T$57, 1, COUNTA($O$124:$O130), 1))</f>
        <v>16.415061054232261</v>
      </c>
      <c r="AE130" s="227"/>
    </row>
    <row r="131" spans="4:31" x14ac:dyDescent="0.35">
      <c r="O131" s="125" t="s">
        <v>101</v>
      </c>
      <c r="P131" s="134">
        <v>0</v>
      </c>
      <c r="Q131" s="135">
        <v>0</v>
      </c>
      <c r="R131" s="135">
        <v>43803106.848827958</v>
      </c>
      <c r="S131" s="135">
        <v>0</v>
      </c>
      <c r="T131" s="136">
        <v>0</v>
      </c>
      <c r="V131" s="223" cm="1">
        <f t="array" ref="V131">SUMPRODUCT(1 / (1 + $P$49) ^ _xlfn.SEQUENCE(P$57, 1, COUNTA($O$124:$O131), 1))</f>
        <v>6.9358355166194237</v>
      </c>
      <c r="W131" s="219" cm="1">
        <f t="array" ref="W131">SUMPRODUCT(1 / (1 + $P$49) ^ _xlfn.SEQUENCE(Q$57, 1, COUNTA($O$124:$O131), 1))</f>
        <v>6.9358355166194237</v>
      </c>
      <c r="X131" s="219" cm="1">
        <f t="array" ref="X131">SUMPRODUCT(1 / (1 + $P$49) ^ _xlfn.SEQUENCE(R$57, 1, COUNTA($O$124:$O131), 1))</f>
        <v>4.4046723783392014</v>
      </c>
      <c r="Y131" s="219" cm="1">
        <f t="array" ref="Y131">SUMPRODUCT(1 / (1 + $P$49) ^ _xlfn.SEQUENCE(S$57, 1, COUNTA($O$124:$O131), 1))</f>
        <v>5.7076521315545383</v>
      </c>
      <c r="Z131" s="224" cm="1">
        <f t="array" ref="Z131">SUMPRODUCT(1 / (1 + $P$49) ^ _xlfn.SEQUENCE(T$57, 1, COUNTA($O$124:$O131), 1))</f>
        <v>15.936952479837148</v>
      </c>
      <c r="AE131" s="227"/>
    </row>
    <row r="132" spans="4:31" x14ac:dyDescent="0.35">
      <c r="O132" s="125" t="s">
        <v>102</v>
      </c>
      <c r="P132" s="134">
        <v>0</v>
      </c>
      <c r="Q132" s="135">
        <v>8.2982400094600504</v>
      </c>
      <c r="R132" s="135">
        <v>42527288.202745594</v>
      </c>
      <c r="S132" s="135">
        <v>0</v>
      </c>
      <c r="T132" s="136">
        <v>0</v>
      </c>
      <c r="V132" s="223" cm="1">
        <f t="array" ref="V132">SUMPRODUCT(1 / (1 + $P$49) ^ _xlfn.SEQUENCE(P$57, 1, COUNTA($O$124:$O132), 1))</f>
        <v>6.7338208899217706</v>
      </c>
      <c r="W132" s="219" cm="1">
        <f t="array" ref="W132">SUMPRODUCT(1 / (1 + $P$49) ^ _xlfn.SEQUENCE(Q$57, 1, COUNTA($O$124:$O132), 1))</f>
        <v>6.7338208899217706</v>
      </c>
      <c r="X132" s="219" cm="1">
        <f t="array" ref="X132">SUMPRODUCT(1 / (1 + $P$49) ^ _xlfn.SEQUENCE(R$57, 1, COUNTA($O$124:$O132), 1))</f>
        <v>4.2763809498438849</v>
      </c>
      <c r="Y132" s="219" cm="1">
        <f t="array" ref="Y132">SUMPRODUCT(1 / (1 + $P$49) ^ _xlfn.SEQUENCE(S$57, 1, COUNTA($O$124:$O132), 1))</f>
        <v>5.5414098364607174</v>
      </c>
      <c r="Z132" s="224" cm="1">
        <f t="array" ref="Z132">SUMPRODUCT(1 / (1 + $P$49) ^ _xlfn.SEQUENCE(T$57, 1, COUNTA($O$124:$O132), 1))</f>
        <v>15.472769397900143</v>
      </c>
      <c r="AE132" s="227"/>
    </row>
    <row r="133" spans="4:31" x14ac:dyDescent="0.35">
      <c r="O133" s="125" t="s">
        <v>103</v>
      </c>
      <c r="P133" s="138">
        <v>0</v>
      </c>
      <c r="Q133" s="139">
        <v>0</v>
      </c>
      <c r="R133" s="139">
        <v>0</v>
      </c>
      <c r="S133" s="139">
        <v>0</v>
      </c>
      <c r="T133" s="140">
        <v>0</v>
      </c>
      <c r="V133" s="225" cm="1">
        <f t="array" ref="V133">SUMPRODUCT(1 / (1 + $P$49) ^ _xlfn.SEQUENCE(P$57, 1, COUNTA($O$124:$O133), 1))</f>
        <v>6.537690184390069</v>
      </c>
      <c r="W133" s="226" cm="1">
        <f t="array" ref="W133">SUMPRODUCT(1 / (1 + $P$49) ^ _xlfn.SEQUENCE(Q$57, 1, COUNTA($O$124:$O133), 1))</f>
        <v>6.537690184390069</v>
      </c>
      <c r="X133" s="226" cm="1">
        <f t="array" ref="X133">SUMPRODUCT(1 / (1 + $P$49) ^ _xlfn.SEQUENCE(R$57, 1, COUNTA($O$124:$O133), 1))</f>
        <v>4.1518261648969759</v>
      </c>
      <c r="Y133" s="226" cm="1">
        <f t="array" ref="Y133">SUMPRODUCT(1 / (1 + $P$49) ^ _xlfn.SEQUENCE(S$57, 1, COUNTA($O$124:$O133), 1))</f>
        <v>5.3800095499618612</v>
      </c>
      <c r="Z133" s="112" cm="1">
        <f t="array" ref="Z133">SUMPRODUCT(1 / (1 + $P$49) ^ _xlfn.SEQUENCE(T$57, 1, COUNTA($O$124:$O133), 1))</f>
        <v>15.022106211553538</v>
      </c>
      <c r="AE133" s="227"/>
    </row>
    <row r="134" spans="4:31" x14ac:dyDescent="0.35">
      <c r="AE134" s="227"/>
    </row>
    <row r="135" spans="4:31" x14ac:dyDescent="0.35">
      <c r="D135" s="125" t="s">
        <v>141</v>
      </c>
      <c r="P135" s="125" t="s">
        <v>137</v>
      </c>
      <c r="AE135" s="227"/>
    </row>
    <row r="136" spans="4:31" x14ac:dyDescent="0.35">
      <c r="D136" s="125" t="s">
        <v>139</v>
      </c>
      <c r="E136" s="125" t="s">
        <v>92</v>
      </c>
      <c r="P136" s="216">
        <f xml:space="preserve"> $P$49*(1+$P$49)^(P$57-1) / ((1+$P$49)^P$57 -1)</f>
        <v>0.11381602583025206</v>
      </c>
      <c r="Q136" s="217">
        <f t="shared" ref="Q136:T136" si="14" xml:space="preserve"> $P$49*(1+$P$49)^(Q$57-1) / ((1+$P$49)^Q$57 -1)</f>
        <v>0.11381602583025206</v>
      </c>
      <c r="R136" s="217">
        <f t="shared" si="14"/>
        <v>0.1792208742234731</v>
      </c>
      <c r="S136" s="217">
        <f t="shared" si="14"/>
        <v>0.13830717361867892</v>
      </c>
      <c r="T136" s="218">
        <f t="shared" si="14"/>
        <v>4.9533261475973395E-2</v>
      </c>
      <c r="AE136" s="227"/>
    </row>
    <row r="137" spans="4:31" x14ac:dyDescent="0.35">
      <c r="P137" s="125" t="s">
        <v>138</v>
      </c>
      <c r="AE137" s="227"/>
    </row>
    <row r="138" spans="4:31" x14ac:dyDescent="0.35">
      <c r="D138" s="125" t="s">
        <v>140</v>
      </c>
      <c r="E138" s="125" t="s">
        <v>92</v>
      </c>
      <c r="P138" s="216">
        <f xml:space="preserve"> $P$51*(1+$P$51)^(P$57-1) / ((1+$P$51)^P$57 -1)</f>
        <v>0.12333769044329207</v>
      </c>
      <c r="Q138" s="217">
        <f t="shared" ref="Q138:T138" si="15" xml:space="preserve"> $P$51*(1+$P$51)^(Q$57-1) / ((1+$P$51)^Q$57 -1)</f>
        <v>0.12333769044329207</v>
      </c>
      <c r="R138" s="217">
        <f t="shared" si="15"/>
        <v>0.18763568391446508</v>
      </c>
      <c r="S138" s="217">
        <f t="shared" si="15"/>
        <v>0.1473541082168392</v>
      </c>
      <c r="T138" s="218">
        <f t="shared" si="15"/>
        <v>6.1953747695501535E-2</v>
      </c>
      <c r="AE138" s="227"/>
    </row>
    <row r="139" spans="4:31" x14ac:dyDescent="0.35">
      <c r="P139" s="125" t="s">
        <v>147</v>
      </c>
      <c r="AE139" s="227"/>
    </row>
    <row r="140" spans="4:31" x14ac:dyDescent="0.35">
      <c r="D140" s="125" t="s">
        <v>143</v>
      </c>
      <c r="E140" s="125" t="s">
        <v>144</v>
      </c>
      <c r="P140" s="228" cm="1">
        <f t="array" ref="P140:T140">P20:T20 * P138:T138</f>
        <v>61.668845221646038</v>
      </c>
      <c r="Q140" s="124">
        <v>1.2333769044329207E-5</v>
      </c>
      <c r="R140" s="124">
        <v>187635.68391446507</v>
      </c>
      <c r="S140" s="124">
        <v>221031.1623252588</v>
      </c>
      <c r="T140" s="229">
        <v>154884.36923875383</v>
      </c>
    </row>
    <row r="141" spans="4:31" x14ac:dyDescent="0.35">
      <c r="P141" s="125" t="s">
        <v>146</v>
      </c>
    </row>
    <row r="142" spans="4:31" x14ac:dyDescent="0.35">
      <c r="D142" s="125" t="s">
        <v>145</v>
      </c>
      <c r="E142" s="125" t="s">
        <v>85</v>
      </c>
      <c r="O142" s="125" t="s">
        <v>72</v>
      </c>
      <c r="P142" s="130" cm="1">
        <f t="array" ref="P142:T142" xml:space="preserve"> IF(COUNTA($O$142:$O142) + $P$55:$T$55 - COUNTA($O$142:$O$151) &lt; 0, 0, COUNTA($O$142:$O142) + $P$55:$T$55 - COUNTA($O$142:$O$151))</f>
        <v>1</v>
      </c>
      <c r="Q142" s="131">
        <v>1</v>
      </c>
      <c r="R142" s="131">
        <v>0</v>
      </c>
      <c r="S142" s="131">
        <v>0</v>
      </c>
      <c r="T142" s="132">
        <v>21</v>
      </c>
    </row>
    <row r="143" spans="4:31" x14ac:dyDescent="0.35">
      <c r="O143" s="125" t="s">
        <v>73</v>
      </c>
      <c r="P143" s="134" cm="1">
        <f t="array" ref="P143:T143" xml:space="preserve"> IF(COUNTA($O$142:$O143) + $P$55:$T$55 - COUNTA($O$142:$O$151) &lt; 0, 0, COUNTA($O$142:$O143) + $P$55:$T$55 - COUNTA($O$142:$O$151))</f>
        <v>2</v>
      </c>
      <c r="Q143" s="135">
        <v>2</v>
      </c>
      <c r="R143" s="135">
        <v>0</v>
      </c>
      <c r="S143" s="135">
        <v>0</v>
      </c>
      <c r="T143" s="136">
        <v>22</v>
      </c>
    </row>
    <row r="144" spans="4:31" x14ac:dyDescent="0.35">
      <c r="O144" s="125" t="s">
        <v>74</v>
      </c>
      <c r="P144" s="134" cm="1">
        <f t="array" ref="P144:T144" xml:space="preserve"> IF(COUNTA($O$142:$O144) + $P$55:$T$55 - COUNTA($O$142:$O$151) &lt; 0, 0, COUNTA($O$142:$O144) + $P$55:$T$55 - COUNTA($O$142:$O$151))</f>
        <v>3</v>
      </c>
      <c r="Q144" s="135">
        <v>3</v>
      </c>
      <c r="R144" s="135">
        <v>0</v>
      </c>
      <c r="S144" s="135">
        <v>1</v>
      </c>
      <c r="T144" s="136">
        <v>23</v>
      </c>
    </row>
    <row r="145" spans="4:30" x14ac:dyDescent="0.35">
      <c r="O145" s="125" t="s">
        <v>75</v>
      </c>
      <c r="P145" s="134" cm="1">
        <f t="array" ref="P145:T145" xml:space="preserve"> IF(COUNTA($O$142:$O145) + $P$55:$T$55 - COUNTA($O$142:$O$151) &lt; 0, 0, COUNTA($O$142:$O145) + $P$55:$T$55 - COUNTA($O$142:$O$151))</f>
        <v>4</v>
      </c>
      <c r="Q145" s="135">
        <v>4</v>
      </c>
      <c r="R145" s="135">
        <v>0</v>
      </c>
      <c r="S145" s="135">
        <v>2</v>
      </c>
      <c r="T145" s="136">
        <v>24</v>
      </c>
    </row>
    <row r="146" spans="4:30" x14ac:dyDescent="0.35">
      <c r="O146" s="125" t="s">
        <v>76</v>
      </c>
      <c r="P146" s="134" cm="1">
        <f t="array" ref="P146:T146" xml:space="preserve"> IF(COUNTA($O$142:$O146) + $P$55:$T$55 - COUNTA($O$142:$O$151) &lt; 0, 0, COUNTA($O$142:$O146) + $P$55:$T$55 - COUNTA($O$142:$O$151))</f>
        <v>5</v>
      </c>
      <c r="Q146" s="135">
        <v>5</v>
      </c>
      <c r="R146" s="135">
        <v>1</v>
      </c>
      <c r="S146" s="135">
        <v>3</v>
      </c>
      <c r="T146" s="136">
        <v>25</v>
      </c>
    </row>
    <row r="147" spans="4:30" x14ac:dyDescent="0.35">
      <c r="O147" s="125" t="s">
        <v>99</v>
      </c>
      <c r="P147" s="134" cm="1">
        <f t="array" ref="P147:T147" xml:space="preserve"> IF(COUNTA($O$142:$O147) + $P$55:$T$55 - COUNTA($O$142:$O$151) &lt; 0, 0, COUNTA($O$142:$O147) + $P$55:$T$55 - COUNTA($O$142:$O$151))</f>
        <v>6</v>
      </c>
      <c r="Q147" s="135">
        <v>6</v>
      </c>
      <c r="R147" s="135">
        <v>2</v>
      </c>
      <c r="S147" s="135">
        <v>4</v>
      </c>
      <c r="T147" s="136">
        <v>26</v>
      </c>
    </row>
    <row r="148" spans="4:30" x14ac:dyDescent="0.35">
      <c r="O148" s="125" t="s">
        <v>100</v>
      </c>
      <c r="P148" s="134" cm="1">
        <f t="array" ref="P148:T148" xml:space="preserve"> IF(COUNTA($O$142:$O148) + $P$55:$T$55 - COUNTA($O$142:$O$151) &lt; 0, 0, COUNTA($O$142:$O148) + $P$55:$T$55 - COUNTA($O$142:$O$151))</f>
        <v>7</v>
      </c>
      <c r="Q148" s="135">
        <v>7</v>
      </c>
      <c r="R148" s="135">
        <v>3</v>
      </c>
      <c r="S148" s="135">
        <v>5</v>
      </c>
      <c r="T148" s="136">
        <v>27</v>
      </c>
    </row>
    <row r="149" spans="4:30" x14ac:dyDescent="0.35">
      <c r="O149" s="125" t="s">
        <v>101</v>
      </c>
      <c r="P149" s="134" cm="1">
        <f t="array" ref="P149:T149" xml:space="preserve"> IF(COUNTA($O$142:$O149) + $P$55:$T$55 - COUNTA($O$142:$O$151) &lt; 0, 0, COUNTA($O$142:$O149) + $P$55:$T$55 - COUNTA($O$142:$O$151))</f>
        <v>8</v>
      </c>
      <c r="Q149" s="135">
        <v>8</v>
      </c>
      <c r="R149" s="135">
        <v>4</v>
      </c>
      <c r="S149" s="135">
        <v>6</v>
      </c>
      <c r="T149" s="136">
        <v>28</v>
      </c>
    </row>
    <row r="150" spans="4:30" x14ac:dyDescent="0.35">
      <c r="O150" s="125" t="s">
        <v>102</v>
      </c>
      <c r="P150" s="134" cm="1">
        <f t="array" ref="P150:T150" xml:space="preserve"> IF(COUNTA($O$142:$O150) + $P$55:$T$55 - COUNTA($O$142:$O$151) &lt; 0, 0, COUNTA($O$142:$O150) + $P$55:$T$55 - COUNTA($O$142:$O$151))</f>
        <v>9</v>
      </c>
      <c r="Q150" s="135">
        <v>9</v>
      </c>
      <c r="R150" s="135">
        <v>5</v>
      </c>
      <c r="S150" s="135">
        <v>7</v>
      </c>
      <c r="T150" s="136">
        <v>29</v>
      </c>
    </row>
    <row r="151" spans="4:30" x14ac:dyDescent="0.35">
      <c r="O151" s="125" t="s">
        <v>103</v>
      </c>
      <c r="P151" s="138" cm="1">
        <f t="array" ref="P151:T151" xml:space="preserve"> IF(COUNTA($O$142:$O151) + $P$55:$T$55 - COUNTA($O$142:$O$151) &lt; 0, 0, COUNTA($O$142:$O151) + $P$55:$T$55 - COUNTA($O$142:$O$151))</f>
        <v>10</v>
      </c>
      <c r="Q151" s="139">
        <v>10</v>
      </c>
      <c r="R151" s="139">
        <v>6</v>
      </c>
      <c r="S151" s="139">
        <v>8</v>
      </c>
      <c r="T151" s="140">
        <v>30</v>
      </c>
    </row>
    <row r="152" spans="4:30" x14ac:dyDescent="0.35">
      <c r="P152" s="125" t="s">
        <v>149</v>
      </c>
    </row>
    <row r="153" spans="4:30" x14ac:dyDescent="0.35">
      <c r="D153" s="125" t="s">
        <v>148</v>
      </c>
      <c r="E153" s="125" t="s">
        <v>92</v>
      </c>
      <c r="O153" s="125" t="s">
        <v>72</v>
      </c>
      <c r="P153" s="113" cm="1">
        <f t="array" ref="P153:T162" xml:space="preserve"> IF(P49 &lt;= 0, P142:T151/$P$55:$T$55, ((1+$P$49)^P142:T151 -1) / ((1+$P$49)^$P$55:$T$55 -1))</f>
        <v>8.7230506605159713E-2</v>
      </c>
      <c r="Q153" s="114">
        <v>8.7230506605159713E-2</v>
      </c>
      <c r="R153" s="114">
        <v>0</v>
      </c>
      <c r="S153" s="114">
        <v>0</v>
      </c>
      <c r="T153" s="115">
        <v>0.60275848981891766</v>
      </c>
      <c r="Z153" s="227"/>
      <c r="AA153" s="227"/>
      <c r="AB153" s="227"/>
      <c r="AC153" s="227"/>
      <c r="AD153" s="227"/>
    </row>
    <row r="154" spans="4:30" x14ac:dyDescent="0.35">
      <c r="O154" s="125" t="s">
        <v>73</v>
      </c>
      <c r="P154" s="116">
        <v>0.17707792840847392</v>
      </c>
      <c r="Q154" s="117">
        <v>0.17707792840847392</v>
      </c>
      <c r="R154" s="117">
        <v>0</v>
      </c>
      <c r="S154" s="117">
        <v>0</v>
      </c>
      <c r="T154" s="118">
        <v>0.64186050383373794</v>
      </c>
      <c r="Z154" s="233"/>
      <c r="AA154" s="233"/>
      <c r="AB154" s="233"/>
      <c r="AC154" s="233"/>
      <c r="AD154" s="233"/>
    </row>
    <row r="155" spans="4:30" x14ac:dyDescent="0.35">
      <c r="O155" s="125" t="s">
        <v>74</v>
      </c>
      <c r="P155" s="116">
        <v>0.26962077286588793</v>
      </c>
      <c r="Q155" s="117">
        <v>0.26962077286588793</v>
      </c>
      <c r="R155" s="117">
        <v>0</v>
      </c>
      <c r="S155" s="117">
        <v>0.11245638882723936</v>
      </c>
      <c r="T155" s="118">
        <v>0.68213557826900273</v>
      </c>
      <c r="Z155" s="233"/>
      <c r="AA155" s="233"/>
      <c r="AB155" s="233"/>
      <c r="AC155" s="233"/>
      <c r="AD155" s="233"/>
    </row>
    <row r="156" spans="4:30" x14ac:dyDescent="0.35">
      <c r="O156" s="125" t="s">
        <v>75</v>
      </c>
      <c r="P156" s="116">
        <v>0.36493990265702392</v>
      </c>
      <c r="Q156" s="117">
        <v>0.36493990265702392</v>
      </c>
      <c r="R156" s="117">
        <v>0</v>
      </c>
      <c r="S156" s="117">
        <v>0.22828646931929553</v>
      </c>
      <c r="T156" s="118">
        <v>0.72361890493732528</v>
      </c>
      <c r="Z156" s="233"/>
      <c r="AA156" s="233"/>
      <c r="AB156" s="233"/>
      <c r="AC156" s="233"/>
      <c r="AD156" s="233"/>
    </row>
    <row r="157" spans="4:30" x14ac:dyDescent="0.35">
      <c r="O157" s="125" t="s">
        <v>76</v>
      </c>
      <c r="P157" s="116">
        <v>0.46311860634189406</v>
      </c>
      <c r="Q157" s="117">
        <v>0.46311860634189406</v>
      </c>
      <c r="R157" s="117">
        <v>0.15459750045017742</v>
      </c>
      <c r="S157" s="117">
        <v>0.34759145222611382</v>
      </c>
      <c r="T157" s="118">
        <v>0.76634673140569753</v>
      </c>
      <c r="Z157" s="233"/>
      <c r="AA157" s="233"/>
      <c r="AB157" s="233"/>
      <c r="AC157" s="233"/>
      <c r="AD157" s="233"/>
    </row>
    <row r="158" spans="4:30" x14ac:dyDescent="0.35">
      <c r="O158" s="125" t="s">
        <v>99</v>
      </c>
      <c r="P158" s="116">
        <v>0.56424267113731075</v>
      </c>
      <c r="Q158" s="117">
        <v>0.56424267113731075</v>
      </c>
      <c r="R158" s="117">
        <v>0.31383292591385964</v>
      </c>
      <c r="S158" s="117">
        <v>0.47047558462013617</v>
      </c>
      <c r="T158" s="118">
        <v>0.81035639266812132</v>
      </c>
      <c r="Z158" s="233"/>
      <c r="AA158" s="233"/>
      <c r="AB158" s="233"/>
      <c r="AC158" s="233"/>
      <c r="AD158" s="233"/>
    </row>
    <row r="159" spans="4:30" x14ac:dyDescent="0.35">
      <c r="O159" s="125" t="s">
        <v>100</v>
      </c>
      <c r="P159" s="116">
        <v>0.66840045787658986</v>
      </c>
      <c r="Q159" s="117">
        <v>0.66840045787658986</v>
      </c>
      <c r="R159" s="117">
        <v>0.47784541414145298</v>
      </c>
      <c r="S159" s="117">
        <v>0.59704624098597925</v>
      </c>
      <c r="T159" s="118">
        <v>0.85568634376841735</v>
      </c>
      <c r="Z159" s="233"/>
      <c r="AA159" s="233"/>
      <c r="AB159" s="233"/>
      <c r="AC159" s="233"/>
      <c r="AD159" s="233"/>
    </row>
    <row r="160" spans="4:30" x14ac:dyDescent="0.35">
      <c r="O160" s="125" t="s">
        <v>101</v>
      </c>
      <c r="P160" s="116">
        <v>0.77568297821804677</v>
      </c>
      <c r="Q160" s="117">
        <v>0.77568297821804677</v>
      </c>
      <c r="R160" s="117">
        <v>0.64677827701587343</v>
      </c>
      <c r="S160" s="117">
        <v>0.72741401704279818</v>
      </c>
      <c r="T160" s="118">
        <v>0.90237619340172248</v>
      </c>
      <c r="Z160" s="233"/>
      <c r="AA160" s="233"/>
      <c r="AB160" s="233"/>
      <c r="AC160" s="233"/>
      <c r="AD160" s="233"/>
    </row>
    <row r="161" spans="4:30" x14ac:dyDescent="0.35">
      <c r="O161" s="125" t="s">
        <v>102</v>
      </c>
      <c r="P161" s="116">
        <v>0.88618397416974792</v>
      </c>
      <c r="Q161" s="117">
        <v>0.88618397416974792</v>
      </c>
      <c r="R161" s="117">
        <v>0.82077912577652656</v>
      </c>
      <c r="S161" s="117">
        <v>0.86169282638132161</v>
      </c>
      <c r="T161" s="118">
        <v>0.95046673852402663</v>
      </c>
      <c r="Z161" s="233"/>
      <c r="AA161" s="233"/>
      <c r="AB161" s="233"/>
      <c r="AC161" s="233"/>
      <c r="AD161" s="233"/>
    </row>
    <row r="162" spans="4:30" x14ac:dyDescent="0.35">
      <c r="O162" s="125" t="s">
        <v>103</v>
      </c>
      <c r="P162" s="119">
        <v>1</v>
      </c>
      <c r="Q162" s="4">
        <v>1</v>
      </c>
      <c r="R162" s="4">
        <v>1</v>
      </c>
      <c r="S162" s="4">
        <v>1</v>
      </c>
      <c r="T162" s="120">
        <v>1</v>
      </c>
      <c r="Z162" s="233"/>
      <c r="AA162" s="233"/>
      <c r="AB162" s="233"/>
      <c r="AC162" s="233"/>
      <c r="AD162" s="233"/>
    </row>
    <row r="163" spans="4:30" x14ac:dyDescent="0.35">
      <c r="P163" s="125" t="s">
        <v>151</v>
      </c>
    </row>
    <row r="164" spans="4:30" x14ac:dyDescent="0.35">
      <c r="D164" s="125" t="s">
        <v>150</v>
      </c>
      <c r="E164" s="125" t="s">
        <v>39</v>
      </c>
      <c r="O164" s="125" t="s">
        <v>72</v>
      </c>
      <c r="P164" s="130" cm="1">
        <f t="array" ref="P164:T173" xml:space="preserve"> $AC112:$AC121 * P153:T162 * ($P$138:$T$138 / $P$136:$T$136) * ($P$20:$T$20 * P66:T75)</f>
        <v>0</v>
      </c>
      <c r="Q164" s="131">
        <v>0</v>
      </c>
      <c r="R164" s="131">
        <v>0</v>
      </c>
      <c r="S164" s="131">
        <v>0</v>
      </c>
      <c r="T164" s="132">
        <v>0</v>
      </c>
    </row>
    <row r="165" spans="4:30" x14ac:dyDescent="0.35">
      <c r="O165" s="125" t="s">
        <v>73</v>
      </c>
      <c r="P165" s="134">
        <v>0</v>
      </c>
      <c r="Q165" s="135">
        <v>0</v>
      </c>
      <c r="R165" s="135">
        <v>0</v>
      </c>
      <c r="S165" s="135">
        <v>0</v>
      </c>
      <c r="T165" s="136">
        <v>1950511.8513927758</v>
      </c>
    </row>
    <row r="166" spans="4:30" x14ac:dyDescent="0.35">
      <c r="O166" s="125" t="s">
        <v>74</v>
      </c>
      <c r="P166" s="134">
        <v>0</v>
      </c>
      <c r="Q166" s="135">
        <v>0</v>
      </c>
      <c r="R166" s="135">
        <v>0</v>
      </c>
      <c r="S166" s="135">
        <v>0</v>
      </c>
      <c r="T166" s="136">
        <v>25889286.153389432</v>
      </c>
    </row>
    <row r="167" spans="4:30" x14ac:dyDescent="0.35">
      <c r="O167" s="125" t="s">
        <v>75</v>
      </c>
      <c r="P167" s="134">
        <v>0</v>
      </c>
      <c r="Q167" s="135">
        <v>0</v>
      </c>
      <c r="R167" s="135">
        <v>0</v>
      </c>
      <c r="S167" s="135">
        <v>8760033.6872188114</v>
      </c>
      <c r="T167" s="136">
        <v>26663800.661998924</v>
      </c>
    </row>
    <row r="168" spans="4:30" x14ac:dyDescent="0.35">
      <c r="O168" s="125" t="s">
        <v>76</v>
      </c>
      <c r="P168" s="134">
        <v>0</v>
      </c>
      <c r="Q168" s="135">
        <v>2.0656033546799697E-5</v>
      </c>
      <c r="R168" s="135">
        <v>0</v>
      </c>
      <c r="S168" s="135">
        <v>15872584.673255336</v>
      </c>
      <c r="T168" s="136">
        <v>5048637.4350663023</v>
      </c>
    </row>
    <row r="169" spans="4:30" x14ac:dyDescent="0.35">
      <c r="O169" s="125" t="s">
        <v>99</v>
      </c>
      <c r="P169" s="134">
        <v>0</v>
      </c>
      <c r="Q169" s="135">
        <v>1.152172463175953E-3</v>
      </c>
      <c r="R169" s="135">
        <v>0</v>
      </c>
      <c r="S169" s="135">
        <v>20858276.989991967</v>
      </c>
      <c r="T169" s="136">
        <v>0</v>
      </c>
    </row>
    <row r="170" spans="4:30" x14ac:dyDescent="0.35">
      <c r="O170" s="125" t="s">
        <v>100</v>
      </c>
      <c r="P170" s="134">
        <v>0</v>
      </c>
      <c r="Q170" s="135">
        <v>1.3251073980250078E-3</v>
      </c>
      <c r="R170" s="135">
        <v>0</v>
      </c>
      <c r="S170" s="135">
        <v>0</v>
      </c>
      <c r="T170" s="136">
        <v>0</v>
      </c>
    </row>
    <row r="171" spans="4:30" x14ac:dyDescent="0.35">
      <c r="O171" s="125" t="s">
        <v>101</v>
      </c>
      <c r="P171" s="134">
        <v>0</v>
      </c>
      <c r="Q171" s="135">
        <v>0</v>
      </c>
      <c r="R171" s="135">
        <v>28330897.975627139</v>
      </c>
      <c r="S171" s="135">
        <v>0</v>
      </c>
      <c r="T171" s="136">
        <v>0</v>
      </c>
    </row>
    <row r="172" spans="4:30" x14ac:dyDescent="0.35">
      <c r="O172" s="125" t="s">
        <v>102</v>
      </c>
      <c r="P172" s="134">
        <v>0</v>
      </c>
      <c r="Q172" s="135">
        <v>7.3537673101977123</v>
      </c>
      <c r="R172" s="135">
        <v>34905510.432695903</v>
      </c>
      <c r="S172" s="135">
        <v>0</v>
      </c>
      <c r="T172" s="136">
        <v>0</v>
      </c>
    </row>
    <row r="173" spans="4:30" x14ac:dyDescent="0.35">
      <c r="O173" s="125" t="s">
        <v>103</v>
      </c>
      <c r="P173" s="138">
        <v>0</v>
      </c>
      <c r="Q173" s="139">
        <v>0</v>
      </c>
      <c r="R173" s="139">
        <v>0</v>
      </c>
      <c r="S173" s="139">
        <v>0</v>
      </c>
      <c r="T173" s="140">
        <v>0</v>
      </c>
    </row>
    <row r="174" spans="4:30" x14ac:dyDescent="0.35">
      <c r="P174" s="125" t="s">
        <v>154</v>
      </c>
    </row>
    <row r="175" spans="4:30" x14ac:dyDescent="0.35">
      <c r="D175" s="125" t="s">
        <v>152</v>
      </c>
      <c r="E175" s="125" t="s">
        <v>153</v>
      </c>
      <c r="O175" s="125" t="s">
        <v>72</v>
      </c>
      <c r="P175" s="234" cm="1">
        <f t="array" ref="P175:T184" xml:space="preserve"> IF(P164:T173 = 0, 0, P164:T173/P124:T133)</f>
        <v>0</v>
      </c>
      <c r="Q175" s="114">
        <v>0</v>
      </c>
      <c r="R175" s="114">
        <v>0</v>
      </c>
      <c r="S175" s="114">
        <v>0</v>
      </c>
      <c r="T175" s="115">
        <v>0</v>
      </c>
      <c r="W175" s="233"/>
      <c r="X175" s="233"/>
      <c r="Y175" s="233"/>
      <c r="Z175" s="233"/>
    </row>
    <row r="176" spans="4:30" x14ac:dyDescent="0.35">
      <c r="O176" s="125" t="s">
        <v>73</v>
      </c>
      <c r="P176" s="116">
        <v>0</v>
      </c>
      <c r="Q176" s="117">
        <v>0</v>
      </c>
      <c r="R176" s="117">
        <v>0</v>
      </c>
      <c r="S176" s="117">
        <v>0</v>
      </c>
      <c r="T176" s="118">
        <v>0.64186050383373727</v>
      </c>
      <c r="V176" s="233"/>
      <c r="W176" s="233"/>
      <c r="X176" s="233"/>
      <c r="Y176" s="233"/>
      <c r="Z176" s="233"/>
    </row>
    <row r="177" spans="15:26" x14ac:dyDescent="0.35">
      <c r="O177" s="125" t="s">
        <v>74</v>
      </c>
      <c r="P177" s="116">
        <v>0</v>
      </c>
      <c r="Q177" s="117">
        <v>0</v>
      </c>
      <c r="R177" s="117">
        <v>0</v>
      </c>
      <c r="S177" s="117">
        <v>0</v>
      </c>
      <c r="T177" s="118">
        <v>0.68213557826900229</v>
      </c>
      <c r="V177" s="233"/>
      <c r="W177" s="233"/>
      <c r="X177" s="233"/>
      <c r="Y177" s="233"/>
      <c r="Z177" s="233"/>
    </row>
    <row r="178" spans="15:26" x14ac:dyDescent="0.35">
      <c r="O178" s="125" t="s">
        <v>75</v>
      </c>
      <c r="P178" s="116">
        <v>0</v>
      </c>
      <c r="Q178" s="117">
        <v>0</v>
      </c>
      <c r="R178" s="117">
        <v>0</v>
      </c>
      <c r="S178" s="117">
        <v>0.22828646931929539</v>
      </c>
      <c r="T178" s="118">
        <v>0.72361890493732484</v>
      </c>
      <c r="V178" s="233"/>
      <c r="W178" s="233"/>
      <c r="X178" s="233"/>
      <c r="Y178" s="233"/>
      <c r="Z178" s="233"/>
    </row>
    <row r="179" spans="15:26" x14ac:dyDescent="0.35">
      <c r="O179" s="125" t="s">
        <v>76</v>
      </c>
      <c r="P179" s="116">
        <v>0</v>
      </c>
      <c r="Q179" s="117">
        <v>0.46311860634189389</v>
      </c>
      <c r="R179" s="117">
        <v>0</v>
      </c>
      <c r="S179" s="117">
        <v>0.3475914522261136</v>
      </c>
      <c r="T179" s="118">
        <v>0.7663467314056972</v>
      </c>
      <c r="V179" s="233"/>
      <c r="W179" s="233"/>
      <c r="X179" s="233"/>
      <c r="Y179" s="233"/>
      <c r="Z179" s="233"/>
    </row>
    <row r="180" spans="15:26" x14ac:dyDescent="0.35">
      <c r="O180" s="125" t="s">
        <v>99</v>
      </c>
      <c r="P180" s="116">
        <v>0</v>
      </c>
      <c r="Q180" s="117">
        <v>0.56424267113731064</v>
      </c>
      <c r="R180" s="117">
        <v>0</v>
      </c>
      <c r="S180" s="117">
        <v>0.47047558462013583</v>
      </c>
      <c r="T180" s="118">
        <v>0</v>
      </c>
      <c r="V180" s="233"/>
      <c r="W180" s="233"/>
      <c r="X180" s="233"/>
      <c r="Y180" s="233"/>
      <c r="Z180" s="233"/>
    </row>
    <row r="181" spans="15:26" x14ac:dyDescent="0.35">
      <c r="O181" s="125" t="s">
        <v>100</v>
      </c>
      <c r="P181" s="116">
        <v>0</v>
      </c>
      <c r="Q181" s="117">
        <v>0.66840045787658964</v>
      </c>
      <c r="R181" s="117">
        <v>0</v>
      </c>
      <c r="S181" s="117">
        <v>0</v>
      </c>
      <c r="T181" s="118">
        <v>0</v>
      </c>
      <c r="V181" s="233"/>
      <c r="W181" s="233"/>
      <c r="X181" s="233"/>
      <c r="Y181" s="233"/>
      <c r="Z181" s="233"/>
    </row>
    <row r="182" spans="15:26" x14ac:dyDescent="0.35">
      <c r="O182" s="125" t="s">
        <v>101</v>
      </c>
      <c r="P182" s="116">
        <v>0</v>
      </c>
      <c r="Q182" s="117">
        <v>0</v>
      </c>
      <c r="R182" s="117">
        <v>0.64677827701587309</v>
      </c>
      <c r="S182" s="117">
        <v>0</v>
      </c>
      <c r="T182" s="118">
        <v>0</v>
      </c>
      <c r="V182" s="233"/>
      <c r="W182" s="233"/>
      <c r="X182" s="233"/>
      <c r="Y182" s="233"/>
      <c r="Z182" s="233"/>
    </row>
    <row r="183" spans="15:26" x14ac:dyDescent="0.35">
      <c r="O183" s="125" t="s">
        <v>102</v>
      </c>
      <c r="P183" s="116">
        <v>0</v>
      </c>
      <c r="Q183" s="117">
        <v>0.8861839741697477</v>
      </c>
      <c r="R183" s="117">
        <v>0.82077912577652612</v>
      </c>
      <c r="S183" s="117">
        <v>0</v>
      </c>
      <c r="T183" s="118">
        <v>0</v>
      </c>
      <c r="V183" s="233"/>
      <c r="W183" s="233"/>
      <c r="X183" s="233"/>
      <c r="Y183" s="233"/>
      <c r="Z183" s="233"/>
    </row>
    <row r="184" spans="15:26" x14ac:dyDescent="0.35">
      <c r="O184" s="125" t="s">
        <v>103</v>
      </c>
      <c r="P184" s="119">
        <v>0</v>
      </c>
      <c r="Q184" s="4">
        <v>0</v>
      </c>
      <c r="R184" s="4">
        <v>0</v>
      </c>
      <c r="S184" s="4">
        <v>0</v>
      </c>
      <c r="T184" s="120">
        <v>0</v>
      </c>
      <c r="V184" s="233"/>
      <c r="W184" s="233"/>
      <c r="X184" s="233"/>
      <c r="Y184" s="233"/>
      <c r="Z184" s="233"/>
    </row>
  </sheetData>
  <phoneticPr fontId="7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26BF-994E-4F09-9570-5E97A6BBCBBC}">
  <dimension ref="B4:D14"/>
  <sheetViews>
    <sheetView workbookViewId="0">
      <selection activeCell="K24" sqref="K24"/>
    </sheetView>
  </sheetViews>
  <sheetFormatPr defaultRowHeight="14.5" x14ac:dyDescent="0.35"/>
  <cols>
    <col min="3" max="3" width="11.90625" customWidth="1"/>
    <col min="4" max="4" width="12.7265625" customWidth="1"/>
  </cols>
  <sheetData>
    <row r="4" spans="2:4" x14ac:dyDescent="0.35">
      <c r="C4" t="s">
        <v>164</v>
      </c>
    </row>
    <row r="5" spans="2:4" x14ac:dyDescent="0.35">
      <c r="C5" t="s">
        <v>161</v>
      </c>
      <c r="D5" t="s">
        <v>162</v>
      </c>
    </row>
    <row r="6" spans="2:4" x14ac:dyDescent="0.35">
      <c r="B6" t="s">
        <v>163</v>
      </c>
      <c r="C6" s="247" cm="1">
        <f t="array" ref="C6:C8">TRANSPOSE('Multi-prod - Planning (base)'!R108:T108)</f>
        <v>105</v>
      </c>
      <c r="D6" s="247" cm="1">
        <f t="array" ref="D6:D8">TRANSPOSE('Multi-prod - Planning (new)'!R108:T108)</f>
        <v>211</v>
      </c>
    </row>
    <row r="7" spans="2:4" x14ac:dyDescent="0.35">
      <c r="B7" t="s">
        <v>70</v>
      </c>
      <c r="C7" s="247">
        <v>184.52500000000001</v>
      </c>
      <c r="D7" s="247">
        <v>118.27500000000001</v>
      </c>
    </row>
    <row r="8" spans="2:4" x14ac:dyDescent="0.35">
      <c r="B8" t="s">
        <v>71</v>
      </c>
      <c r="C8" s="247">
        <v>59.999999400000007</v>
      </c>
      <c r="D8" s="247">
        <v>59.999999400000007</v>
      </c>
    </row>
    <row r="10" spans="2:4" x14ac:dyDescent="0.35">
      <c r="C10" t="s">
        <v>165</v>
      </c>
    </row>
    <row r="11" spans="2:4" x14ac:dyDescent="0.35">
      <c r="C11" t="s">
        <v>161</v>
      </c>
      <c r="D11" t="s">
        <v>162</v>
      </c>
    </row>
    <row r="12" spans="2:4" x14ac:dyDescent="0.35">
      <c r="B12" t="s">
        <v>163</v>
      </c>
      <c r="C12" s="247" cm="1">
        <f t="array" ref="C12:C14">TRANSPOSE('Multi-prod - Planning (base)'!R34:T34)</f>
        <v>26.25</v>
      </c>
      <c r="D12" s="247" cm="1">
        <f t="array" ref="D12:D14">TRANSPOSE('Multi-prod - Planning (new)'!R34:T34)</f>
        <v>52.75</v>
      </c>
    </row>
    <row r="13" spans="2:4" x14ac:dyDescent="0.35">
      <c r="B13" t="s">
        <v>70</v>
      </c>
      <c r="C13" s="247">
        <v>73.81</v>
      </c>
      <c r="D13" s="247">
        <v>47.31</v>
      </c>
    </row>
    <row r="14" spans="2:4" x14ac:dyDescent="0.35">
      <c r="B14" t="s">
        <v>71</v>
      </c>
      <c r="C14" s="247">
        <v>60</v>
      </c>
      <c r="D14" s="247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Multi-prod - Sim</vt:lpstr>
      <vt:lpstr>Multi-prod - Opt</vt:lpstr>
      <vt:lpstr>Multi-prod - Planning (base)</vt:lpstr>
      <vt:lpstr>Multi-prod - Planning (new)</vt:lpstr>
      <vt:lpstr>Results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Zacconi</dc:creator>
  <cp:lastModifiedBy>Tommaso Zacconi</cp:lastModifiedBy>
  <dcterms:created xsi:type="dcterms:W3CDTF">2015-06-05T18:19:34Z</dcterms:created>
  <dcterms:modified xsi:type="dcterms:W3CDTF">2025-10-29T11:10:41Z</dcterms:modified>
</cp:coreProperties>
</file>