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nderaimadamba\Desktop\"/>
    </mc:Choice>
  </mc:AlternateContent>
  <bookViews>
    <workbookView xWindow="0" yWindow="0" windowWidth="28800" windowHeight="14100" activeTab="3"/>
  </bookViews>
  <sheets>
    <sheet name="Logistic" sheetId="2" r:id="rId1"/>
    <sheet name="Gompertz Leg 4 Variables " sheetId="4" r:id="rId2"/>
    <sheet name="Baranyi&amp;Roberts ComBase" sheetId="5" r:id="rId3"/>
    <sheet name="SecondaryModel" sheetId="9" r:id="rId4"/>
    <sheet name="Summary" sheetId="10" r:id="rId5"/>
  </sheets>
  <externalReferences>
    <externalReference r:id="rId6"/>
  </externalReferenc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5" l="1"/>
  <c r="M66" i="5" s="1"/>
  <c r="N62" i="5"/>
  <c r="O62" i="5"/>
  <c r="M67" i="5"/>
  <c r="L69" i="2"/>
  <c r="Z3" i="9"/>
  <c r="Z5" i="9"/>
  <c r="Z4" i="9"/>
  <c r="Z6" i="9"/>
  <c r="N161" i="2"/>
  <c r="M161" i="2"/>
  <c r="M114" i="2"/>
  <c r="N114" i="2"/>
  <c r="L161" i="2"/>
  <c r="J64" i="2"/>
  <c r="K64" i="2"/>
  <c r="L64" i="2"/>
  <c r="M64" i="2"/>
  <c r="N64" i="2"/>
  <c r="L112" i="4"/>
  <c r="M112" i="4"/>
  <c r="N112" i="4"/>
  <c r="N145" i="5"/>
  <c r="O145" i="5"/>
  <c r="O105" i="5"/>
  <c r="O19" i="5"/>
  <c r="N19" i="5"/>
  <c r="M21" i="5" s="1"/>
  <c r="M19" i="5"/>
  <c r="M145" i="5"/>
  <c r="D145" i="5"/>
  <c r="K145" i="5"/>
  <c r="L145" i="5"/>
  <c r="L105" i="5"/>
  <c r="K105" i="5"/>
  <c r="L62" i="5"/>
  <c r="K62" i="5"/>
  <c r="L19" i="5"/>
  <c r="K19" i="5"/>
  <c r="AM2" i="10"/>
  <c r="AM17" i="10"/>
  <c r="AN17" i="10" s="1"/>
  <c r="AM16" i="10"/>
  <c r="AO16" i="10" s="1"/>
  <c r="AM15" i="10"/>
  <c r="AO15" i="10" s="1"/>
  <c r="AM14" i="10"/>
  <c r="AO14" i="10" s="1"/>
  <c r="AM13" i="10"/>
  <c r="AN13" i="10" s="1"/>
  <c r="AM12" i="10"/>
  <c r="AO12" i="10" s="1"/>
  <c r="AM11" i="10"/>
  <c r="AN11" i="10" s="1"/>
  <c r="AM10" i="10"/>
  <c r="AO10" i="10" s="1"/>
  <c r="AM9" i="10"/>
  <c r="AN9" i="10" s="1"/>
  <c r="AM8" i="10"/>
  <c r="AO8" i="10" s="1"/>
  <c r="AM7" i="10"/>
  <c r="AO7" i="10" s="1"/>
  <c r="AM6" i="10"/>
  <c r="AN6" i="10" s="1"/>
  <c r="AM5" i="10"/>
  <c r="AN5" i="10" s="1"/>
  <c r="AO4" i="10"/>
  <c r="AM4" i="10"/>
  <c r="AN4" i="10" s="1"/>
  <c r="AM3" i="10"/>
  <c r="AN3" i="10" s="1"/>
  <c r="AO2" i="10"/>
  <c r="AB3" i="10"/>
  <c r="AC3" i="10" s="1"/>
  <c r="AD3" i="10"/>
  <c r="AB4" i="10"/>
  <c r="AC4" i="10" s="1"/>
  <c r="AB5" i="10"/>
  <c r="AD5" i="10" s="1"/>
  <c r="AB6" i="10"/>
  <c r="AC6" i="10"/>
  <c r="AD6" i="10"/>
  <c r="AB7" i="10"/>
  <c r="AC7" i="10"/>
  <c r="AD7" i="10"/>
  <c r="AB8" i="10"/>
  <c r="AC8" i="10" s="1"/>
  <c r="AB9" i="10"/>
  <c r="AD9" i="10" s="1"/>
  <c r="AB10" i="10"/>
  <c r="AD10" i="10" s="1"/>
  <c r="AC10" i="10"/>
  <c r="AB11" i="10"/>
  <c r="AC11" i="10"/>
  <c r="AD11" i="10"/>
  <c r="AB12" i="10"/>
  <c r="AC12" i="10" s="1"/>
  <c r="AB13" i="10"/>
  <c r="AD13" i="10" s="1"/>
  <c r="AC13" i="10"/>
  <c r="AB14" i="10"/>
  <c r="AC14" i="10" s="1"/>
  <c r="AB15" i="10"/>
  <c r="AD15" i="10" s="1"/>
  <c r="AC15" i="10"/>
  <c r="AB16" i="10"/>
  <c r="AC16" i="10" s="1"/>
  <c r="AB17" i="10"/>
  <c r="AD17" i="10" s="1"/>
  <c r="AC17" i="10"/>
  <c r="AB18" i="10"/>
  <c r="AC18" i="10"/>
  <c r="AD18" i="10"/>
  <c r="AB19" i="10"/>
  <c r="AC19" i="10" s="1"/>
  <c r="AB2" i="10"/>
  <c r="AD2" i="10" s="1"/>
  <c r="Q3" i="10"/>
  <c r="R3" i="10" s="1"/>
  <c r="Q4" i="10"/>
  <c r="R4" i="10" s="1"/>
  <c r="Q5" i="10"/>
  <c r="S5" i="10" s="1"/>
  <c r="R5" i="10"/>
  <c r="Q6" i="10"/>
  <c r="R6" i="10" s="1"/>
  <c r="Q7" i="10"/>
  <c r="R7" i="10" s="1"/>
  <c r="Q8" i="10"/>
  <c r="R8" i="10" s="1"/>
  <c r="Q9" i="10"/>
  <c r="S9" i="10" s="1"/>
  <c r="Q10" i="10"/>
  <c r="R10" i="10" s="1"/>
  <c r="Q11" i="10"/>
  <c r="R11" i="10" s="1"/>
  <c r="Q12" i="10"/>
  <c r="R12" i="10" s="1"/>
  <c r="Q13" i="10"/>
  <c r="S13" i="10" s="1"/>
  <c r="R13" i="10"/>
  <c r="Q14" i="10"/>
  <c r="S14" i="10" s="1"/>
  <c r="Q15" i="10"/>
  <c r="R15" i="10" s="1"/>
  <c r="Q16" i="10"/>
  <c r="R16" i="10" s="1"/>
  <c r="Q17" i="10"/>
  <c r="S17" i="10" s="1"/>
  <c r="Q18" i="10"/>
  <c r="R18" i="10" s="1"/>
  <c r="S18" i="10"/>
  <c r="Q19" i="10"/>
  <c r="R19" i="10" s="1"/>
  <c r="Q2" i="10"/>
  <c r="S2" i="10" s="1"/>
  <c r="F3" i="10"/>
  <c r="H3" i="10" s="1"/>
  <c r="F4" i="10"/>
  <c r="H4" i="10" s="1"/>
  <c r="F5" i="10"/>
  <c r="H5" i="10" s="1"/>
  <c r="F6" i="10"/>
  <c r="H6" i="10" s="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14" i="10"/>
  <c r="H14" i="10" s="1"/>
  <c r="F15" i="10"/>
  <c r="H15" i="10" s="1"/>
  <c r="F16" i="10"/>
  <c r="H16" i="10" s="1"/>
  <c r="F17" i="10"/>
  <c r="H17" i="10" s="1"/>
  <c r="F2" i="10"/>
  <c r="H2" i="10" s="1"/>
  <c r="N146" i="2"/>
  <c r="N147" i="2"/>
  <c r="N148" i="2"/>
  <c r="N149" i="2"/>
  <c r="N150" i="2"/>
  <c r="N151" i="2"/>
  <c r="N152" i="2"/>
  <c r="N153" i="2"/>
  <c r="N154" i="2"/>
  <c r="N155" i="2"/>
  <c r="N156" i="2"/>
  <c r="N157" i="2"/>
  <c r="M157" i="2" s="1"/>
  <c r="N158" i="2"/>
  <c r="N159" i="2"/>
  <c r="N160" i="2"/>
  <c r="L163" i="2"/>
  <c r="M155" i="2"/>
  <c r="M156" i="2"/>
  <c r="M158" i="2"/>
  <c r="M159" i="2"/>
  <c r="M160" i="2"/>
  <c r="Q14" i="9"/>
  <c r="Q18" i="9"/>
  <c r="Q30" i="9"/>
  <c r="Q34" i="9"/>
  <c r="Q46" i="9"/>
  <c r="Q50" i="9"/>
  <c r="Q62" i="9"/>
  <c r="Q66" i="9"/>
  <c r="P4" i="9"/>
  <c r="Q4" i="9" s="1"/>
  <c r="O4" i="9"/>
  <c r="P5" i="9"/>
  <c r="O5" i="9" s="1"/>
  <c r="P6" i="9"/>
  <c r="O6" i="9" s="1"/>
  <c r="P7" i="9"/>
  <c r="O7" i="9" s="1"/>
  <c r="P8" i="9"/>
  <c r="O8" i="9" s="1"/>
  <c r="P9" i="9"/>
  <c r="O9" i="9" s="1"/>
  <c r="P10" i="9"/>
  <c r="O10" i="9" s="1"/>
  <c r="P11" i="9"/>
  <c r="O11" i="9" s="1"/>
  <c r="P12" i="9"/>
  <c r="O12" i="9" s="1"/>
  <c r="P13" i="9"/>
  <c r="O13" i="9" s="1"/>
  <c r="P14" i="9"/>
  <c r="O14" i="9" s="1"/>
  <c r="P15" i="9"/>
  <c r="O15" i="9" s="1"/>
  <c r="P16" i="9"/>
  <c r="O16" i="9" s="1"/>
  <c r="P17" i="9"/>
  <c r="O17" i="9" s="1"/>
  <c r="P18" i="9"/>
  <c r="O18" i="9" s="1"/>
  <c r="P19" i="9"/>
  <c r="O19" i="9" s="1"/>
  <c r="P20" i="9"/>
  <c r="O20" i="9" s="1"/>
  <c r="P21" i="9"/>
  <c r="O21" i="9" s="1"/>
  <c r="P22" i="9"/>
  <c r="O22" i="9" s="1"/>
  <c r="P23" i="9"/>
  <c r="O23" i="9" s="1"/>
  <c r="P24" i="9"/>
  <c r="O24" i="9" s="1"/>
  <c r="P25" i="9"/>
  <c r="O25" i="9" s="1"/>
  <c r="P26" i="9"/>
  <c r="O26" i="9" s="1"/>
  <c r="P27" i="9"/>
  <c r="O27" i="9" s="1"/>
  <c r="P28" i="9"/>
  <c r="O28" i="9" s="1"/>
  <c r="P29" i="9"/>
  <c r="O29" i="9" s="1"/>
  <c r="P30" i="9"/>
  <c r="O30" i="9" s="1"/>
  <c r="P31" i="9"/>
  <c r="O31" i="9" s="1"/>
  <c r="P32" i="9"/>
  <c r="O32" i="9" s="1"/>
  <c r="P33" i="9"/>
  <c r="O33" i="9" s="1"/>
  <c r="P34" i="9"/>
  <c r="O34" i="9" s="1"/>
  <c r="P35" i="9"/>
  <c r="O35" i="9" s="1"/>
  <c r="P36" i="9"/>
  <c r="O36" i="9" s="1"/>
  <c r="P37" i="9"/>
  <c r="O37" i="9" s="1"/>
  <c r="P38" i="9"/>
  <c r="O38" i="9" s="1"/>
  <c r="P39" i="9"/>
  <c r="O39" i="9" s="1"/>
  <c r="P40" i="9"/>
  <c r="O40" i="9" s="1"/>
  <c r="P41" i="9"/>
  <c r="O41" i="9" s="1"/>
  <c r="P42" i="9"/>
  <c r="O42" i="9" s="1"/>
  <c r="P43" i="9"/>
  <c r="O43" i="9" s="1"/>
  <c r="P44" i="9"/>
  <c r="O44" i="9" s="1"/>
  <c r="P45" i="9"/>
  <c r="O45" i="9" s="1"/>
  <c r="P46" i="9"/>
  <c r="O46" i="9" s="1"/>
  <c r="P47" i="9"/>
  <c r="O47" i="9" s="1"/>
  <c r="P48" i="9"/>
  <c r="O48" i="9" s="1"/>
  <c r="P49" i="9"/>
  <c r="O49" i="9" s="1"/>
  <c r="P50" i="9"/>
  <c r="O50" i="9" s="1"/>
  <c r="P51" i="9"/>
  <c r="O51" i="9" s="1"/>
  <c r="P52" i="9"/>
  <c r="O52" i="9" s="1"/>
  <c r="P53" i="9"/>
  <c r="O53" i="9" s="1"/>
  <c r="P54" i="9"/>
  <c r="O54" i="9" s="1"/>
  <c r="P55" i="9"/>
  <c r="O55" i="9" s="1"/>
  <c r="P56" i="9"/>
  <c r="O56" i="9" s="1"/>
  <c r="P57" i="9"/>
  <c r="O57" i="9" s="1"/>
  <c r="P58" i="9"/>
  <c r="O58" i="9" s="1"/>
  <c r="P59" i="9"/>
  <c r="O59" i="9" s="1"/>
  <c r="P60" i="9"/>
  <c r="O60" i="9" s="1"/>
  <c r="P61" i="9"/>
  <c r="O61" i="9" s="1"/>
  <c r="P62" i="9"/>
  <c r="O62" i="9" s="1"/>
  <c r="P63" i="9"/>
  <c r="O63" i="9" s="1"/>
  <c r="P64" i="9"/>
  <c r="O64" i="9" s="1"/>
  <c r="P65" i="9"/>
  <c r="O65" i="9" s="1"/>
  <c r="P66" i="9"/>
  <c r="O66" i="9" s="1"/>
  <c r="P67" i="9"/>
  <c r="O67" i="9" s="1"/>
  <c r="P68" i="9"/>
  <c r="O68" i="9" s="1"/>
  <c r="P69" i="9"/>
  <c r="O69" i="9" s="1"/>
  <c r="P70" i="9"/>
  <c r="Q70" i="9" s="1"/>
  <c r="P3" i="9"/>
  <c r="Q3" i="9" s="1"/>
  <c r="AO9" i="10" l="1"/>
  <c r="AO13" i="10"/>
  <c r="AO17" i="10"/>
  <c r="R9" i="10"/>
  <c r="S6" i="10"/>
  <c r="AD19" i="10"/>
  <c r="AD14" i="10"/>
  <c r="AC9" i="10"/>
  <c r="AO5" i="10"/>
  <c r="AN8" i="10"/>
  <c r="AN12" i="10"/>
  <c r="AN16" i="10"/>
  <c r="R14" i="10"/>
  <c r="AC5" i="10"/>
  <c r="AN10" i="10"/>
  <c r="AN14" i="10"/>
  <c r="AN2" i="10"/>
  <c r="AO3" i="10"/>
  <c r="AO11" i="10"/>
  <c r="AO6" i="10"/>
  <c r="AN7" i="10"/>
  <c r="AN15" i="10"/>
  <c r="AD16" i="10"/>
  <c r="AD12" i="10"/>
  <c r="AD8" i="10"/>
  <c r="AD4" i="10"/>
  <c r="AC2" i="10"/>
  <c r="S10" i="10"/>
  <c r="R17" i="10"/>
  <c r="G15" i="10"/>
  <c r="G11" i="10"/>
  <c r="G7" i="10"/>
  <c r="G3" i="10"/>
  <c r="G2" i="10"/>
  <c r="G14" i="10"/>
  <c r="G10" i="10"/>
  <c r="G6" i="10"/>
  <c r="G16" i="10"/>
  <c r="G12" i="10"/>
  <c r="G8" i="10"/>
  <c r="G4" i="10"/>
  <c r="G17" i="10"/>
  <c r="G13" i="10"/>
  <c r="G9" i="10"/>
  <c r="G5" i="10"/>
  <c r="S19" i="10"/>
  <c r="S15" i="10"/>
  <c r="S11" i="10"/>
  <c r="S7" i="10"/>
  <c r="S3" i="10"/>
  <c r="S16" i="10"/>
  <c r="S12" i="10"/>
  <c r="S8" i="10"/>
  <c r="S4" i="10"/>
  <c r="R2" i="10"/>
  <c r="Q58" i="9"/>
  <c r="Q42" i="9"/>
  <c r="Q26" i="9"/>
  <c r="Q10" i="9"/>
  <c r="Q54" i="9"/>
  <c r="Q38" i="9"/>
  <c r="Q22" i="9"/>
  <c r="Q6" i="9"/>
  <c r="O3" i="9"/>
  <c r="Q69" i="9"/>
  <c r="Q65" i="9"/>
  <c r="Q61" i="9"/>
  <c r="Q57" i="9"/>
  <c r="Q53" i="9"/>
  <c r="Q49" i="9"/>
  <c r="Q45" i="9"/>
  <c r="Q41" i="9"/>
  <c r="Q37" i="9"/>
  <c r="Q33" i="9"/>
  <c r="Q29" i="9"/>
  <c r="Q25" i="9"/>
  <c r="Q21" i="9"/>
  <c r="Q17" i="9"/>
  <c r="Q13" i="9"/>
  <c r="Q9" i="9"/>
  <c r="Q5" i="9"/>
  <c r="Q68" i="9"/>
  <c r="Q64" i="9"/>
  <c r="Q60" i="9"/>
  <c r="Q56" i="9"/>
  <c r="Q52" i="9"/>
  <c r="Q48" i="9"/>
  <c r="Q44" i="9"/>
  <c r="Q40" i="9"/>
  <c r="Q36" i="9"/>
  <c r="Q32" i="9"/>
  <c r="Q28" i="9"/>
  <c r="Q24" i="9"/>
  <c r="Q20" i="9"/>
  <c r="Q16" i="9"/>
  <c r="Q12" i="9"/>
  <c r="Q8" i="9"/>
  <c r="Q67" i="9"/>
  <c r="Q63" i="9"/>
  <c r="Q59" i="9"/>
  <c r="Q55" i="9"/>
  <c r="Q51" i="9"/>
  <c r="Q47" i="9"/>
  <c r="Q43" i="9"/>
  <c r="Q39" i="9"/>
  <c r="Q35" i="9"/>
  <c r="Q31" i="9"/>
  <c r="Q27" i="9"/>
  <c r="Q23" i="9"/>
  <c r="Q19" i="9"/>
  <c r="Q15" i="9"/>
  <c r="Q11" i="9"/>
  <c r="Q7" i="9"/>
  <c r="O70" i="9"/>
  <c r="D19" i="5" l="1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N44" i="5"/>
  <c r="M44" i="5"/>
  <c r="H4" i="9"/>
  <c r="H5" i="9"/>
  <c r="H6" i="9"/>
  <c r="H7" i="9"/>
  <c r="H8" i="9"/>
  <c r="H9" i="9"/>
  <c r="H10" i="9"/>
  <c r="H11" i="9"/>
  <c r="L11" i="9" s="1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L31" i="9" s="1"/>
  <c r="H32" i="9"/>
  <c r="L32" i="9" s="1"/>
  <c r="H33" i="9"/>
  <c r="H34" i="9"/>
  <c r="H35" i="9"/>
  <c r="L35" i="9" s="1"/>
  <c r="H36" i="9"/>
  <c r="L36" i="9" s="1"/>
  <c r="H37" i="9"/>
  <c r="H38" i="9"/>
  <c r="H39" i="9"/>
  <c r="L39" i="9" s="1"/>
  <c r="H40" i="9"/>
  <c r="H41" i="9"/>
  <c r="H42" i="9"/>
  <c r="H43" i="9"/>
  <c r="L43" i="9" s="1"/>
  <c r="H44" i="9"/>
  <c r="H45" i="9"/>
  <c r="H46" i="9"/>
  <c r="H47" i="9"/>
  <c r="L47" i="9" s="1"/>
  <c r="H48" i="9"/>
  <c r="H49" i="9"/>
  <c r="H50" i="9"/>
  <c r="H51" i="9"/>
  <c r="L51" i="9" s="1"/>
  <c r="H52" i="9"/>
  <c r="H53" i="9"/>
  <c r="H54" i="9"/>
  <c r="H55" i="9"/>
  <c r="L55" i="9" s="1"/>
  <c r="H56" i="9"/>
  <c r="H57" i="9"/>
  <c r="H58" i="9"/>
  <c r="H59" i="9"/>
  <c r="L59" i="9" s="1"/>
  <c r="H60" i="9"/>
  <c r="H61" i="9"/>
  <c r="H62" i="9"/>
  <c r="H63" i="9"/>
  <c r="L63" i="9" s="1"/>
  <c r="H64" i="9"/>
  <c r="H65" i="9"/>
  <c r="H66" i="9"/>
  <c r="H67" i="9"/>
  <c r="L67" i="9" s="1"/>
  <c r="H68" i="9"/>
  <c r="H69" i="9"/>
  <c r="H70" i="9"/>
  <c r="H3" i="9"/>
  <c r="L3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3" i="9"/>
  <c r="Y6" i="9"/>
  <c r="Y5" i="9"/>
  <c r="Y4" i="9"/>
  <c r="Y3" i="9"/>
  <c r="F37" i="9"/>
  <c r="G37" i="9"/>
  <c r="L37" i="9"/>
  <c r="F38" i="9"/>
  <c r="G38" i="9"/>
  <c r="L38" i="9"/>
  <c r="F39" i="9"/>
  <c r="G39" i="9"/>
  <c r="F40" i="9"/>
  <c r="G40" i="9"/>
  <c r="F41" i="9"/>
  <c r="G41" i="9"/>
  <c r="L41" i="9"/>
  <c r="F42" i="9"/>
  <c r="G42" i="9"/>
  <c r="L42" i="9"/>
  <c r="F43" i="9"/>
  <c r="G43" i="9"/>
  <c r="F44" i="9"/>
  <c r="G44" i="9"/>
  <c r="F45" i="9"/>
  <c r="G45" i="9"/>
  <c r="L45" i="9"/>
  <c r="F46" i="9"/>
  <c r="G46" i="9"/>
  <c r="L46" i="9"/>
  <c r="F47" i="9"/>
  <c r="G47" i="9"/>
  <c r="F48" i="9"/>
  <c r="G48" i="9"/>
  <c r="F49" i="9"/>
  <c r="G49" i="9"/>
  <c r="F50" i="9"/>
  <c r="G50" i="9"/>
  <c r="L50" i="9"/>
  <c r="F51" i="9"/>
  <c r="G51" i="9"/>
  <c r="F52" i="9"/>
  <c r="G52" i="9"/>
  <c r="F53" i="9"/>
  <c r="G53" i="9"/>
  <c r="L53" i="9"/>
  <c r="F54" i="9"/>
  <c r="G54" i="9"/>
  <c r="L54" i="9"/>
  <c r="F55" i="9"/>
  <c r="G55" i="9"/>
  <c r="F56" i="9"/>
  <c r="G56" i="9"/>
  <c r="F57" i="9"/>
  <c r="G57" i="9"/>
  <c r="L57" i="9"/>
  <c r="F58" i="9"/>
  <c r="G58" i="9"/>
  <c r="L58" i="9"/>
  <c r="F59" i="9"/>
  <c r="G59" i="9"/>
  <c r="F60" i="9"/>
  <c r="G60" i="9"/>
  <c r="F61" i="9"/>
  <c r="G61" i="9"/>
  <c r="L61" i="9"/>
  <c r="F62" i="9"/>
  <c r="G62" i="9"/>
  <c r="L62" i="9"/>
  <c r="F63" i="9"/>
  <c r="G63" i="9"/>
  <c r="F64" i="9"/>
  <c r="G64" i="9"/>
  <c r="F65" i="9"/>
  <c r="G65" i="9"/>
  <c r="F66" i="9"/>
  <c r="G66" i="9"/>
  <c r="L66" i="9"/>
  <c r="F67" i="9"/>
  <c r="G67" i="9"/>
  <c r="F68" i="9"/>
  <c r="G68" i="9"/>
  <c r="F69" i="9"/>
  <c r="G69" i="9"/>
  <c r="L69" i="9"/>
  <c r="F70" i="9"/>
  <c r="G70" i="9"/>
  <c r="L70" i="9"/>
  <c r="L34" i="9"/>
  <c r="L33" i="9"/>
  <c r="G31" i="9"/>
  <c r="G32" i="9"/>
  <c r="G33" i="9"/>
  <c r="G34" i="9"/>
  <c r="G35" i="9"/>
  <c r="G36" i="9"/>
  <c r="F31" i="9"/>
  <c r="F32" i="9"/>
  <c r="F33" i="9"/>
  <c r="F34" i="9"/>
  <c r="F35" i="9"/>
  <c r="F36" i="9"/>
  <c r="K20" i="2"/>
  <c r="J20" i="2"/>
  <c r="M155" i="4"/>
  <c r="L157" i="4" s="1"/>
  <c r="N155" i="4"/>
  <c r="M110" i="5"/>
  <c r="D105" i="5"/>
  <c r="M105" i="5"/>
  <c r="N105" i="5"/>
  <c r="D62" i="5"/>
  <c r="M55" i="9" l="1"/>
  <c r="M43" i="9"/>
  <c r="N43" i="9" s="1"/>
  <c r="V43" i="9" s="1"/>
  <c r="M31" i="9"/>
  <c r="M70" i="9"/>
  <c r="N70" i="9" s="1"/>
  <c r="T70" i="9" s="1"/>
  <c r="M66" i="9"/>
  <c r="N66" i="9" s="1"/>
  <c r="S66" i="9" s="1"/>
  <c r="M62" i="9"/>
  <c r="N62" i="9" s="1"/>
  <c r="S62" i="9" s="1"/>
  <c r="M58" i="9"/>
  <c r="M54" i="9"/>
  <c r="N54" i="9" s="1"/>
  <c r="T54" i="9" s="1"/>
  <c r="M50" i="9"/>
  <c r="M46" i="9"/>
  <c r="N46" i="9" s="1"/>
  <c r="S46" i="9" s="1"/>
  <c r="M42" i="9"/>
  <c r="N42" i="9" s="1"/>
  <c r="T42" i="9" s="1"/>
  <c r="M38" i="9"/>
  <c r="N38" i="9" s="1"/>
  <c r="V38" i="9" s="1"/>
  <c r="M34" i="9"/>
  <c r="N34" i="9" s="1"/>
  <c r="M3" i="9"/>
  <c r="M63" i="9"/>
  <c r="M47" i="9"/>
  <c r="N47" i="9" s="1"/>
  <c r="M35" i="9"/>
  <c r="N35" i="9" s="1"/>
  <c r="M11" i="9"/>
  <c r="M69" i="9"/>
  <c r="N69" i="9" s="1"/>
  <c r="M61" i="9"/>
  <c r="N61" i="9" s="1"/>
  <c r="M57" i="9"/>
  <c r="N57" i="9" s="1"/>
  <c r="M53" i="9"/>
  <c r="N53" i="9" s="1"/>
  <c r="M45" i="9"/>
  <c r="M41" i="9"/>
  <c r="N41" i="9" s="1"/>
  <c r="M37" i="9"/>
  <c r="N37" i="9" s="1"/>
  <c r="M33" i="9"/>
  <c r="N33" i="9" s="1"/>
  <c r="M67" i="9"/>
  <c r="N67" i="9" s="1"/>
  <c r="M59" i="9"/>
  <c r="N59" i="9" s="1"/>
  <c r="V59" i="9" s="1"/>
  <c r="M51" i="9"/>
  <c r="M39" i="9"/>
  <c r="F71" i="9"/>
  <c r="M36" i="9"/>
  <c r="N36" i="9" s="1"/>
  <c r="M32" i="9"/>
  <c r="N32" i="9" s="1"/>
  <c r="N39" i="9"/>
  <c r="S39" i="9" s="1"/>
  <c r="N31" i="9"/>
  <c r="S31" i="9" s="1"/>
  <c r="N51" i="9"/>
  <c r="S51" i="9" s="1"/>
  <c r="N50" i="9"/>
  <c r="S50" i="9" s="1"/>
  <c r="N55" i="9"/>
  <c r="T55" i="9" s="1"/>
  <c r="N63" i="9"/>
  <c r="S63" i="9" s="1"/>
  <c r="N58" i="9"/>
  <c r="R58" i="9" s="1"/>
  <c r="R62" i="9"/>
  <c r="S42" i="9"/>
  <c r="T50" i="9"/>
  <c r="L60" i="9"/>
  <c r="L44" i="9"/>
  <c r="M44" i="9" s="1"/>
  <c r="L56" i="9"/>
  <c r="L68" i="9"/>
  <c r="T62" i="9"/>
  <c r="L52" i="9"/>
  <c r="M52" i="9" s="1"/>
  <c r="L65" i="9"/>
  <c r="L64" i="9"/>
  <c r="M64" i="9" s="1"/>
  <c r="N64" i="9" s="1"/>
  <c r="L49" i="9"/>
  <c r="L48" i="9"/>
  <c r="M48" i="9" s="1"/>
  <c r="N45" i="9"/>
  <c r="V42" i="9"/>
  <c r="U42" i="9" s="1"/>
  <c r="L40" i="9"/>
  <c r="T31" i="9" l="1"/>
  <c r="R42" i="9"/>
  <c r="V31" i="9"/>
  <c r="U31" i="9" s="1"/>
  <c r="S33" i="9"/>
  <c r="V33" i="9"/>
  <c r="R33" i="9"/>
  <c r="T33" i="9"/>
  <c r="S35" i="9"/>
  <c r="T35" i="9"/>
  <c r="R35" i="9"/>
  <c r="V35" i="9"/>
  <c r="U35" i="9" s="1"/>
  <c r="T46" i="9"/>
  <c r="V46" i="9"/>
  <c r="R46" i="9"/>
  <c r="V39" i="9"/>
  <c r="V62" i="9"/>
  <c r="U62" i="9" s="1"/>
  <c r="V47" i="9"/>
  <c r="R47" i="9"/>
  <c r="S67" i="9"/>
  <c r="V67" i="9"/>
  <c r="V50" i="9"/>
  <c r="R51" i="9"/>
  <c r="T51" i="9"/>
  <c r="R39" i="9"/>
  <c r="T39" i="9"/>
  <c r="V51" i="9"/>
  <c r="R50" i="9"/>
  <c r="V54" i="9"/>
  <c r="U54" i="9" s="1"/>
  <c r="M65" i="9"/>
  <c r="N65" i="9" s="1"/>
  <c r="R66" i="9"/>
  <c r="M60" i="9"/>
  <c r="N60" i="9" s="1"/>
  <c r="M49" i="9"/>
  <c r="N49" i="9" s="1"/>
  <c r="S47" i="9"/>
  <c r="T47" i="9"/>
  <c r="U47" i="9" s="1"/>
  <c r="V55" i="9"/>
  <c r="U55" i="9" s="1"/>
  <c r="T66" i="9"/>
  <c r="R31" i="9"/>
  <c r="S55" i="9"/>
  <c r="M68" i="9"/>
  <c r="N68" i="9" s="1"/>
  <c r="N52" i="9"/>
  <c r="V52" i="9" s="1"/>
  <c r="N44" i="9"/>
  <c r="S44" i="9" s="1"/>
  <c r="N48" i="9"/>
  <c r="S48" i="9" s="1"/>
  <c r="V66" i="9"/>
  <c r="S54" i="9"/>
  <c r="R54" i="9"/>
  <c r="M40" i="9"/>
  <c r="N40" i="9" s="1"/>
  <c r="M56" i="9"/>
  <c r="N56" i="9" s="1"/>
  <c r="V58" i="9"/>
  <c r="R67" i="9"/>
  <c r="T67" i="9"/>
  <c r="R55" i="9"/>
  <c r="R70" i="9"/>
  <c r="T63" i="9"/>
  <c r="V63" i="9"/>
  <c r="R63" i="9"/>
  <c r="T43" i="9"/>
  <c r="U43" i="9" s="1"/>
  <c r="S70" i="9"/>
  <c r="V70" i="9"/>
  <c r="U70" i="9" s="1"/>
  <c r="U39" i="9"/>
  <c r="S58" i="9"/>
  <c r="T58" i="9"/>
  <c r="S64" i="9"/>
  <c r="R64" i="9"/>
  <c r="R57" i="9"/>
  <c r="S57" i="9"/>
  <c r="R61" i="9"/>
  <c r="S61" i="9"/>
  <c r="S59" i="9"/>
  <c r="T59" i="9"/>
  <c r="U59" i="9" s="1"/>
  <c r="R59" i="9"/>
  <c r="R69" i="9"/>
  <c r="S69" i="9"/>
  <c r="R44" i="9"/>
  <c r="S41" i="9"/>
  <c r="R41" i="9"/>
  <c r="S43" i="9"/>
  <c r="R43" i="9"/>
  <c r="S53" i="9"/>
  <c r="R53" i="9"/>
  <c r="S45" i="9"/>
  <c r="R45" i="9"/>
  <c r="R38" i="9"/>
  <c r="S38" i="9"/>
  <c r="T38" i="9"/>
  <c r="U38" i="9" s="1"/>
  <c r="R37" i="9"/>
  <c r="S37" i="9"/>
  <c r="S36" i="9"/>
  <c r="R36" i="9"/>
  <c r="S32" i="9"/>
  <c r="R32" i="9"/>
  <c r="S34" i="9"/>
  <c r="R34" i="9"/>
  <c r="T69" i="9"/>
  <c r="V69" i="9"/>
  <c r="T41" i="9"/>
  <c r="V41" i="9"/>
  <c r="T44" i="9"/>
  <c r="V44" i="9"/>
  <c r="T53" i="9"/>
  <c r="V53" i="9"/>
  <c r="T64" i="9"/>
  <c r="V64" i="9"/>
  <c r="T57" i="9"/>
  <c r="V57" i="9"/>
  <c r="U46" i="9"/>
  <c r="U50" i="9"/>
  <c r="T45" i="9"/>
  <c r="V45" i="9"/>
  <c r="T37" i="9"/>
  <c r="V37" i="9"/>
  <c r="T61" i="9"/>
  <c r="V61" i="9"/>
  <c r="T34" i="9"/>
  <c r="V34" i="9"/>
  <c r="T36" i="9"/>
  <c r="V36" i="9"/>
  <c r="T32" i="9"/>
  <c r="V32" i="9"/>
  <c r="T52" i="9" l="1"/>
  <c r="U51" i="9"/>
  <c r="U66" i="9"/>
  <c r="R52" i="9"/>
  <c r="U58" i="9"/>
  <c r="U33" i="9"/>
  <c r="V48" i="9"/>
  <c r="T40" i="9"/>
  <c r="V40" i="9"/>
  <c r="S40" i="9"/>
  <c r="R40" i="9"/>
  <c r="S52" i="9"/>
  <c r="U67" i="9"/>
  <c r="S68" i="9"/>
  <c r="V68" i="9"/>
  <c r="R68" i="9"/>
  <c r="T68" i="9"/>
  <c r="T65" i="9"/>
  <c r="R65" i="9"/>
  <c r="S65" i="9"/>
  <c r="V65" i="9"/>
  <c r="V60" i="9"/>
  <c r="S60" i="9"/>
  <c r="R60" i="9"/>
  <c r="T60" i="9"/>
  <c r="V56" i="9"/>
  <c r="R56" i="9"/>
  <c r="T56" i="9"/>
  <c r="U56" i="9" s="1"/>
  <c r="S56" i="9"/>
  <c r="S49" i="9"/>
  <c r="R49" i="9"/>
  <c r="T49" i="9"/>
  <c r="V49" i="9"/>
  <c r="T48" i="9"/>
  <c r="R48" i="9"/>
  <c r="U63" i="9"/>
  <c r="U53" i="9"/>
  <c r="U44" i="9"/>
  <c r="U41" i="9"/>
  <c r="U57" i="9"/>
  <c r="U64" i="9"/>
  <c r="U69" i="9"/>
  <c r="U61" i="9"/>
  <c r="U37" i="9"/>
  <c r="U45" i="9"/>
  <c r="U52" i="9"/>
  <c r="U32" i="9"/>
  <c r="U36" i="9"/>
  <c r="U34" i="9"/>
  <c r="U48" i="9" l="1"/>
  <c r="U49" i="9"/>
  <c r="U40" i="9"/>
  <c r="U65" i="9"/>
  <c r="U60" i="9"/>
  <c r="U68" i="9"/>
  <c r="H131" i="5" l="1"/>
  <c r="I131" i="5" s="1"/>
  <c r="H143" i="5"/>
  <c r="I143" i="5" s="1"/>
  <c r="H87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R128" i="5"/>
  <c r="H130" i="5" s="1"/>
  <c r="I130" i="5" s="1"/>
  <c r="G100" i="5"/>
  <c r="G101" i="5"/>
  <c r="G102" i="5"/>
  <c r="G103" i="5"/>
  <c r="G104" i="5"/>
  <c r="F100" i="5"/>
  <c r="F101" i="5"/>
  <c r="F102" i="5"/>
  <c r="F103" i="5"/>
  <c r="F104" i="5"/>
  <c r="G52" i="5"/>
  <c r="G53" i="5"/>
  <c r="G54" i="5"/>
  <c r="G55" i="5"/>
  <c r="G56" i="5"/>
  <c r="G57" i="5"/>
  <c r="G58" i="5"/>
  <c r="G59" i="5"/>
  <c r="G60" i="5"/>
  <c r="G61" i="5"/>
  <c r="F52" i="5"/>
  <c r="F53" i="5"/>
  <c r="F54" i="5"/>
  <c r="F55" i="5"/>
  <c r="F56" i="5"/>
  <c r="F57" i="5"/>
  <c r="F58" i="5"/>
  <c r="F59" i="5"/>
  <c r="F60" i="5"/>
  <c r="F61" i="5"/>
  <c r="S7" i="5"/>
  <c r="F11" i="5"/>
  <c r="F12" i="5"/>
  <c r="F13" i="5"/>
  <c r="F14" i="5"/>
  <c r="F15" i="5"/>
  <c r="F16" i="5"/>
  <c r="F17" i="5"/>
  <c r="F18" i="5"/>
  <c r="G11" i="5"/>
  <c r="G12" i="5"/>
  <c r="G13" i="5"/>
  <c r="G14" i="5"/>
  <c r="G15" i="5"/>
  <c r="G16" i="5"/>
  <c r="G17" i="5"/>
  <c r="G18" i="5"/>
  <c r="H140" i="4"/>
  <c r="H141" i="4"/>
  <c r="I141" i="4" s="1"/>
  <c r="H142" i="4"/>
  <c r="H143" i="4"/>
  <c r="I143" i="4" s="1"/>
  <c r="J143" i="4" s="1"/>
  <c r="H144" i="4"/>
  <c r="I144" i="4" s="1"/>
  <c r="J144" i="4" s="1"/>
  <c r="H145" i="4"/>
  <c r="H146" i="4"/>
  <c r="H147" i="4"/>
  <c r="I147" i="4" s="1"/>
  <c r="H148" i="4"/>
  <c r="H149" i="4"/>
  <c r="I149" i="4" s="1"/>
  <c r="H150" i="4"/>
  <c r="H151" i="4"/>
  <c r="I151" i="4" s="1"/>
  <c r="H152" i="4"/>
  <c r="I152" i="4" s="1"/>
  <c r="H153" i="4"/>
  <c r="I153" i="4" s="1"/>
  <c r="N153" i="4" s="1"/>
  <c r="H154" i="4"/>
  <c r="I154" i="4" s="1"/>
  <c r="H139" i="4"/>
  <c r="D155" i="4"/>
  <c r="G152" i="4"/>
  <c r="G153" i="4"/>
  <c r="G154" i="4"/>
  <c r="F152" i="4"/>
  <c r="F153" i="4"/>
  <c r="F154" i="4"/>
  <c r="H106" i="4"/>
  <c r="I106" i="4" s="1"/>
  <c r="H107" i="4"/>
  <c r="I107" i="4" s="1"/>
  <c r="H108" i="4"/>
  <c r="I108" i="4" s="1"/>
  <c r="J108" i="4" s="1"/>
  <c r="H109" i="4"/>
  <c r="I109" i="4" s="1"/>
  <c r="H110" i="4"/>
  <c r="I110" i="4" s="1"/>
  <c r="H111" i="4"/>
  <c r="I111" i="4" s="1"/>
  <c r="G106" i="4"/>
  <c r="G107" i="4"/>
  <c r="G108" i="4"/>
  <c r="G109" i="4"/>
  <c r="G110" i="4"/>
  <c r="G111" i="4"/>
  <c r="F106" i="4"/>
  <c r="F107" i="4"/>
  <c r="F108" i="4"/>
  <c r="F109" i="4"/>
  <c r="F110" i="4"/>
  <c r="F111" i="4"/>
  <c r="D112" i="4"/>
  <c r="H50" i="4"/>
  <c r="H51" i="4"/>
  <c r="H52" i="4"/>
  <c r="H53" i="4"/>
  <c r="H54" i="4"/>
  <c r="H55" i="4"/>
  <c r="H56" i="4"/>
  <c r="H57" i="4"/>
  <c r="I57" i="4" s="1"/>
  <c r="H58" i="4"/>
  <c r="H59" i="4"/>
  <c r="I59" i="4" s="1"/>
  <c r="H60" i="4"/>
  <c r="I60" i="4" s="1"/>
  <c r="H61" i="4"/>
  <c r="I61" i="4" s="1"/>
  <c r="H62" i="4"/>
  <c r="H63" i="4"/>
  <c r="I63" i="4" s="1"/>
  <c r="H64" i="4"/>
  <c r="H65" i="4"/>
  <c r="I65" i="4" s="1"/>
  <c r="H66" i="4"/>
  <c r="I66" i="4" s="1"/>
  <c r="H49" i="4"/>
  <c r="G66" i="4"/>
  <c r="F66" i="4"/>
  <c r="G65" i="4"/>
  <c r="F65" i="4"/>
  <c r="I64" i="4"/>
  <c r="N64" i="4" s="1"/>
  <c r="G64" i="4"/>
  <c r="F64" i="4"/>
  <c r="G63" i="4"/>
  <c r="F63" i="4"/>
  <c r="I62" i="4"/>
  <c r="G62" i="4"/>
  <c r="F62" i="4"/>
  <c r="G61" i="4"/>
  <c r="F61" i="4"/>
  <c r="G60" i="4"/>
  <c r="F60" i="4"/>
  <c r="G59" i="4"/>
  <c r="F59" i="4"/>
  <c r="I58" i="4"/>
  <c r="G58" i="4"/>
  <c r="F58" i="4"/>
  <c r="G57" i="4"/>
  <c r="F57" i="4"/>
  <c r="D67" i="4"/>
  <c r="H5" i="4"/>
  <c r="H6" i="4"/>
  <c r="I6" i="4" s="1"/>
  <c r="K6" i="4" s="1"/>
  <c r="H7" i="4"/>
  <c r="H8" i="4"/>
  <c r="H9" i="4"/>
  <c r="I9" i="4" s="1"/>
  <c r="K9" i="4" s="1"/>
  <c r="H10" i="4"/>
  <c r="H11" i="4"/>
  <c r="I11" i="4" s="1"/>
  <c r="J11" i="4" s="1"/>
  <c r="H12" i="4"/>
  <c r="I12" i="4" s="1"/>
  <c r="K12" i="4" s="1"/>
  <c r="H13" i="4"/>
  <c r="I13" i="4" s="1"/>
  <c r="K13" i="4" s="1"/>
  <c r="H14" i="4"/>
  <c r="H15" i="4"/>
  <c r="H16" i="4"/>
  <c r="H17" i="4"/>
  <c r="I17" i="4" s="1"/>
  <c r="K17" i="4" s="1"/>
  <c r="H18" i="4"/>
  <c r="H19" i="4"/>
  <c r="I19" i="4" s="1"/>
  <c r="K19" i="4" s="1"/>
  <c r="H4" i="4"/>
  <c r="I4" i="4" s="1"/>
  <c r="K4" i="4" s="1"/>
  <c r="H95" i="4"/>
  <c r="G151" i="4"/>
  <c r="F151" i="4"/>
  <c r="I150" i="4"/>
  <c r="G150" i="4"/>
  <c r="F150" i="4"/>
  <c r="G149" i="4"/>
  <c r="F149" i="4"/>
  <c r="I148" i="4"/>
  <c r="G148" i="4"/>
  <c r="F148" i="4"/>
  <c r="G147" i="4"/>
  <c r="F147" i="4"/>
  <c r="I146" i="4"/>
  <c r="G146" i="4"/>
  <c r="F146" i="4"/>
  <c r="I145" i="4"/>
  <c r="L145" i="4" s="1"/>
  <c r="G145" i="4"/>
  <c r="F145" i="4"/>
  <c r="G144" i="4"/>
  <c r="F144" i="4"/>
  <c r="G143" i="4"/>
  <c r="F143" i="4"/>
  <c r="I142" i="4"/>
  <c r="G142" i="4"/>
  <c r="F142" i="4"/>
  <c r="G141" i="4"/>
  <c r="F141" i="4"/>
  <c r="I140" i="4"/>
  <c r="G140" i="4"/>
  <c r="F140" i="4"/>
  <c r="I139" i="4"/>
  <c r="J139" i="4" s="1"/>
  <c r="G139" i="4"/>
  <c r="F139" i="4"/>
  <c r="D20" i="4"/>
  <c r="G19" i="4"/>
  <c r="F19" i="4"/>
  <c r="I18" i="4"/>
  <c r="J18" i="4" s="1"/>
  <c r="G18" i="4"/>
  <c r="F18" i="4"/>
  <c r="G17" i="4"/>
  <c r="F17" i="4"/>
  <c r="I16" i="4"/>
  <c r="K16" i="4" s="1"/>
  <c r="G16" i="4"/>
  <c r="F16" i="4"/>
  <c r="I15" i="4"/>
  <c r="K15" i="4" s="1"/>
  <c r="G15" i="4"/>
  <c r="F15" i="4"/>
  <c r="I14" i="4"/>
  <c r="K14" i="4" s="1"/>
  <c r="G14" i="4"/>
  <c r="F14" i="4"/>
  <c r="G13" i="4"/>
  <c r="F13" i="4"/>
  <c r="G12" i="4"/>
  <c r="F12" i="4"/>
  <c r="G11" i="4"/>
  <c r="F11" i="4"/>
  <c r="I10" i="4"/>
  <c r="J10" i="4" s="1"/>
  <c r="G10" i="4"/>
  <c r="F10" i="4"/>
  <c r="G9" i="4"/>
  <c r="F9" i="4"/>
  <c r="I8" i="4"/>
  <c r="N8" i="4" s="1"/>
  <c r="G8" i="4"/>
  <c r="F8" i="4"/>
  <c r="I7" i="4"/>
  <c r="K7" i="4" s="1"/>
  <c r="G7" i="4"/>
  <c r="F7" i="4"/>
  <c r="G6" i="4"/>
  <c r="F6" i="4"/>
  <c r="I5" i="4"/>
  <c r="K5" i="4" s="1"/>
  <c r="G5" i="4"/>
  <c r="F5" i="4"/>
  <c r="G4" i="4"/>
  <c r="F4" i="4"/>
  <c r="F4" i="2"/>
  <c r="G4" i="2"/>
  <c r="H4" i="2"/>
  <c r="I4" i="2" s="1"/>
  <c r="F5" i="2"/>
  <c r="G5" i="2"/>
  <c r="H5" i="2"/>
  <c r="I5" i="2" s="1"/>
  <c r="F6" i="2"/>
  <c r="G6" i="2"/>
  <c r="H6" i="2"/>
  <c r="I6" i="2" s="1"/>
  <c r="F7" i="2"/>
  <c r="G7" i="2"/>
  <c r="H7" i="2"/>
  <c r="I7" i="2" s="1"/>
  <c r="F8" i="2"/>
  <c r="G8" i="2"/>
  <c r="H8" i="2"/>
  <c r="I8" i="2" s="1"/>
  <c r="F9" i="2"/>
  <c r="G9" i="2"/>
  <c r="H9" i="2"/>
  <c r="I9" i="2" s="1"/>
  <c r="F10" i="2"/>
  <c r="G10" i="2"/>
  <c r="H10" i="2"/>
  <c r="I10" i="2"/>
  <c r="J10" i="2" s="1"/>
  <c r="F11" i="2"/>
  <c r="G11" i="2"/>
  <c r="H11" i="2"/>
  <c r="I11" i="2"/>
  <c r="L11" i="2" s="1"/>
  <c r="J11" i="2"/>
  <c r="K11" i="2"/>
  <c r="N11" i="2"/>
  <c r="F12" i="2"/>
  <c r="G12" i="2"/>
  <c r="H12" i="2"/>
  <c r="I12" i="2"/>
  <c r="L12" i="2" s="1"/>
  <c r="J12" i="2"/>
  <c r="K12" i="2"/>
  <c r="F13" i="2"/>
  <c r="G13" i="2"/>
  <c r="H13" i="2"/>
  <c r="I13" i="2"/>
  <c r="N13" i="2" s="1"/>
  <c r="J13" i="2"/>
  <c r="F14" i="2"/>
  <c r="G14" i="2"/>
  <c r="H14" i="2"/>
  <c r="I14" i="2"/>
  <c r="L14" i="2" s="1"/>
  <c r="J14" i="2"/>
  <c r="K14" i="2"/>
  <c r="F15" i="2"/>
  <c r="G15" i="2"/>
  <c r="H15" i="2"/>
  <c r="I15" i="2"/>
  <c r="J15" i="2" s="1"/>
  <c r="K15" i="2"/>
  <c r="L15" i="2"/>
  <c r="N15" i="2"/>
  <c r="M15" i="2" s="1"/>
  <c r="F16" i="2"/>
  <c r="G16" i="2"/>
  <c r="H16" i="2"/>
  <c r="I16" i="2"/>
  <c r="J16" i="2" s="1"/>
  <c r="K16" i="2"/>
  <c r="L16" i="2"/>
  <c r="N16" i="2"/>
  <c r="M16" i="2" s="1"/>
  <c r="F17" i="2"/>
  <c r="G17" i="2"/>
  <c r="H17" i="2"/>
  <c r="I17" i="2"/>
  <c r="J17" i="2" s="1"/>
  <c r="F18" i="2"/>
  <c r="G18" i="2"/>
  <c r="H18" i="2"/>
  <c r="I18" i="2" s="1"/>
  <c r="F19" i="2"/>
  <c r="G19" i="2"/>
  <c r="H19" i="2"/>
  <c r="I19" i="2"/>
  <c r="L19" i="2" s="1"/>
  <c r="J19" i="2"/>
  <c r="K19" i="2"/>
  <c r="H146" i="2"/>
  <c r="I146" i="2" s="1"/>
  <c r="H147" i="2"/>
  <c r="I147" i="2" s="1"/>
  <c r="H148" i="2"/>
  <c r="H149" i="2"/>
  <c r="I149" i="2" s="1"/>
  <c r="H150" i="2"/>
  <c r="I150" i="2" s="1"/>
  <c r="H151" i="2"/>
  <c r="I151" i="2" s="1"/>
  <c r="H152" i="2"/>
  <c r="I152" i="2" s="1"/>
  <c r="H153" i="2"/>
  <c r="H154" i="2"/>
  <c r="H155" i="2"/>
  <c r="I155" i="2" s="1"/>
  <c r="H156" i="2"/>
  <c r="H157" i="2"/>
  <c r="I157" i="2" s="1"/>
  <c r="H158" i="2"/>
  <c r="I158" i="2" s="1"/>
  <c r="H159" i="2"/>
  <c r="I159" i="2" s="1"/>
  <c r="H160" i="2"/>
  <c r="I160" i="2" s="1"/>
  <c r="I153" i="2"/>
  <c r="H145" i="2"/>
  <c r="I145" i="2" s="1"/>
  <c r="J145" i="2" s="1"/>
  <c r="I148" i="2"/>
  <c r="I154" i="2"/>
  <c r="I156" i="2"/>
  <c r="F96" i="2"/>
  <c r="H54" i="2"/>
  <c r="I54" i="2" s="1"/>
  <c r="H55" i="2"/>
  <c r="I55" i="2" s="1"/>
  <c r="H56" i="2"/>
  <c r="I56" i="2" s="1"/>
  <c r="G54" i="2"/>
  <c r="G55" i="2"/>
  <c r="G56" i="2"/>
  <c r="F54" i="2"/>
  <c r="F55" i="2"/>
  <c r="F56" i="2"/>
  <c r="D20" i="2"/>
  <c r="D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H113" i="2"/>
  <c r="I113" i="2" s="1"/>
  <c r="G113" i="2"/>
  <c r="F113" i="2"/>
  <c r="H112" i="2"/>
  <c r="I112" i="2" s="1"/>
  <c r="G112" i="2"/>
  <c r="F112" i="2"/>
  <c r="H111" i="2"/>
  <c r="I111" i="2" s="1"/>
  <c r="G111" i="2"/>
  <c r="F111" i="2"/>
  <c r="H110" i="2"/>
  <c r="I110" i="2" s="1"/>
  <c r="G110" i="2"/>
  <c r="F110" i="2"/>
  <c r="H109" i="2"/>
  <c r="I109" i="2" s="1"/>
  <c r="G109" i="2"/>
  <c r="F109" i="2"/>
  <c r="H108" i="2"/>
  <c r="I108" i="2" s="1"/>
  <c r="G108" i="2"/>
  <c r="F108" i="2"/>
  <c r="H107" i="2"/>
  <c r="I107" i="2" s="1"/>
  <c r="G107" i="2"/>
  <c r="F107" i="2"/>
  <c r="H106" i="2"/>
  <c r="I106" i="2" s="1"/>
  <c r="G106" i="2"/>
  <c r="F106" i="2"/>
  <c r="H105" i="2"/>
  <c r="I105" i="2" s="1"/>
  <c r="G105" i="2"/>
  <c r="F105" i="2"/>
  <c r="D114" i="2"/>
  <c r="D64" i="2"/>
  <c r="H63" i="2"/>
  <c r="I63" i="2" s="1"/>
  <c r="G63" i="2"/>
  <c r="F63" i="2"/>
  <c r="H62" i="2"/>
  <c r="I62" i="2" s="1"/>
  <c r="N62" i="2" s="1"/>
  <c r="G62" i="2"/>
  <c r="F62" i="2"/>
  <c r="H61" i="2"/>
  <c r="I61" i="2" s="1"/>
  <c r="G61" i="2"/>
  <c r="F61" i="2"/>
  <c r="H60" i="2"/>
  <c r="I60" i="2" s="1"/>
  <c r="J60" i="2" s="1"/>
  <c r="G60" i="2"/>
  <c r="F60" i="2"/>
  <c r="H59" i="2"/>
  <c r="I59" i="2" s="1"/>
  <c r="N59" i="2" s="1"/>
  <c r="G59" i="2"/>
  <c r="F59" i="2"/>
  <c r="H58" i="2"/>
  <c r="I58" i="2" s="1"/>
  <c r="N58" i="2" s="1"/>
  <c r="G58" i="2"/>
  <c r="F58" i="2"/>
  <c r="H57" i="2"/>
  <c r="I57" i="2" s="1"/>
  <c r="G57" i="2"/>
  <c r="F57" i="2"/>
  <c r="H139" i="5" l="1"/>
  <c r="I139" i="5" s="1"/>
  <c r="H137" i="5"/>
  <c r="I137" i="5" s="1"/>
  <c r="H135" i="5"/>
  <c r="I135" i="5" s="1"/>
  <c r="H129" i="5"/>
  <c r="I129" i="5" s="1"/>
  <c r="J129" i="5" s="1"/>
  <c r="J18" i="2"/>
  <c r="N18" i="2"/>
  <c r="L6" i="2"/>
  <c r="J6" i="2"/>
  <c r="K6" i="2"/>
  <c r="N7" i="2"/>
  <c r="M7" i="2" s="1"/>
  <c r="J7" i="2"/>
  <c r="K7" i="2"/>
  <c r="L7" i="2"/>
  <c r="J8" i="2"/>
  <c r="N8" i="2"/>
  <c r="K8" i="2"/>
  <c r="L8" i="2"/>
  <c r="N4" i="2"/>
  <c r="M4" i="2" s="1"/>
  <c r="J4" i="2"/>
  <c r="K4" i="2"/>
  <c r="L4" i="2"/>
  <c r="J9" i="2"/>
  <c r="N9" i="2"/>
  <c r="N5" i="2"/>
  <c r="K5" i="2"/>
  <c r="L5" i="2"/>
  <c r="J5" i="2"/>
  <c r="N57" i="2"/>
  <c r="N17" i="2"/>
  <c r="N63" i="2"/>
  <c r="N19" i="2"/>
  <c r="M19" i="2" s="1"/>
  <c r="N12" i="2"/>
  <c r="M12" i="2" s="1"/>
  <c r="L13" i="2"/>
  <c r="M13" i="2" s="1"/>
  <c r="M11" i="2"/>
  <c r="N10" i="2"/>
  <c r="M10" i="2" s="1"/>
  <c r="K13" i="2"/>
  <c r="L10" i="2"/>
  <c r="H144" i="5"/>
  <c r="I144" i="5" s="1"/>
  <c r="H136" i="5"/>
  <c r="I136" i="5" s="1"/>
  <c r="H142" i="5"/>
  <c r="I142" i="5" s="1"/>
  <c r="H134" i="5"/>
  <c r="I134" i="5" s="1"/>
  <c r="H141" i="5"/>
  <c r="I141" i="5" s="1"/>
  <c r="H133" i="5"/>
  <c r="I133" i="5" s="1"/>
  <c r="H140" i="5"/>
  <c r="I140" i="5" s="1"/>
  <c r="H132" i="5"/>
  <c r="I132" i="5" s="1"/>
  <c r="H138" i="5"/>
  <c r="I138" i="5" s="1"/>
  <c r="N154" i="4"/>
  <c r="K154" i="4"/>
  <c r="J154" i="4"/>
  <c r="L154" i="4"/>
  <c r="N152" i="4"/>
  <c r="K152" i="4"/>
  <c r="J152" i="4"/>
  <c r="L152" i="4"/>
  <c r="L153" i="4"/>
  <c r="M153" i="4" s="1"/>
  <c r="J153" i="4"/>
  <c r="K153" i="4"/>
  <c r="J109" i="4"/>
  <c r="N109" i="4"/>
  <c r="K109" i="4"/>
  <c r="N107" i="4"/>
  <c r="K107" i="4"/>
  <c r="L107" i="4"/>
  <c r="J107" i="4"/>
  <c r="N106" i="4"/>
  <c r="K106" i="4"/>
  <c r="L106" i="4"/>
  <c r="J106" i="4"/>
  <c r="N111" i="4"/>
  <c r="K111" i="4"/>
  <c r="J111" i="4"/>
  <c r="L111" i="4"/>
  <c r="J110" i="4"/>
  <c r="N110" i="4"/>
  <c r="K110" i="4"/>
  <c r="L110" i="4"/>
  <c r="L109" i="4"/>
  <c r="L108" i="4"/>
  <c r="K108" i="4"/>
  <c r="N108" i="4"/>
  <c r="L151" i="4"/>
  <c r="K151" i="4"/>
  <c r="J151" i="4"/>
  <c r="K143" i="4"/>
  <c r="K144" i="4"/>
  <c r="L143" i="4"/>
  <c r="L144" i="4"/>
  <c r="K59" i="4"/>
  <c r="N59" i="4"/>
  <c r="L59" i="4"/>
  <c r="J59" i="4"/>
  <c r="J62" i="4"/>
  <c r="K62" i="4"/>
  <c r="L60" i="4"/>
  <c r="K60" i="4"/>
  <c r="N57" i="4"/>
  <c r="L57" i="4"/>
  <c r="K57" i="4"/>
  <c r="J57" i="4"/>
  <c r="N65" i="4"/>
  <c r="L65" i="4"/>
  <c r="K65" i="4"/>
  <c r="J65" i="4"/>
  <c r="K61" i="4"/>
  <c r="J61" i="4"/>
  <c r="N61" i="4"/>
  <c r="L61" i="4"/>
  <c r="N63" i="4"/>
  <c r="L63" i="4"/>
  <c r="K63" i="4"/>
  <c r="J63" i="4"/>
  <c r="N58" i="4"/>
  <c r="L58" i="4"/>
  <c r="K58" i="4"/>
  <c r="J58" i="4"/>
  <c r="N66" i="4"/>
  <c r="L66" i="4"/>
  <c r="K66" i="4"/>
  <c r="J66" i="4"/>
  <c r="N60" i="4"/>
  <c r="L62" i="4"/>
  <c r="J64" i="4"/>
  <c r="K64" i="4"/>
  <c r="N62" i="4"/>
  <c r="L64" i="4"/>
  <c r="M64" i="4" s="1"/>
  <c r="J60" i="4"/>
  <c r="L141" i="4"/>
  <c r="K141" i="4"/>
  <c r="J141" i="4"/>
  <c r="L149" i="4"/>
  <c r="K149" i="4"/>
  <c r="J149" i="4"/>
  <c r="K142" i="4"/>
  <c r="L142" i="4"/>
  <c r="J142" i="4"/>
  <c r="K146" i="4"/>
  <c r="L146" i="4"/>
  <c r="J146" i="4"/>
  <c r="J147" i="4"/>
  <c r="L147" i="4"/>
  <c r="K147" i="4"/>
  <c r="L148" i="4"/>
  <c r="K148" i="4"/>
  <c r="J148" i="4"/>
  <c r="K139" i="4"/>
  <c r="L139" i="4"/>
  <c r="L140" i="4"/>
  <c r="J140" i="4"/>
  <c r="K140" i="4"/>
  <c r="K150" i="4"/>
  <c r="L150" i="4"/>
  <c r="J150" i="4"/>
  <c r="J145" i="4"/>
  <c r="K145" i="4"/>
  <c r="N11" i="4"/>
  <c r="J19" i="4"/>
  <c r="K11" i="4"/>
  <c r="N19" i="4"/>
  <c r="N15" i="4"/>
  <c r="N12" i="4"/>
  <c r="N17" i="4"/>
  <c r="N9" i="4"/>
  <c r="N10" i="4"/>
  <c r="N16" i="4"/>
  <c r="N18" i="4"/>
  <c r="N7" i="4"/>
  <c r="N14" i="4"/>
  <c r="N6" i="4"/>
  <c r="N13" i="4"/>
  <c r="N5" i="4"/>
  <c r="K8" i="4"/>
  <c r="J8" i="4"/>
  <c r="K10" i="4"/>
  <c r="J17" i="4"/>
  <c r="J9" i="4"/>
  <c r="J16" i="4"/>
  <c r="J15" i="4"/>
  <c r="J7" i="4"/>
  <c r="K18" i="4"/>
  <c r="J14" i="4"/>
  <c r="J6" i="4"/>
  <c r="J13" i="4"/>
  <c r="J5" i="4"/>
  <c r="J12" i="4"/>
  <c r="J4" i="4"/>
  <c r="L5" i="4"/>
  <c r="L14" i="4"/>
  <c r="L13" i="4"/>
  <c r="L6" i="4"/>
  <c r="L15" i="4"/>
  <c r="L12" i="4"/>
  <c r="L10" i="4"/>
  <c r="L18" i="4"/>
  <c r="L4" i="4"/>
  <c r="N4" i="4"/>
  <c r="L11" i="4"/>
  <c r="L7" i="4"/>
  <c r="L19" i="4"/>
  <c r="L8" i="4"/>
  <c r="L16" i="4"/>
  <c r="L9" i="4"/>
  <c r="L17" i="4"/>
  <c r="L18" i="2"/>
  <c r="M18" i="2" s="1"/>
  <c r="K18" i="2"/>
  <c r="L17" i="2"/>
  <c r="M17" i="2" s="1"/>
  <c r="K10" i="2"/>
  <c r="L9" i="2"/>
  <c r="M9" i="2" s="1"/>
  <c r="K17" i="2"/>
  <c r="N14" i="2"/>
  <c r="M14" i="2" s="1"/>
  <c r="K9" i="2"/>
  <c r="N6" i="2"/>
  <c r="M6" i="2" s="1"/>
  <c r="N61" i="2"/>
  <c r="K153" i="2"/>
  <c r="J56" i="2"/>
  <c r="N56" i="2"/>
  <c r="L56" i="2"/>
  <c r="K56" i="2"/>
  <c r="L54" i="2"/>
  <c r="J54" i="2"/>
  <c r="N54" i="2"/>
  <c r="K54" i="2"/>
  <c r="J55" i="2"/>
  <c r="L55" i="2"/>
  <c r="N55" i="2"/>
  <c r="M55" i="2" s="1"/>
  <c r="K55" i="2"/>
  <c r="N60" i="2"/>
  <c r="N111" i="2"/>
  <c r="K145" i="2"/>
  <c r="L145" i="2"/>
  <c r="L153" i="2"/>
  <c r="L152" i="2"/>
  <c r="K152" i="2"/>
  <c r="J152" i="2"/>
  <c r="J154" i="2"/>
  <c r="K154" i="2"/>
  <c r="L154" i="2"/>
  <c r="L147" i="2"/>
  <c r="J147" i="2"/>
  <c r="K147" i="2"/>
  <c r="L159" i="2"/>
  <c r="K159" i="2"/>
  <c r="J159" i="2"/>
  <c r="L157" i="2"/>
  <c r="K157" i="2"/>
  <c r="J157" i="2"/>
  <c r="L149" i="2"/>
  <c r="K149" i="2"/>
  <c r="J149" i="2"/>
  <c r="L155" i="2"/>
  <c r="K155" i="2"/>
  <c r="J155" i="2"/>
  <c r="J146" i="2"/>
  <c r="K146" i="2"/>
  <c r="L146" i="2"/>
  <c r="L160" i="2"/>
  <c r="K160" i="2"/>
  <c r="J160" i="2"/>
  <c r="L151" i="2"/>
  <c r="K151" i="2"/>
  <c r="J151" i="2"/>
  <c r="J148" i="2"/>
  <c r="J156" i="2"/>
  <c r="N145" i="2"/>
  <c r="K148" i="2"/>
  <c r="K156" i="2"/>
  <c r="L148" i="2"/>
  <c r="J150" i="2"/>
  <c r="L156" i="2"/>
  <c r="J158" i="2"/>
  <c r="K150" i="2"/>
  <c r="K158" i="2"/>
  <c r="L150" i="2"/>
  <c r="L158" i="2"/>
  <c r="J153" i="2"/>
  <c r="J109" i="2"/>
  <c r="K109" i="2"/>
  <c r="L107" i="2"/>
  <c r="K107" i="2"/>
  <c r="N105" i="2"/>
  <c r="L105" i="2"/>
  <c r="K105" i="2"/>
  <c r="J105" i="2"/>
  <c r="K108" i="2"/>
  <c r="J108" i="2"/>
  <c r="N108" i="2"/>
  <c r="L108" i="2"/>
  <c r="N112" i="2"/>
  <c r="L112" i="2"/>
  <c r="K112" i="2"/>
  <c r="J112" i="2"/>
  <c r="L106" i="2"/>
  <c r="K106" i="2"/>
  <c r="J106" i="2"/>
  <c r="N106" i="2"/>
  <c r="N110" i="2"/>
  <c r="L110" i="2"/>
  <c r="K110" i="2"/>
  <c r="J110" i="2"/>
  <c r="N113" i="2"/>
  <c r="L113" i="2"/>
  <c r="K113" i="2"/>
  <c r="J113" i="2"/>
  <c r="N107" i="2"/>
  <c r="L109" i="2"/>
  <c r="J111" i="2"/>
  <c r="K111" i="2"/>
  <c r="N109" i="2"/>
  <c r="L111" i="2"/>
  <c r="J107" i="2"/>
  <c r="J59" i="2"/>
  <c r="J58" i="2"/>
  <c r="K58" i="2"/>
  <c r="L58" i="2"/>
  <c r="M58" i="2" s="1"/>
  <c r="L61" i="2"/>
  <c r="M61" i="2" s="1"/>
  <c r="K61" i="2"/>
  <c r="J61" i="2"/>
  <c r="K57" i="2"/>
  <c r="J57" i="2"/>
  <c r="L57" i="2"/>
  <c r="L62" i="2"/>
  <c r="M62" i="2" s="1"/>
  <c r="K62" i="2"/>
  <c r="J62" i="2"/>
  <c r="L63" i="2"/>
  <c r="M63" i="2" s="1"/>
  <c r="K63" i="2"/>
  <c r="J63" i="2"/>
  <c r="K59" i="2"/>
  <c r="L59" i="2"/>
  <c r="M59" i="2" s="1"/>
  <c r="K60" i="2"/>
  <c r="L60" i="2"/>
  <c r="L8" i="9"/>
  <c r="M8" i="9" s="1"/>
  <c r="L16" i="9"/>
  <c r="M16" i="9" s="1"/>
  <c r="L19" i="9"/>
  <c r="M19" i="9" s="1"/>
  <c r="L20" i="9"/>
  <c r="M20" i="9" s="1"/>
  <c r="L23" i="9"/>
  <c r="L24" i="9"/>
  <c r="M24" i="9" s="1"/>
  <c r="L27" i="9"/>
  <c r="M27" i="9" s="1"/>
  <c r="L28" i="9"/>
  <c r="M28" i="9" s="1"/>
  <c r="L30" i="9"/>
  <c r="M30" i="9" s="1"/>
  <c r="L4" i="9"/>
  <c r="M4" i="9" s="1"/>
  <c r="L21" i="9"/>
  <c r="M21" i="9" s="1"/>
  <c r="L22" i="9"/>
  <c r="M22" i="9" s="1"/>
  <c r="L25" i="9"/>
  <c r="M25" i="9" s="1"/>
  <c r="L26" i="9"/>
  <c r="M26" i="9" s="1"/>
  <c r="L29" i="9"/>
  <c r="M29" i="9" s="1"/>
  <c r="L5" i="9"/>
  <c r="M5" i="9" s="1"/>
  <c r="L9" i="9"/>
  <c r="M9" i="9" s="1"/>
  <c r="L13" i="9"/>
  <c r="M13" i="9" s="1"/>
  <c r="L14" i="9"/>
  <c r="M14" i="9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G3" i="9"/>
  <c r="F3" i="9"/>
  <c r="M23" i="9" l="1"/>
  <c r="N23" i="9" s="1"/>
  <c r="N20" i="9"/>
  <c r="N4" i="9"/>
  <c r="L18" i="9"/>
  <c r="M18" i="9" s="1"/>
  <c r="V18" i="9" s="1"/>
  <c r="L10" i="9"/>
  <c r="L6" i="9"/>
  <c r="L17" i="9"/>
  <c r="N3" i="9"/>
  <c r="R3" i="9" s="1"/>
  <c r="L15" i="9"/>
  <c r="N11" i="9"/>
  <c r="L7" i="9"/>
  <c r="L12" i="9"/>
  <c r="M12" i="9" s="1"/>
  <c r="M5" i="2"/>
  <c r="M57" i="2"/>
  <c r="M8" i="2"/>
  <c r="J155" i="4"/>
  <c r="L155" i="4"/>
  <c r="K155" i="4"/>
  <c r="K156" i="4" s="1"/>
  <c r="M154" i="4"/>
  <c r="M152" i="4"/>
  <c r="M109" i="4"/>
  <c r="M111" i="4"/>
  <c r="M107" i="4"/>
  <c r="M110" i="4"/>
  <c r="M108" i="4"/>
  <c r="M106" i="4"/>
  <c r="M62" i="4"/>
  <c r="J156" i="4"/>
  <c r="M59" i="4"/>
  <c r="M60" i="4"/>
  <c r="M66" i="4"/>
  <c r="M63" i="4"/>
  <c r="M65" i="4"/>
  <c r="M61" i="4"/>
  <c r="M58" i="4"/>
  <c r="M57" i="4"/>
  <c r="M17" i="4"/>
  <c r="M15" i="4"/>
  <c r="L20" i="4"/>
  <c r="M14" i="4"/>
  <c r="M16" i="4"/>
  <c r="M6" i="4"/>
  <c r="M4" i="4"/>
  <c r="M9" i="4"/>
  <c r="M13" i="4"/>
  <c r="M11" i="4"/>
  <c r="M19" i="4"/>
  <c r="M18" i="4"/>
  <c r="M10" i="4"/>
  <c r="M5" i="4"/>
  <c r="M8" i="4"/>
  <c r="M12" i="4"/>
  <c r="M7" i="4"/>
  <c r="M54" i="2"/>
  <c r="M111" i="2"/>
  <c r="M107" i="2"/>
  <c r="M149" i="2"/>
  <c r="M148" i="2"/>
  <c r="M60" i="2"/>
  <c r="M56" i="2"/>
  <c r="M151" i="2"/>
  <c r="M150" i="2"/>
  <c r="M153" i="2"/>
  <c r="L166" i="2"/>
  <c r="M154" i="2"/>
  <c r="K161" i="2"/>
  <c r="K162" i="2" s="1"/>
  <c r="M145" i="2"/>
  <c r="M152" i="2"/>
  <c r="J161" i="2"/>
  <c r="J162" i="2" s="1"/>
  <c r="M146" i="2"/>
  <c r="M147" i="2"/>
  <c r="M105" i="2"/>
  <c r="M109" i="2"/>
  <c r="M113" i="2"/>
  <c r="M108" i="2"/>
  <c r="M110" i="2"/>
  <c r="M112" i="2"/>
  <c r="M106" i="2"/>
  <c r="N30" i="9"/>
  <c r="N19" i="9"/>
  <c r="N27" i="9"/>
  <c r="V27" i="9" s="1"/>
  <c r="N26" i="9"/>
  <c r="N22" i="9"/>
  <c r="N14" i="9"/>
  <c r="N29" i="9"/>
  <c r="V29" i="9" s="1"/>
  <c r="N25" i="9"/>
  <c r="N21" i="9"/>
  <c r="N13" i="9"/>
  <c r="N9" i="9"/>
  <c r="N5" i="9"/>
  <c r="N28" i="9"/>
  <c r="N24" i="9"/>
  <c r="N16" i="9"/>
  <c r="N8" i="9"/>
  <c r="V13" i="9"/>
  <c r="V16" i="9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R2" i="5"/>
  <c r="R86" i="5"/>
  <c r="R43" i="5"/>
  <c r="G3" i="5"/>
  <c r="N18" i="9" l="1"/>
  <c r="T23" i="9"/>
  <c r="R23" i="9"/>
  <c r="V23" i="9"/>
  <c r="U23" i="9" s="1"/>
  <c r="S23" i="9"/>
  <c r="M15" i="9"/>
  <c r="V15" i="9" s="1"/>
  <c r="M17" i="9"/>
  <c r="N17" i="9" s="1"/>
  <c r="M10" i="9"/>
  <c r="N10" i="9" s="1"/>
  <c r="M7" i="9"/>
  <c r="N7" i="9" s="1"/>
  <c r="M6" i="9"/>
  <c r="N6" i="9" s="1"/>
  <c r="N15" i="9"/>
  <c r="S15" i="9" s="1"/>
  <c r="S20" i="9"/>
  <c r="R20" i="9"/>
  <c r="S28" i="9"/>
  <c r="R28" i="9"/>
  <c r="S27" i="9"/>
  <c r="R27" i="9"/>
  <c r="S25" i="9"/>
  <c r="R25" i="9"/>
  <c r="S22" i="9"/>
  <c r="R22" i="9"/>
  <c r="S21" i="9"/>
  <c r="R21" i="9"/>
  <c r="S19" i="9"/>
  <c r="R19" i="9"/>
  <c r="S24" i="9"/>
  <c r="R24" i="9"/>
  <c r="S29" i="9"/>
  <c r="R29" i="9"/>
  <c r="S26" i="9"/>
  <c r="R26" i="9"/>
  <c r="S30" i="9"/>
  <c r="R30" i="9"/>
  <c r="R11" i="9"/>
  <c r="S11" i="9"/>
  <c r="S13" i="9"/>
  <c r="R13" i="9"/>
  <c r="S16" i="9"/>
  <c r="R16" i="9"/>
  <c r="S5" i="9"/>
  <c r="R5" i="9"/>
  <c r="R18" i="9"/>
  <c r="S18" i="9"/>
  <c r="R9" i="9"/>
  <c r="S9" i="9"/>
  <c r="S8" i="9"/>
  <c r="R8" i="9"/>
  <c r="R14" i="9"/>
  <c r="S14" i="9"/>
  <c r="S4" i="9"/>
  <c r="R4" i="9"/>
  <c r="S3" i="9"/>
  <c r="T19" i="9"/>
  <c r="V30" i="9"/>
  <c r="V12" i="9"/>
  <c r="N12" i="9"/>
  <c r="T12" i="9" s="1"/>
  <c r="V11" i="9"/>
  <c r="J130" i="5"/>
  <c r="J138" i="5"/>
  <c r="J131" i="5"/>
  <c r="J139" i="5"/>
  <c r="J137" i="5"/>
  <c r="J132" i="5"/>
  <c r="J140" i="5"/>
  <c r="J133" i="5"/>
  <c r="J141" i="5"/>
  <c r="J144" i="5"/>
  <c r="L144" i="5" s="1"/>
  <c r="J134" i="5"/>
  <c r="J142" i="5"/>
  <c r="J135" i="5"/>
  <c r="J143" i="5"/>
  <c r="J136" i="5"/>
  <c r="H101" i="5"/>
  <c r="I101" i="5" s="1"/>
  <c r="J101" i="5" s="1"/>
  <c r="H102" i="5"/>
  <c r="I102" i="5" s="1"/>
  <c r="J102" i="5" s="1"/>
  <c r="H103" i="5"/>
  <c r="I103" i="5" s="1"/>
  <c r="J103" i="5" s="1"/>
  <c r="H104" i="5"/>
  <c r="I104" i="5" s="1"/>
  <c r="J104" i="5" s="1"/>
  <c r="H100" i="5"/>
  <c r="I100" i="5" s="1"/>
  <c r="J100" i="5" s="1"/>
  <c r="H46" i="5"/>
  <c r="I46" i="5" s="1"/>
  <c r="J46" i="5" s="1"/>
  <c r="H56" i="5"/>
  <c r="I56" i="5" s="1"/>
  <c r="H57" i="5"/>
  <c r="I57" i="5" s="1"/>
  <c r="H58" i="5"/>
  <c r="I58" i="5" s="1"/>
  <c r="H59" i="5"/>
  <c r="I59" i="5" s="1"/>
  <c r="H52" i="5"/>
  <c r="I52" i="5" s="1"/>
  <c r="H60" i="5"/>
  <c r="I60" i="5" s="1"/>
  <c r="H53" i="5"/>
  <c r="I53" i="5" s="1"/>
  <c r="H61" i="5"/>
  <c r="I61" i="5" s="1"/>
  <c r="H55" i="5"/>
  <c r="I55" i="5" s="1"/>
  <c r="H54" i="5"/>
  <c r="I54" i="5" s="1"/>
  <c r="H6" i="5"/>
  <c r="I6" i="5" s="1"/>
  <c r="H11" i="5"/>
  <c r="H12" i="5"/>
  <c r="H13" i="5"/>
  <c r="H14" i="5"/>
  <c r="H15" i="5"/>
  <c r="H16" i="5"/>
  <c r="H18" i="5"/>
  <c r="H17" i="5"/>
  <c r="L160" i="4"/>
  <c r="L159" i="4"/>
  <c r="M20" i="4"/>
  <c r="L165" i="2"/>
  <c r="V24" i="9"/>
  <c r="T27" i="9"/>
  <c r="U27" i="9" s="1"/>
  <c r="T24" i="9"/>
  <c r="T29" i="9"/>
  <c r="U29" i="9" s="1"/>
  <c r="T26" i="9"/>
  <c r="T21" i="9"/>
  <c r="T30" i="9"/>
  <c r="V21" i="9"/>
  <c r="V20" i="9"/>
  <c r="V26" i="9"/>
  <c r="V22" i="9"/>
  <c r="T22" i="9"/>
  <c r="V19" i="9"/>
  <c r="V28" i="9"/>
  <c r="T25" i="9"/>
  <c r="T20" i="9"/>
  <c r="V14" i="9"/>
  <c r="V25" i="9"/>
  <c r="T28" i="9"/>
  <c r="T14" i="9"/>
  <c r="T13" i="9"/>
  <c r="U13" i="9" s="1"/>
  <c r="T18" i="9"/>
  <c r="U18" i="9" s="1"/>
  <c r="T16" i="9"/>
  <c r="U16" i="9" s="1"/>
  <c r="T11" i="9"/>
  <c r="V3" i="9"/>
  <c r="T3" i="9"/>
  <c r="V8" i="9"/>
  <c r="T8" i="9"/>
  <c r="T9" i="9"/>
  <c r="V9" i="9"/>
  <c r="V5" i="9"/>
  <c r="T5" i="9"/>
  <c r="T4" i="9"/>
  <c r="V4" i="9"/>
  <c r="H5" i="5"/>
  <c r="I5" i="5" s="1"/>
  <c r="H8" i="5"/>
  <c r="I8" i="5" s="1"/>
  <c r="H4" i="5"/>
  <c r="I4" i="5" s="1"/>
  <c r="H9" i="5"/>
  <c r="I9" i="5" s="1"/>
  <c r="H90" i="5"/>
  <c r="I90" i="5" s="1"/>
  <c r="H94" i="5"/>
  <c r="I94" i="5" s="1"/>
  <c r="H98" i="5"/>
  <c r="I98" i="5" s="1"/>
  <c r="H89" i="5"/>
  <c r="I89" i="5" s="1"/>
  <c r="H97" i="5"/>
  <c r="I97" i="5" s="1"/>
  <c r="H91" i="5"/>
  <c r="I91" i="5" s="1"/>
  <c r="H95" i="5"/>
  <c r="I95" i="5" s="1"/>
  <c r="H99" i="5"/>
  <c r="I99" i="5" s="1"/>
  <c r="H88" i="5"/>
  <c r="I88" i="5" s="1"/>
  <c r="H92" i="5"/>
  <c r="I92" i="5" s="1"/>
  <c r="H96" i="5"/>
  <c r="I96" i="5" s="1"/>
  <c r="I87" i="5"/>
  <c r="H93" i="5"/>
  <c r="I93" i="5" s="1"/>
  <c r="H3" i="5"/>
  <c r="I3" i="5" s="1"/>
  <c r="H7" i="5"/>
  <c r="I7" i="5" s="1"/>
  <c r="H47" i="5"/>
  <c r="I47" i="5" s="1"/>
  <c r="G62" i="5"/>
  <c r="H10" i="5"/>
  <c r="I10" i="5" s="1"/>
  <c r="H51" i="5"/>
  <c r="I51" i="5" s="1"/>
  <c r="J51" i="5" s="1"/>
  <c r="K51" i="5" s="1"/>
  <c r="H49" i="5"/>
  <c r="I49" i="5" s="1"/>
  <c r="H45" i="5"/>
  <c r="I45" i="5" s="1"/>
  <c r="H48" i="5"/>
  <c r="I48" i="5" s="1"/>
  <c r="H44" i="5"/>
  <c r="I44" i="5" s="1"/>
  <c r="H50" i="5"/>
  <c r="I50" i="5" s="1"/>
  <c r="T15" i="9" l="1"/>
  <c r="V17" i="9"/>
  <c r="R15" i="9"/>
  <c r="V7" i="9"/>
  <c r="S7" i="9"/>
  <c r="T7" i="9"/>
  <c r="R7" i="9"/>
  <c r="V10" i="9"/>
  <c r="R10" i="9"/>
  <c r="T10" i="9"/>
  <c r="S10" i="9"/>
  <c r="S17" i="9"/>
  <c r="T17" i="9"/>
  <c r="R17" i="9"/>
  <c r="S6" i="9"/>
  <c r="T6" i="9"/>
  <c r="T71" i="9" s="1"/>
  <c r="R6" i="9"/>
  <c r="V6" i="9"/>
  <c r="U15" i="9"/>
  <c r="U19" i="9"/>
  <c r="U12" i="9"/>
  <c r="S12" i="9"/>
  <c r="R12" i="9"/>
  <c r="U24" i="9"/>
  <c r="U30" i="9"/>
  <c r="U11" i="9"/>
  <c r="K136" i="5"/>
  <c r="L136" i="5"/>
  <c r="O136" i="5"/>
  <c r="M136" i="5"/>
  <c r="M140" i="5"/>
  <c r="O140" i="5"/>
  <c r="K140" i="5"/>
  <c r="L140" i="5"/>
  <c r="M143" i="5"/>
  <c r="O143" i="5"/>
  <c r="L143" i="5"/>
  <c r="K143" i="5"/>
  <c r="K132" i="5"/>
  <c r="L132" i="5"/>
  <c r="O132" i="5"/>
  <c r="M132" i="5"/>
  <c r="M135" i="5"/>
  <c r="L135" i="5"/>
  <c r="K135" i="5"/>
  <c r="O135" i="5"/>
  <c r="O137" i="5"/>
  <c r="K137" i="5"/>
  <c r="M137" i="5"/>
  <c r="L137" i="5"/>
  <c r="L142" i="5"/>
  <c r="M142" i="5"/>
  <c r="K142" i="5"/>
  <c r="O142" i="5"/>
  <c r="M139" i="5"/>
  <c r="L139" i="5"/>
  <c r="O139" i="5"/>
  <c r="K139" i="5"/>
  <c r="K134" i="5"/>
  <c r="O134" i="5"/>
  <c r="M134" i="5"/>
  <c r="L134" i="5"/>
  <c r="O131" i="5"/>
  <c r="M131" i="5"/>
  <c r="L131" i="5"/>
  <c r="K131" i="5"/>
  <c r="O144" i="5"/>
  <c r="K144" i="5"/>
  <c r="M144" i="5"/>
  <c r="L129" i="5"/>
  <c r="O129" i="5"/>
  <c r="K129" i="5"/>
  <c r="M129" i="5"/>
  <c r="O141" i="5"/>
  <c r="K141" i="5"/>
  <c r="M141" i="5"/>
  <c r="L141" i="5"/>
  <c r="K138" i="5"/>
  <c r="O138" i="5"/>
  <c r="M138" i="5"/>
  <c r="L138" i="5"/>
  <c r="M133" i="5"/>
  <c r="L133" i="5"/>
  <c r="O133" i="5"/>
  <c r="K133" i="5"/>
  <c r="K130" i="5"/>
  <c r="O130" i="5"/>
  <c r="M130" i="5"/>
  <c r="L130" i="5"/>
  <c r="L46" i="5"/>
  <c r="K46" i="5"/>
  <c r="K100" i="5"/>
  <c r="L100" i="5"/>
  <c r="M100" i="5"/>
  <c r="O100" i="5"/>
  <c r="N100" i="5" s="1"/>
  <c r="K104" i="5"/>
  <c r="M104" i="5"/>
  <c r="L104" i="5"/>
  <c r="O104" i="5"/>
  <c r="O103" i="5"/>
  <c r="L103" i="5"/>
  <c r="K103" i="5"/>
  <c r="M103" i="5"/>
  <c r="K102" i="5"/>
  <c r="L102" i="5"/>
  <c r="O102" i="5"/>
  <c r="M102" i="5"/>
  <c r="O101" i="5"/>
  <c r="L101" i="5"/>
  <c r="K101" i="5"/>
  <c r="M101" i="5"/>
  <c r="M46" i="5"/>
  <c r="N46" i="5" s="1"/>
  <c r="J53" i="5"/>
  <c r="J60" i="5"/>
  <c r="J52" i="5"/>
  <c r="J59" i="5"/>
  <c r="J58" i="5"/>
  <c r="J54" i="5"/>
  <c r="J57" i="5"/>
  <c r="J55" i="5"/>
  <c r="J56" i="5"/>
  <c r="J61" i="5"/>
  <c r="I18" i="5"/>
  <c r="J18" i="5" s="1"/>
  <c r="I16" i="5"/>
  <c r="J16" i="5" s="1"/>
  <c r="I15" i="5"/>
  <c r="J15" i="5" s="1"/>
  <c r="I14" i="5"/>
  <c r="J14" i="5" s="1"/>
  <c r="I17" i="5"/>
  <c r="J17" i="5" s="1"/>
  <c r="I13" i="5"/>
  <c r="J13" i="5" s="1"/>
  <c r="I12" i="5"/>
  <c r="J12" i="5" s="1"/>
  <c r="I11" i="5"/>
  <c r="J11" i="5" s="1"/>
  <c r="L164" i="2"/>
  <c r="U26" i="9"/>
  <c r="U22" i="9"/>
  <c r="U20" i="9"/>
  <c r="U21" i="9"/>
  <c r="U5" i="9"/>
  <c r="U9" i="9"/>
  <c r="U14" i="9"/>
  <c r="U4" i="9"/>
  <c r="U8" i="9"/>
  <c r="U25" i="9"/>
  <c r="U28" i="9"/>
  <c r="U17" i="9"/>
  <c r="U3" i="9"/>
  <c r="J45" i="5"/>
  <c r="K45" i="5" s="1"/>
  <c r="J48" i="5"/>
  <c r="J50" i="5"/>
  <c r="L50" i="5" s="1"/>
  <c r="J49" i="5"/>
  <c r="J44" i="5"/>
  <c r="K44" i="5" s="1"/>
  <c r="J47" i="5"/>
  <c r="M51" i="5"/>
  <c r="L51" i="5"/>
  <c r="S71" i="9" l="1"/>
  <c r="R71" i="9"/>
  <c r="R72" i="9" s="1"/>
  <c r="T75" i="9"/>
  <c r="T76" i="9"/>
  <c r="U6" i="9"/>
  <c r="U10" i="9"/>
  <c r="U7" i="9"/>
  <c r="V71" i="9"/>
  <c r="S72" i="9"/>
  <c r="N144" i="5"/>
  <c r="N141" i="5"/>
  <c r="M150" i="5"/>
  <c r="N139" i="5"/>
  <c r="N138" i="5"/>
  <c r="N130" i="5"/>
  <c r="N140" i="5"/>
  <c r="N134" i="5"/>
  <c r="N132" i="5"/>
  <c r="N129" i="5"/>
  <c r="N131" i="5"/>
  <c r="N137" i="5"/>
  <c r="L146" i="5"/>
  <c r="N142" i="5"/>
  <c r="N135" i="5"/>
  <c r="N133" i="5"/>
  <c r="N136" i="5"/>
  <c r="N143" i="5"/>
  <c r="K146" i="5"/>
  <c r="N104" i="5"/>
  <c r="N102" i="5"/>
  <c r="N101" i="5"/>
  <c r="N103" i="5"/>
  <c r="K58" i="5"/>
  <c r="L58" i="5"/>
  <c r="M58" i="5"/>
  <c r="N58" i="5" s="1"/>
  <c r="K55" i="5"/>
  <c r="L55" i="5"/>
  <c r="M55" i="5"/>
  <c r="N55" i="5" s="1"/>
  <c r="M59" i="5"/>
  <c r="N59" i="5" s="1"/>
  <c r="L59" i="5"/>
  <c r="K59" i="5"/>
  <c r="K57" i="5"/>
  <c r="M57" i="5"/>
  <c r="N57" i="5" s="1"/>
  <c r="L57" i="5"/>
  <c r="K52" i="5"/>
  <c r="L52" i="5"/>
  <c r="M52" i="5"/>
  <c r="N52" i="5" s="1"/>
  <c r="K56" i="5"/>
  <c r="L56" i="5"/>
  <c r="M56" i="5"/>
  <c r="N56" i="5" s="1"/>
  <c r="K53" i="5"/>
  <c r="L53" i="5"/>
  <c r="M53" i="5"/>
  <c r="N53" i="5" s="1"/>
  <c r="M61" i="5"/>
  <c r="N61" i="5" s="1"/>
  <c r="L61" i="5"/>
  <c r="K61" i="5"/>
  <c r="K54" i="5"/>
  <c r="L54" i="5"/>
  <c r="M54" i="5"/>
  <c r="N54" i="5" s="1"/>
  <c r="K60" i="5"/>
  <c r="L60" i="5"/>
  <c r="M60" i="5"/>
  <c r="N60" i="5" s="1"/>
  <c r="L44" i="5"/>
  <c r="N51" i="5"/>
  <c r="M45" i="5"/>
  <c r="N45" i="5" s="1"/>
  <c r="L45" i="5"/>
  <c r="L18" i="5"/>
  <c r="K18" i="5"/>
  <c r="O18" i="5"/>
  <c r="M18" i="5"/>
  <c r="K11" i="5"/>
  <c r="M11" i="5"/>
  <c r="L11" i="5"/>
  <c r="O11" i="5"/>
  <c r="M14" i="5"/>
  <c r="K14" i="5"/>
  <c r="O14" i="5"/>
  <c r="L14" i="5"/>
  <c r="M13" i="5"/>
  <c r="L13" i="5"/>
  <c r="K13" i="5"/>
  <c r="O13" i="5"/>
  <c r="N13" i="5" s="1"/>
  <c r="K17" i="5"/>
  <c r="M17" i="5"/>
  <c r="O17" i="5"/>
  <c r="L17" i="5"/>
  <c r="L15" i="5"/>
  <c r="M15" i="5"/>
  <c r="K15" i="5"/>
  <c r="O15" i="5"/>
  <c r="N15" i="5" s="1"/>
  <c r="M12" i="5"/>
  <c r="L12" i="5"/>
  <c r="K12" i="5"/>
  <c r="O12" i="5"/>
  <c r="O16" i="5"/>
  <c r="M16" i="5"/>
  <c r="L16" i="5"/>
  <c r="K16" i="5"/>
  <c r="L47" i="5"/>
  <c r="M47" i="5"/>
  <c r="N47" i="5" s="1"/>
  <c r="K47" i="5"/>
  <c r="K50" i="5"/>
  <c r="M50" i="5"/>
  <c r="N50" i="5" s="1"/>
  <c r="M49" i="5"/>
  <c r="N49" i="5" s="1"/>
  <c r="L49" i="5"/>
  <c r="K49" i="5"/>
  <c r="K48" i="5"/>
  <c r="L48" i="5"/>
  <c r="M48" i="5"/>
  <c r="N48" i="5" s="1"/>
  <c r="U71" i="9" l="1"/>
  <c r="T73" i="9" s="1"/>
  <c r="M65" i="5"/>
  <c r="M149" i="5"/>
  <c r="M147" i="5"/>
  <c r="L63" i="5"/>
  <c r="M64" i="5"/>
  <c r="N12" i="5"/>
  <c r="N18" i="5"/>
  <c r="K63" i="5"/>
  <c r="N14" i="5"/>
  <c r="N11" i="5"/>
  <c r="N16" i="5"/>
  <c r="N17" i="5"/>
  <c r="T74" i="9" l="1"/>
  <c r="M148" i="5"/>
  <c r="H97" i="2"/>
  <c r="I97" i="2" s="1"/>
  <c r="H98" i="2"/>
  <c r="I98" i="2" s="1"/>
  <c r="H99" i="2"/>
  <c r="H100" i="2"/>
  <c r="I100" i="2" s="1"/>
  <c r="H101" i="2"/>
  <c r="I101" i="2" s="1"/>
  <c r="H102" i="2"/>
  <c r="I102" i="2" s="1"/>
  <c r="H103" i="2"/>
  <c r="I103" i="2" s="1"/>
  <c r="H104" i="2"/>
  <c r="I104" i="2" s="1"/>
  <c r="H96" i="2"/>
  <c r="I96" i="2" s="1"/>
  <c r="H47" i="2"/>
  <c r="I47" i="2" s="1"/>
  <c r="N47" i="2" s="1"/>
  <c r="H48" i="2"/>
  <c r="I48" i="2" s="1"/>
  <c r="N48" i="2" s="1"/>
  <c r="H49" i="2"/>
  <c r="I49" i="2" s="1"/>
  <c r="N49" i="2" s="1"/>
  <c r="H50" i="2"/>
  <c r="I50" i="2" s="1"/>
  <c r="N50" i="2" s="1"/>
  <c r="H51" i="2"/>
  <c r="I51" i="2" s="1"/>
  <c r="N51" i="2" s="1"/>
  <c r="H52" i="2"/>
  <c r="I52" i="2" s="1"/>
  <c r="N52" i="2" s="1"/>
  <c r="H53" i="2"/>
  <c r="I53" i="2" s="1"/>
  <c r="N53" i="2" s="1"/>
  <c r="H46" i="2"/>
  <c r="I46" i="2" s="1"/>
  <c r="G104" i="2"/>
  <c r="F104" i="2"/>
  <c r="G103" i="2"/>
  <c r="F103" i="2"/>
  <c r="G102" i="2"/>
  <c r="F102" i="2"/>
  <c r="G101" i="2"/>
  <c r="F101" i="2"/>
  <c r="G100" i="2"/>
  <c r="F100" i="2"/>
  <c r="I99" i="2"/>
  <c r="G99" i="2"/>
  <c r="F99" i="2"/>
  <c r="G98" i="2"/>
  <c r="F98" i="2"/>
  <c r="G97" i="2"/>
  <c r="F97" i="2"/>
  <c r="G96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99" i="5"/>
  <c r="J99" i="5" s="1"/>
  <c r="F99" i="5"/>
  <c r="G98" i="5"/>
  <c r="J98" i="5" s="1"/>
  <c r="F98" i="5"/>
  <c r="G97" i="5"/>
  <c r="J97" i="5" s="1"/>
  <c r="F97" i="5"/>
  <c r="G96" i="5"/>
  <c r="J96" i="5" s="1"/>
  <c r="F96" i="5"/>
  <c r="G95" i="5"/>
  <c r="J95" i="5" s="1"/>
  <c r="F95" i="5"/>
  <c r="G94" i="5"/>
  <c r="J94" i="5" s="1"/>
  <c r="F94" i="5"/>
  <c r="G93" i="5"/>
  <c r="J93" i="5" s="1"/>
  <c r="F93" i="5"/>
  <c r="G92" i="5"/>
  <c r="J92" i="5" s="1"/>
  <c r="F92" i="5"/>
  <c r="G91" i="5"/>
  <c r="J91" i="5" s="1"/>
  <c r="F91" i="5"/>
  <c r="G90" i="5"/>
  <c r="J90" i="5" s="1"/>
  <c r="F90" i="5"/>
  <c r="G89" i="5"/>
  <c r="J89" i="5" s="1"/>
  <c r="F89" i="5"/>
  <c r="G88" i="5"/>
  <c r="J88" i="5" s="1"/>
  <c r="F88" i="5"/>
  <c r="G87" i="5"/>
  <c r="J87" i="5" s="1"/>
  <c r="F87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F3" i="5"/>
  <c r="H94" i="4"/>
  <c r="O93" i="5" l="1"/>
  <c r="L93" i="5"/>
  <c r="K93" i="5"/>
  <c r="M90" i="5"/>
  <c r="L90" i="5"/>
  <c r="K90" i="5"/>
  <c r="M94" i="5"/>
  <c r="L94" i="5"/>
  <c r="K94" i="5"/>
  <c r="M98" i="5"/>
  <c r="K98" i="5"/>
  <c r="L98" i="5"/>
  <c r="O87" i="5"/>
  <c r="L87" i="5"/>
  <c r="K87" i="5"/>
  <c r="M91" i="5"/>
  <c r="L91" i="5"/>
  <c r="K91" i="5"/>
  <c r="O95" i="5"/>
  <c r="K95" i="5"/>
  <c r="L95" i="5"/>
  <c r="O99" i="5"/>
  <c r="K99" i="5"/>
  <c r="L99" i="5"/>
  <c r="M89" i="5"/>
  <c r="L89" i="5"/>
  <c r="K89" i="5"/>
  <c r="O88" i="5"/>
  <c r="L88" i="5"/>
  <c r="K88" i="5"/>
  <c r="M92" i="5"/>
  <c r="L92" i="5"/>
  <c r="K92" i="5"/>
  <c r="O96" i="5"/>
  <c r="L96" i="5"/>
  <c r="K96" i="5"/>
  <c r="M97" i="5"/>
  <c r="K97" i="5"/>
  <c r="L97" i="5"/>
  <c r="L100" i="2"/>
  <c r="K100" i="2"/>
  <c r="J100" i="2"/>
  <c r="K48" i="2"/>
  <c r="J48" i="2"/>
  <c r="L48" i="2"/>
  <c r="M48" i="2" s="1"/>
  <c r="L103" i="2"/>
  <c r="J103" i="2"/>
  <c r="K103" i="2"/>
  <c r="N104" i="2"/>
  <c r="K104" i="2"/>
  <c r="L104" i="2"/>
  <c r="J104" i="2"/>
  <c r="K47" i="2"/>
  <c r="J47" i="2"/>
  <c r="L47" i="2"/>
  <c r="M47" i="2" s="1"/>
  <c r="J98" i="2"/>
  <c r="K98" i="2"/>
  <c r="L98" i="2"/>
  <c r="K101" i="2"/>
  <c r="L101" i="2"/>
  <c r="J101" i="2"/>
  <c r="N96" i="2"/>
  <c r="J96" i="2"/>
  <c r="L96" i="2"/>
  <c r="K96" i="2"/>
  <c r="L102" i="2"/>
  <c r="K102" i="2"/>
  <c r="J102" i="2"/>
  <c r="K53" i="2"/>
  <c r="J53" i="2"/>
  <c r="L53" i="2"/>
  <c r="M53" i="2" s="1"/>
  <c r="J99" i="2"/>
  <c r="K99" i="2"/>
  <c r="L99" i="2"/>
  <c r="L46" i="2"/>
  <c r="K46" i="2"/>
  <c r="J46" i="2"/>
  <c r="K52" i="2"/>
  <c r="L52" i="2"/>
  <c r="M52" i="2" s="1"/>
  <c r="J52" i="2"/>
  <c r="L51" i="2"/>
  <c r="M51" i="2" s="1"/>
  <c r="K51" i="2"/>
  <c r="J51" i="2"/>
  <c r="J50" i="2"/>
  <c r="L50" i="2"/>
  <c r="M50" i="2" s="1"/>
  <c r="K50" i="2"/>
  <c r="K49" i="2"/>
  <c r="J49" i="2"/>
  <c r="L49" i="2"/>
  <c r="M49" i="2" s="1"/>
  <c r="N97" i="2"/>
  <c r="J97" i="2"/>
  <c r="K97" i="2"/>
  <c r="L97" i="2"/>
  <c r="O98" i="5"/>
  <c r="N98" i="5" s="1"/>
  <c r="O89" i="5"/>
  <c r="M88" i="5"/>
  <c r="O91" i="5"/>
  <c r="O90" i="5"/>
  <c r="O94" i="5"/>
  <c r="M99" i="5"/>
  <c r="O97" i="5"/>
  <c r="N97" i="5" s="1"/>
  <c r="M93" i="5"/>
  <c r="M95" i="5"/>
  <c r="M96" i="5"/>
  <c r="O92" i="5"/>
  <c r="M87" i="5"/>
  <c r="J4" i="5"/>
  <c r="O4" i="5" s="1"/>
  <c r="J10" i="5"/>
  <c r="J9" i="5"/>
  <c r="J8" i="5"/>
  <c r="J7" i="5"/>
  <c r="J6" i="5"/>
  <c r="J5" i="5"/>
  <c r="J3" i="5"/>
  <c r="O3" i="5" s="1"/>
  <c r="N101" i="2"/>
  <c r="N99" i="2"/>
  <c r="M99" i="2" s="1"/>
  <c r="N102" i="2"/>
  <c r="N100" i="2"/>
  <c r="N98" i="2"/>
  <c r="N46" i="2"/>
  <c r="N103" i="2"/>
  <c r="M103" i="2" s="1"/>
  <c r="M100" i="2" l="1"/>
  <c r="N99" i="5"/>
  <c r="N89" i="5"/>
  <c r="N87" i="5"/>
  <c r="N92" i="5"/>
  <c r="N88" i="5"/>
  <c r="N94" i="5"/>
  <c r="N95" i="5"/>
  <c r="N90" i="5"/>
  <c r="N96" i="5"/>
  <c r="N91" i="5"/>
  <c r="N93" i="5"/>
  <c r="N151" i="4"/>
  <c r="M151" i="4" s="1"/>
  <c r="N143" i="4"/>
  <c r="M143" i="4" s="1"/>
  <c r="N149" i="4"/>
  <c r="M149" i="4" s="1"/>
  <c r="N144" i="4"/>
  <c r="M144" i="4" s="1"/>
  <c r="N147" i="4"/>
  <c r="M147" i="4" s="1"/>
  <c r="N139" i="4"/>
  <c r="N141" i="4"/>
  <c r="M141" i="4" s="1"/>
  <c r="N142" i="4"/>
  <c r="M142" i="4" s="1"/>
  <c r="N150" i="4"/>
  <c r="M150" i="4" s="1"/>
  <c r="N145" i="4"/>
  <c r="M145" i="4" s="1"/>
  <c r="N146" i="4"/>
  <c r="M146" i="4" s="1"/>
  <c r="N140" i="4"/>
  <c r="M140" i="4" s="1"/>
  <c r="N148" i="4"/>
  <c r="M148" i="4" s="1"/>
  <c r="M101" i="2"/>
  <c r="L20" i="2"/>
  <c r="L24" i="2" s="1"/>
  <c r="N20" i="2"/>
  <c r="K21" i="2"/>
  <c r="M46" i="2"/>
  <c r="K114" i="2"/>
  <c r="K115" i="2" s="1"/>
  <c r="L114" i="2"/>
  <c r="L118" i="2" s="1"/>
  <c r="J114" i="2"/>
  <c r="J115" i="2" s="1"/>
  <c r="M98" i="2"/>
  <c r="M97" i="2"/>
  <c r="M104" i="2"/>
  <c r="M96" i="2"/>
  <c r="M102" i="2"/>
  <c r="L106" i="5"/>
  <c r="K106" i="5"/>
  <c r="O10" i="5"/>
  <c r="L10" i="5"/>
  <c r="K10" i="5"/>
  <c r="L4" i="5"/>
  <c r="K4" i="5"/>
  <c r="O5" i="5"/>
  <c r="L5" i="5"/>
  <c r="K5" i="5"/>
  <c r="O6" i="5"/>
  <c r="L6" i="5"/>
  <c r="K6" i="5"/>
  <c r="O7" i="5"/>
  <c r="L7" i="5"/>
  <c r="K7" i="5"/>
  <c r="L3" i="5"/>
  <c r="K3" i="5"/>
  <c r="O8" i="5"/>
  <c r="L8" i="5"/>
  <c r="K8" i="5"/>
  <c r="O9" i="5"/>
  <c r="L9" i="5"/>
  <c r="K9" i="5"/>
  <c r="M9" i="5"/>
  <c r="J65" i="2"/>
  <c r="K65" i="2"/>
  <c r="J21" i="2"/>
  <c r="M8" i="5"/>
  <c r="M7" i="5"/>
  <c r="M6" i="5"/>
  <c r="M5" i="5"/>
  <c r="M10" i="5"/>
  <c r="M3" i="5"/>
  <c r="N3" i="5" s="1"/>
  <c r="M4" i="5"/>
  <c r="N4" i="5" s="1"/>
  <c r="M109" i="5"/>
  <c r="I50" i="4"/>
  <c r="I51" i="4"/>
  <c r="I52" i="4"/>
  <c r="I53" i="4"/>
  <c r="I54" i="4"/>
  <c r="I55" i="4"/>
  <c r="I56" i="4"/>
  <c r="I49" i="4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I94" i="4"/>
  <c r="I95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M107" i="5" l="1"/>
  <c r="N5" i="5"/>
  <c r="N9" i="5"/>
  <c r="N8" i="5"/>
  <c r="N6" i="5"/>
  <c r="N10" i="5"/>
  <c r="N7" i="5"/>
  <c r="M139" i="4"/>
  <c r="M20" i="2"/>
  <c r="L23" i="2" s="1"/>
  <c r="L116" i="2"/>
  <c r="L67" i="2"/>
  <c r="L68" i="2"/>
  <c r="L119" i="2"/>
  <c r="L25" i="2"/>
  <c r="N94" i="4"/>
  <c r="K94" i="4"/>
  <c r="J94" i="4"/>
  <c r="K99" i="4"/>
  <c r="J99" i="4"/>
  <c r="K54" i="4"/>
  <c r="J54" i="4"/>
  <c r="J102" i="4"/>
  <c r="K102" i="4"/>
  <c r="N49" i="4"/>
  <c r="J49" i="4"/>
  <c r="K49" i="4"/>
  <c r="K105" i="4"/>
  <c r="J105" i="4"/>
  <c r="K101" i="4"/>
  <c r="J101" i="4"/>
  <c r="J97" i="4"/>
  <c r="K97" i="4"/>
  <c r="J56" i="4"/>
  <c r="K56" i="4"/>
  <c r="J52" i="4"/>
  <c r="K52" i="4"/>
  <c r="J103" i="4"/>
  <c r="K103" i="4"/>
  <c r="J50" i="4"/>
  <c r="K50" i="4"/>
  <c r="J98" i="4"/>
  <c r="K98" i="4"/>
  <c r="K53" i="4"/>
  <c r="J53" i="4"/>
  <c r="K95" i="4"/>
  <c r="J95" i="4"/>
  <c r="J104" i="4"/>
  <c r="K104" i="4"/>
  <c r="J100" i="4"/>
  <c r="K100" i="4"/>
  <c r="J96" i="4"/>
  <c r="K96" i="4"/>
  <c r="K55" i="4"/>
  <c r="J55" i="4"/>
  <c r="K51" i="4"/>
  <c r="J51" i="4"/>
  <c r="M23" i="5"/>
  <c r="K20" i="5"/>
  <c r="L20" i="5"/>
  <c r="L56" i="4"/>
  <c r="N56" i="4"/>
  <c r="L51" i="4"/>
  <c r="N51" i="4"/>
  <c r="L55" i="4"/>
  <c r="N55" i="4"/>
  <c r="L54" i="4"/>
  <c r="N54" i="4"/>
  <c r="L53" i="4"/>
  <c r="N53" i="4"/>
  <c r="L50" i="4"/>
  <c r="N50" i="4"/>
  <c r="L52" i="4"/>
  <c r="N52" i="4"/>
  <c r="L49" i="4"/>
  <c r="L67" i="4" s="1"/>
  <c r="L101" i="4"/>
  <c r="N101" i="4"/>
  <c r="L94" i="4"/>
  <c r="L99" i="4"/>
  <c r="N99" i="4"/>
  <c r="L103" i="4"/>
  <c r="N103" i="4"/>
  <c r="L95" i="4"/>
  <c r="N95" i="4"/>
  <c r="L98" i="4"/>
  <c r="N98" i="4"/>
  <c r="L102" i="4"/>
  <c r="N102" i="4"/>
  <c r="L100" i="4"/>
  <c r="N100" i="4"/>
  <c r="L105" i="4"/>
  <c r="N105" i="4"/>
  <c r="L97" i="4"/>
  <c r="N97" i="4"/>
  <c r="L96" i="4"/>
  <c r="N96" i="4"/>
  <c r="L104" i="4"/>
  <c r="N104" i="4"/>
  <c r="M108" i="5" l="1"/>
  <c r="K67" i="4"/>
  <c r="J67" i="4"/>
  <c r="J68" i="4" s="1"/>
  <c r="N67" i="4"/>
  <c r="M105" i="4"/>
  <c r="M97" i="4"/>
  <c r="M53" i="4"/>
  <c r="M56" i="4"/>
  <c r="K68" i="4"/>
  <c r="M98" i="4"/>
  <c r="M101" i="4"/>
  <c r="M99" i="4"/>
  <c r="M104" i="4"/>
  <c r="M100" i="4"/>
  <c r="M95" i="4"/>
  <c r="M96" i="4"/>
  <c r="M102" i="4"/>
  <c r="M103" i="4"/>
  <c r="M55" i="4"/>
  <c r="L66" i="2"/>
  <c r="L117" i="2"/>
  <c r="L22" i="2"/>
  <c r="K112" i="4"/>
  <c r="K113" i="4" s="1"/>
  <c r="M52" i="4"/>
  <c r="J20" i="4"/>
  <c r="J21" i="4" s="1"/>
  <c r="M50" i="4"/>
  <c r="M54" i="4"/>
  <c r="M51" i="4"/>
  <c r="K20" i="4"/>
  <c r="K21" i="4" s="1"/>
  <c r="M49" i="4"/>
  <c r="J112" i="4"/>
  <c r="J113" i="4" s="1"/>
  <c r="M94" i="4"/>
  <c r="M24" i="5"/>
  <c r="L116" i="4"/>
  <c r="M22" i="5" l="1"/>
  <c r="L158" i="4"/>
  <c r="M67" i="4"/>
  <c r="L69" i="4" s="1"/>
  <c r="L71" i="4"/>
  <c r="L72" i="4"/>
  <c r="L114" i="4"/>
  <c r="L24" i="4"/>
  <c r="L25" i="4"/>
  <c r="L22" i="4"/>
  <c r="N20" i="4"/>
  <c r="L117" i="4"/>
  <c r="L70" i="4" l="1"/>
  <c r="L115" i="4"/>
  <c r="L23" i="4"/>
</calcChain>
</file>

<file path=xl/sharedStrings.xml><?xml version="1.0" encoding="utf-8"?>
<sst xmlns="http://schemas.openxmlformats.org/spreadsheetml/2006/main" count="426" uniqueCount="74">
  <si>
    <t>T = 5C</t>
  </si>
  <si>
    <t>Time [h]</t>
  </si>
  <si>
    <t>Log CFU/g</t>
  </si>
  <si>
    <t>T = 10C</t>
  </si>
  <si>
    <t>T = 15C</t>
  </si>
  <si>
    <t>Ln CFU/g</t>
  </si>
  <si>
    <t>Predicted</t>
  </si>
  <si>
    <t>CFU/g</t>
  </si>
  <si>
    <t>Std. Error</t>
  </si>
  <si>
    <t>t</t>
  </si>
  <si>
    <t>P</t>
  </si>
  <si>
    <t>a</t>
  </si>
  <si>
    <t>b</t>
  </si>
  <si>
    <t>x0</t>
  </si>
  <si>
    <t>Coefficient</t>
  </si>
  <si>
    <t>&lt;0.0001</t>
  </si>
  <si>
    <t>Predicted Ln CFU/g</t>
  </si>
  <si>
    <t>Predicted log CFU/g</t>
  </si>
  <si>
    <t>RMSE</t>
  </si>
  <si>
    <t>y0</t>
  </si>
  <si>
    <t>SSR</t>
  </si>
  <si>
    <t>SST</t>
  </si>
  <si>
    <t>R Squared</t>
  </si>
  <si>
    <t>%SE</t>
  </si>
  <si>
    <t>c</t>
  </si>
  <si>
    <t>A(t)</t>
  </si>
  <si>
    <t>Initial value</t>
  </si>
  <si>
    <t>Lag/shoulder</t>
  </si>
  <si>
    <t>Maximum Rate</t>
  </si>
  <si>
    <t>Final Value</t>
  </si>
  <si>
    <r>
      <t>H</t>
    </r>
    <r>
      <rPr>
        <sz val="10"/>
        <color theme="1"/>
        <rFont val="Calibri"/>
        <family val="2"/>
        <scheme val="minor"/>
      </rPr>
      <t>o</t>
    </r>
  </si>
  <si>
    <t>Final Value  altered to fit model perfectly from ComBase was 14.115 ± 0.14</t>
  </si>
  <si>
    <t>Actual Ln CFU/g</t>
  </si>
  <si>
    <t>Actual Log CFU/g</t>
  </si>
  <si>
    <t>Preducted Ln CFU/g</t>
  </si>
  <si>
    <t>N</t>
  </si>
  <si>
    <t>SSE</t>
  </si>
  <si>
    <t>SE</t>
  </si>
  <si>
    <r>
      <t>Log(A</t>
    </r>
    <r>
      <rPr>
        <sz val="10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</si>
  <si>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r>
      <t>Log(B</t>
    </r>
    <r>
      <rPr>
        <sz val="10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</t>
    </r>
  </si>
  <si>
    <t>%SEP</t>
  </si>
  <si>
    <t xml:space="preserve">Final Value  altered to fit model perfectly from ComBase was 15.615 </t>
  </si>
  <si>
    <t xml:space="preserve">Final Value  altered to fit model perfectly from ComBase was </t>
  </si>
  <si>
    <t>Bias</t>
  </si>
  <si>
    <t>Bias\Accuracy</t>
  </si>
  <si>
    <t>(T-Tmin)^2</t>
  </si>
  <si>
    <t>Umax</t>
  </si>
  <si>
    <t>lag</t>
  </si>
  <si>
    <t>Logistic</t>
  </si>
  <si>
    <t>Actual</t>
  </si>
  <si>
    <t>Gompertz</t>
  </si>
  <si>
    <t>Baranyi</t>
  </si>
  <si>
    <t xml:space="preserve">T </t>
  </si>
  <si>
    <t>Time(H)</t>
  </si>
  <si>
    <t xml:space="preserve"> </t>
  </si>
  <si>
    <t>T = 37C</t>
  </si>
  <si>
    <t>Standard Diviation</t>
  </si>
  <si>
    <t>T = 37°C</t>
  </si>
  <si>
    <t>T = 30C</t>
  </si>
  <si>
    <t>T = 20C</t>
  </si>
  <si>
    <t>Initial</t>
  </si>
  <si>
    <t>Final</t>
  </si>
  <si>
    <t>Initial Value</t>
  </si>
  <si>
    <t>Time(Days)</t>
  </si>
  <si>
    <t>HalfWidth</t>
  </si>
  <si>
    <t>SD</t>
  </si>
  <si>
    <t>95% Conf HalfWidth</t>
  </si>
  <si>
    <t>ConfUp</t>
  </si>
  <si>
    <t>ConfLLow</t>
  </si>
  <si>
    <t>ConfLow</t>
  </si>
  <si>
    <t>ConfHigh</t>
  </si>
  <si>
    <t>Replication</t>
  </si>
  <si>
    <t>Temp K</t>
  </si>
  <si>
    <t>Temp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</si>
</sst>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 applyBorder="1"/>
    <xf numFmtId="11" fontId="0" fillId="0" borderId="14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1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5" borderId="0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0" xfId="0" applyFill="1" applyBorder="1"/>
    <xf numFmtId="0" fontId="2" fillId="5" borderId="0" xfId="0" applyFont="1" applyFill="1" applyBorder="1" applyAlignment="1">
      <alignment horizontal="center" vertical="center"/>
    </xf>
    <xf numFmtId="0" fontId="0" fillId="5" borderId="0" xfId="0" applyFill="1"/>
    <xf numFmtId="0" fontId="2" fillId="5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 indent="2"/>
    </xf>
    <xf numFmtId="0" fontId="2" fillId="0" borderId="22" xfId="0" applyFont="1" applyBorder="1" applyAlignment="1">
      <alignment horizontal="left" vertical="center" wrapText="1" inden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2" borderId="24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 indent="2"/>
    </xf>
    <xf numFmtId="0" fontId="2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0" fillId="0" borderId="2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0" fillId="3" borderId="24" xfId="0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2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0" fillId="4" borderId="25" xfId="0" applyFill="1" applyBorder="1" applyAlignment="1">
      <alignment vertical="center" wrapText="1"/>
    </xf>
    <xf numFmtId="0" fontId="0" fillId="8" borderId="24" xfId="0" applyFill="1" applyBorder="1" applyAlignment="1">
      <alignment vertical="center" wrapText="1"/>
    </xf>
    <xf numFmtId="0" fontId="0" fillId="8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0" fillId="8" borderId="25" xfId="0" applyFill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T=37°C</a:t>
            </a:r>
          </a:p>
        </c:rich>
      </c:tx>
      <c:layout/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Logistic!$G$3</c:f>
              <c:strCache>
                <c:ptCount val="1"/>
                <c:pt idx="0">
                  <c:v>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Logistic!$C$4:$C$19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</c:numCache>
            </c:numRef>
          </c:xVal>
          <c:yVal>
            <c:numRef>
              <c:f>Logistic!$G$4:$G$19</c:f>
              <c:numCache>
                <c:formatCode>General</c:formatCode>
                <c:ptCount val="16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  <c:pt idx="8">
                  <c:v>4.4216778914261896</c:v>
                </c:pt>
                <c:pt idx="9">
                  <c:v>11.60350256331974</c:v>
                </c:pt>
                <c:pt idx="10">
                  <c:v>15.278880767539212</c:v>
                </c:pt>
                <c:pt idx="11">
                  <c:v>17.676840926821178</c:v>
                </c:pt>
                <c:pt idx="12">
                  <c:v>19.369078096815247</c:v>
                </c:pt>
                <c:pt idx="13">
                  <c:v>19.623476300347136</c:v>
                </c:pt>
                <c:pt idx="14">
                  <c:v>19.139083203575385</c:v>
                </c:pt>
                <c:pt idx="15">
                  <c:v>19.409240550465501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41-41C1-94AF-2CB3822488DF}"/>
            </c:ext>
          </c:extLst>
        </c:ser>
        <c:ser>
          <c:idx val="1"/>
          <c:order val="1"/>
          <c:tx>
            <c:strRef>
              <c:f>Logistic!$H$3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Logistic!$C$4:$C$19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</c:numCache>
            </c:numRef>
          </c:xVal>
          <c:yVal>
            <c:numRef>
              <c:f>Logistic!$H$4:$H$19</c:f>
              <c:numCache>
                <c:formatCode>General</c:formatCode>
                <c:ptCount val="16"/>
                <c:pt idx="0">
                  <c:v>4.6189777863256083</c:v>
                </c:pt>
                <c:pt idx="1">
                  <c:v>10.057507916501233</c:v>
                </c:pt>
                <c:pt idx="2">
                  <c:v>15.220987088995427</c:v>
                </c:pt>
                <c:pt idx="3">
                  <c:v>17.416715810243879</c:v>
                </c:pt>
                <c:pt idx="4">
                  <c:v>18.803715344803361</c:v>
                </c:pt>
                <c:pt idx="5">
                  <c:v>19.09333398260722</c:v>
                </c:pt>
                <c:pt idx="6">
                  <c:v>19.178439959748356</c:v>
                </c:pt>
                <c:pt idx="7">
                  <c:v>19.203101125874014</c:v>
                </c:pt>
                <c:pt idx="8">
                  <c:v>4.6189777863256083</c:v>
                </c:pt>
                <c:pt idx="9">
                  <c:v>10.057507916501233</c:v>
                </c:pt>
                <c:pt idx="10">
                  <c:v>15.220987088995427</c:v>
                </c:pt>
                <c:pt idx="11">
                  <c:v>17.416715810243879</c:v>
                </c:pt>
                <c:pt idx="12">
                  <c:v>18.803715344803361</c:v>
                </c:pt>
                <c:pt idx="13">
                  <c:v>19.09333398260722</c:v>
                </c:pt>
                <c:pt idx="14">
                  <c:v>19.178439959748356</c:v>
                </c:pt>
                <c:pt idx="15">
                  <c:v>19.203101125874014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41-41C1-94AF-2CB38224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63700615854397E-2"/>
          <c:y val="0.14129519571197729"/>
          <c:w val="0.72940970613967371"/>
          <c:h val="0.6895493994602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'Baranyi&amp;Roberts ComBase'!$G$43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'Baranyi&amp;Roberts ComBase'!$C$44:$C$61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'Baranyi&amp;Roberts ComBase'!$G$44:$G$61</c:f>
              <c:numCache>
                <c:formatCode>General</c:formatCode>
                <c:ptCount val="18"/>
                <c:pt idx="0">
                  <c:v>4.7257767241380932</c:v>
                </c:pt>
                <c:pt idx="1">
                  <c:v>10.987762847198796</c:v>
                </c:pt>
                <c:pt idx="2">
                  <c:v>12.120475770108067</c:v>
                </c:pt>
                <c:pt idx="3">
                  <c:v>13.431750206532667</c:v>
                </c:pt>
                <c:pt idx="4">
                  <c:v>14.275071946184864</c:v>
                </c:pt>
                <c:pt idx="5">
                  <c:v>13.844805871467324</c:v>
                </c:pt>
                <c:pt idx="6">
                  <c:v>14.385493158054379</c:v>
                </c:pt>
                <c:pt idx="7">
                  <c:v>14.755612834214133</c:v>
                </c:pt>
                <c:pt idx="8">
                  <c:v>15.5895219721172</c:v>
                </c:pt>
                <c:pt idx="9">
                  <c:v>4.6123170509134708</c:v>
                </c:pt>
                <c:pt idx="10">
                  <c:v>11.58671656832378</c:v>
                </c:pt>
                <c:pt idx="11">
                  <c:v>13.905771941963929</c:v>
                </c:pt>
                <c:pt idx="12">
                  <c:v>13.73244653458109</c:v>
                </c:pt>
                <c:pt idx="13">
                  <c:v>15.083603278338019</c:v>
                </c:pt>
                <c:pt idx="14">
                  <c:v>14.768333497796572</c:v>
                </c:pt>
                <c:pt idx="15">
                  <c:v>15.391045080073241</c:v>
                </c:pt>
                <c:pt idx="16">
                  <c:v>14.964540395536945</c:v>
                </c:pt>
                <c:pt idx="17">
                  <c:v>15.815979933473269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4B02-95BE-C0ACE624C7CC}"/>
            </c:ext>
          </c:extLst>
        </c:ser>
        <c:ser>
          <c:idx val="1"/>
          <c:order val="1"/>
          <c:tx>
            <c:strRef>
              <c:f>'Baranyi&amp;Roberts ComBase'!$J$43</c:f>
              <c:strCache>
                <c:ptCount val="1"/>
                <c:pt idx="0">
                  <c:v>Predicted log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'Baranyi&amp;Roberts ComBase'!$C$44:$C$61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'Baranyi&amp;Roberts ComBase'!$I$44:$I$61</c:f>
              <c:numCache>
                <c:formatCode>General</c:formatCode>
                <c:ptCount val="18"/>
                <c:pt idx="0">
                  <c:v>4.6950000000000003</c:v>
                </c:pt>
                <c:pt idx="1">
                  <c:v>11.189263017814573</c:v>
                </c:pt>
                <c:pt idx="2">
                  <c:v>14.412270410913202</c:v>
                </c:pt>
                <c:pt idx="3">
                  <c:v>14.44794710938088</c:v>
                </c:pt>
                <c:pt idx="4">
                  <c:v>14.447999923092173</c:v>
                </c:pt>
                <c:pt idx="5">
                  <c:v>14.447999999888172</c:v>
                </c:pt>
                <c:pt idx="6">
                  <c:v>14.447999999999837</c:v>
                </c:pt>
                <c:pt idx="7">
                  <c:v>14.448</c:v>
                </c:pt>
                <c:pt idx="8">
                  <c:v>14.448</c:v>
                </c:pt>
                <c:pt idx="9">
                  <c:v>4.6950000000000003</c:v>
                </c:pt>
                <c:pt idx="10">
                  <c:v>11.189263017814573</c:v>
                </c:pt>
                <c:pt idx="11">
                  <c:v>14.412270410913202</c:v>
                </c:pt>
                <c:pt idx="12">
                  <c:v>14.44794710938088</c:v>
                </c:pt>
                <c:pt idx="13">
                  <c:v>14.447999923092173</c:v>
                </c:pt>
                <c:pt idx="14">
                  <c:v>14.447999999888172</c:v>
                </c:pt>
                <c:pt idx="15">
                  <c:v>14.447999999999837</c:v>
                </c:pt>
                <c:pt idx="16">
                  <c:v>14.448</c:v>
                </c:pt>
                <c:pt idx="17">
                  <c:v>14.448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4B02-95BE-C0ACE624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T=15°C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82831714658341E-2"/>
          <c:y val="0.13731753505942329"/>
          <c:w val="0.73029883662829498"/>
          <c:h val="0.68992906475548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'Baranyi&amp;Roberts ComBase'!$G$86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'Baranyi&amp;Roberts ComBase'!$C$87:$C$104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'Baranyi&amp;Roberts ComBase'!$G$87:$G$104</c:f>
              <c:numCache>
                <c:formatCode>General</c:formatCode>
                <c:ptCount val="18"/>
                <c:pt idx="0">
                  <c:v>4.8584545462174367</c:v>
                </c:pt>
                <c:pt idx="1">
                  <c:v>9.0031077136067204</c:v>
                </c:pt>
                <c:pt idx="2">
                  <c:v>9.9011158998743962</c:v>
                </c:pt>
                <c:pt idx="3">
                  <c:v>9.5096764340654101</c:v>
                </c:pt>
                <c:pt idx="4">
                  <c:v>9.2794179247660047</c:v>
                </c:pt>
                <c:pt idx="5">
                  <c:v>9.6017798377851715</c:v>
                </c:pt>
                <c:pt idx="6">
                  <c:v>9.4405988812755872</c:v>
                </c:pt>
                <c:pt idx="7">
                  <c:v>10.453736322192968</c:v>
                </c:pt>
                <c:pt idx="8">
                  <c:v>9.8550641980145173</c:v>
                </c:pt>
                <c:pt idx="9">
                  <c:v>6.3781607075935076</c:v>
                </c:pt>
                <c:pt idx="10">
                  <c:v>10.016245154524098</c:v>
                </c:pt>
                <c:pt idx="11">
                  <c:v>10.822149937072016</c:v>
                </c:pt>
                <c:pt idx="12">
                  <c:v>10.983330893581599</c:v>
                </c:pt>
                <c:pt idx="13">
                  <c:v>10.822149937072016</c:v>
                </c:pt>
                <c:pt idx="14">
                  <c:v>11.07543429730136</c:v>
                </c:pt>
                <c:pt idx="15">
                  <c:v>11.07543429730136</c:v>
                </c:pt>
                <c:pt idx="16">
                  <c:v>11.144511850091181</c:v>
                </c:pt>
                <c:pt idx="17">
                  <c:v>11.674106421479813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6-4F40-91B7-A9503B0509DE}"/>
            </c:ext>
          </c:extLst>
        </c:ser>
        <c:ser>
          <c:idx val="1"/>
          <c:order val="1"/>
          <c:tx>
            <c:strRef>
              <c:f>'Baranyi&amp;Roberts ComBase'!$I$86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'Baranyi&amp;Roberts ComBase'!$C$87:$C$104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'Baranyi&amp;Roberts ComBase'!$I$87:$I$104</c:f>
              <c:numCache>
                <c:formatCode>General</c:formatCode>
                <c:ptCount val="18"/>
                <c:pt idx="0">
                  <c:v>5.6180000000000003</c:v>
                </c:pt>
                <c:pt idx="1">
                  <c:v>9.2287157376137365</c:v>
                </c:pt>
                <c:pt idx="2">
                  <c:v>10.36174923001553</c:v>
                </c:pt>
                <c:pt idx="3">
                  <c:v>10.402207078000306</c:v>
                </c:pt>
                <c:pt idx="4">
                  <c:v>10.402985058928872</c:v>
                </c:pt>
                <c:pt idx="5">
                  <c:v>10.402999718572048</c:v>
                </c:pt>
                <c:pt idx="6">
                  <c:v>10.402999994699101</c:v>
                </c:pt>
                <c:pt idx="7">
                  <c:v>10.402999999900157</c:v>
                </c:pt>
                <c:pt idx="8">
                  <c:v>10.402999999998123</c:v>
                </c:pt>
                <c:pt idx="9">
                  <c:v>5.6180000000000003</c:v>
                </c:pt>
                <c:pt idx="10">
                  <c:v>9.2287157376137365</c:v>
                </c:pt>
                <c:pt idx="11">
                  <c:v>10.36174923001553</c:v>
                </c:pt>
                <c:pt idx="12">
                  <c:v>10.402207078000306</c:v>
                </c:pt>
                <c:pt idx="13">
                  <c:v>10.402985058928872</c:v>
                </c:pt>
                <c:pt idx="14">
                  <c:v>10.402999718572048</c:v>
                </c:pt>
                <c:pt idx="15">
                  <c:v>10.402999994699101</c:v>
                </c:pt>
                <c:pt idx="16">
                  <c:v>10.402999999900157</c:v>
                </c:pt>
                <c:pt idx="17">
                  <c:v>10.402999999998123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96-4F40-91B7-A9503B050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456167979002636E-2"/>
          <c:y val="0.11731761609386249"/>
          <c:w val="0.73029883662829498"/>
          <c:h val="0.689929064755486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'Baranyi&amp;Roberts ComBase'!$G$128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'Baranyi&amp;Roberts ComBase'!$C$129:$C$144</c:f>
              <c:numCache>
                <c:formatCode>General</c:formatCode>
                <c:ptCount val="16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336</c:v>
                </c:pt>
                <c:pt idx="8">
                  <c:v>0</c:v>
                </c:pt>
                <c:pt idx="9">
                  <c:v>48</c:v>
                </c:pt>
                <c:pt idx="10">
                  <c:v>96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336</c:v>
                </c:pt>
              </c:numCache>
            </c:numRef>
          </c:xVal>
          <c:yVal>
            <c:numRef>
              <c:f>'Baranyi&amp;Roberts ComBase'!$G$129:$G$144</c:f>
              <c:numCache>
                <c:formatCode>General</c:formatCode>
                <c:ptCount val="16"/>
                <c:pt idx="0">
                  <c:v>5.406262970946627</c:v>
                </c:pt>
                <c:pt idx="1">
                  <c:v>7.7574957301680012</c:v>
                </c:pt>
                <c:pt idx="2">
                  <c:v>8.3275764894606183</c:v>
                </c:pt>
                <c:pt idx="3">
                  <c:v>9.2579601204688835</c:v>
                </c:pt>
                <c:pt idx="4">
                  <c:v>10.480881608378359</c:v>
                </c:pt>
                <c:pt idx="5">
                  <c:v>10.517271175039998</c:v>
                </c:pt>
                <c:pt idx="6">
                  <c:v>10.478613283448963</c:v>
                </c:pt>
                <c:pt idx="7">
                  <c:v>9.8087026326735014</c:v>
                </c:pt>
                <c:pt idx="8">
                  <c:v>5.3541032545700178</c:v>
                </c:pt>
                <c:pt idx="9">
                  <c:v>7.3698847288440179</c:v>
                </c:pt>
                <c:pt idx="10">
                  <c:v>7.9469301425958516</c:v>
                </c:pt>
                <c:pt idx="11">
                  <c:v>8.8627406780117788</c:v>
                </c:pt>
                <c:pt idx="12">
                  <c:v>9.8350427601139145</c:v>
                </c:pt>
                <c:pt idx="13">
                  <c:v>9.8426509871066212</c:v>
                </c:pt>
                <c:pt idx="14">
                  <c:v>9.9091724240666128</c:v>
                </c:pt>
                <c:pt idx="15">
                  <c:v>9.162610771753867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0-427B-92D5-391B9D1100A1}"/>
            </c:ext>
          </c:extLst>
        </c:ser>
        <c:ser>
          <c:idx val="1"/>
          <c:order val="1"/>
          <c:tx>
            <c:strRef>
              <c:f>'Baranyi&amp;Roberts ComBase'!$I$128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'Baranyi&amp;Roberts ComBase'!$C$129:$C$144</c:f>
              <c:numCache>
                <c:formatCode>General</c:formatCode>
                <c:ptCount val="16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336</c:v>
                </c:pt>
                <c:pt idx="8">
                  <c:v>0</c:v>
                </c:pt>
                <c:pt idx="9">
                  <c:v>48</c:v>
                </c:pt>
                <c:pt idx="10">
                  <c:v>96</c:v>
                </c:pt>
                <c:pt idx="11">
                  <c:v>144</c:v>
                </c:pt>
                <c:pt idx="12">
                  <c:v>192</c:v>
                </c:pt>
                <c:pt idx="13">
                  <c:v>240</c:v>
                </c:pt>
                <c:pt idx="14">
                  <c:v>288</c:v>
                </c:pt>
                <c:pt idx="15">
                  <c:v>336</c:v>
                </c:pt>
              </c:numCache>
            </c:numRef>
          </c:xVal>
          <c:yVal>
            <c:numRef>
              <c:f>'Baranyi&amp;Roberts ComBase'!$I$129:$I$144</c:f>
              <c:numCache>
                <c:formatCode>General</c:formatCode>
                <c:ptCount val="16"/>
                <c:pt idx="0">
                  <c:v>5.74</c:v>
                </c:pt>
                <c:pt idx="1">
                  <c:v>6.9352732206829568</c:v>
                </c:pt>
                <c:pt idx="2">
                  <c:v>8.0573142571924539</c:v>
                </c:pt>
                <c:pt idx="3">
                  <c:v>8.988969260508318</c:v>
                </c:pt>
                <c:pt idx="4">
                  <c:v>9.5873386610463882</c:v>
                </c:pt>
                <c:pt idx="5">
                  <c:v>9.8614058084152951</c:v>
                </c:pt>
                <c:pt idx="6">
                  <c:v>9.9582156747692192</c:v>
                </c:pt>
                <c:pt idx="7">
                  <c:v>9.9884145831910267</c:v>
                </c:pt>
                <c:pt idx="8">
                  <c:v>5.74</c:v>
                </c:pt>
                <c:pt idx="9">
                  <c:v>6.9352732206829568</c:v>
                </c:pt>
                <c:pt idx="10">
                  <c:v>8.0573142571924539</c:v>
                </c:pt>
                <c:pt idx="11">
                  <c:v>8.988969260508318</c:v>
                </c:pt>
                <c:pt idx="12">
                  <c:v>9.5873386610463882</c:v>
                </c:pt>
                <c:pt idx="13">
                  <c:v>9.8614058084152951</c:v>
                </c:pt>
                <c:pt idx="14">
                  <c:v>9.9582156747692192</c:v>
                </c:pt>
                <c:pt idx="15">
                  <c:v>9.9884145831910267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0-427B-92D5-391B9D110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0115923009624"/>
          <c:y val="0.1803460207612457"/>
          <c:w val="0.80598840769903757"/>
          <c:h val="0.6240216512728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SecondaryModel!$AB$2</c:f>
              <c:strCache>
                <c:ptCount val="1"/>
                <c:pt idx="0">
                  <c:v>Umax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SecondaryModel!$Z$3:$Z$6</c:f>
              <c:numCache>
                <c:formatCode>General</c:formatCode>
                <c:ptCount val="4"/>
                <c:pt idx="0">
                  <c:v>1089</c:v>
                </c:pt>
                <c:pt idx="1">
                  <c:v>676</c:v>
                </c:pt>
                <c:pt idx="2">
                  <c:v>256</c:v>
                </c:pt>
                <c:pt idx="3">
                  <c:v>36</c:v>
                </c:pt>
              </c:numCache>
            </c:numRef>
          </c:xVal>
          <c:yVal>
            <c:numRef>
              <c:f>SecondaryModel!$AB$3:$AB$6</c:f>
              <c:numCache>
                <c:formatCode>General</c:formatCode>
                <c:ptCount val="4"/>
                <c:pt idx="0">
                  <c:v>1.2709999999999999</c:v>
                </c:pt>
                <c:pt idx="1">
                  <c:v>1</c:v>
                </c:pt>
                <c:pt idx="2">
                  <c:v>0.33100000000000002</c:v>
                </c:pt>
                <c:pt idx="3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7E-4219-92EE-C9DA39E0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08528"/>
        <c:axId val="387107216"/>
      </c:scatterChart>
      <c:valAx>
        <c:axId val="3871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(T-Tmin)^2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7216"/>
        <c:crosses val="autoZero"/>
        <c:crossBetween val="midCat"/>
      </c:valAx>
      <c:valAx>
        <c:axId val="3871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170270810542E-2"/>
          <c:y val="8.2628661916072849E-2"/>
          <c:w val="0.8660398831997218"/>
          <c:h val="0.741905599092274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49668594694258E-2"/>
                  <c:y val="0.22000685781260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SecondaryModel!$G$3:$G$70</c:f>
              <c:numCache>
                <c:formatCode>General</c:formatCode>
                <c:ptCount val="68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  <c:pt idx="8">
                  <c:v>4.4216778914261896</c:v>
                </c:pt>
                <c:pt idx="9">
                  <c:v>11.60350256331974</c:v>
                </c:pt>
                <c:pt idx="10">
                  <c:v>15.278880767539212</c:v>
                </c:pt>
                <c:pt idx="11">
                  <c:v>17.676840926821178</c:v>
                </c:pt>
                <c:pt idx="12">
                  <c:v>19.369078096815247</c:v>
                </c:pt>
                <c:pt idx="13">
                  <c:v>19.623476300347136</c:v>
                </c:pt>
                <c:pt idx="14">
                  <c:v>19.139083203575385</c:v>
                </c:pt>
                <c:pt idx="15">
                  <c:v>19.409240550465501</c:v>
                </c:pt>
                <c:pt idx="16">
                  <c:v>4.7257767241380932</c:v>
                </c:pt>
                <c:pt idx="17">
                  <c:v>10.987762847198796</c:v>
                </c:pt>
                <c:pt idx="18">
                  <c:v>12.120475770108067</c:v>
                </c:pt>
                <c:pt idx="19">
                  <c:v>13.431750206532667</c:v>
                </c:pt>
                <c:pt idx="20">
                  <c:v>14.275071946184864</c:v>
                </c:pt>
                <c:pt idx="21">
                  <c:v>13.844805871467324</c:v>
                </c:pt>
                <c:pt idx="22">
                  <c:v>14.385493158054379</c:v>
                </c:pt>
                <c:pt idx="23">
                  <c:v>14.755612834214133</c:v>
                </c:pt>
                <c:pt idx="24">
                  <c:v>15.5895219721172</c:v>
                </c:pt>
                <c:pt idx="25">
                  <c:v>4.6123170509134708</c:v>
                </c:pt>
                <c:pt idx="26">
                  <c:v>11.58671656832378</c:v>
                </c:pt>
                <c:pt idx="27">
                  <c:v>13.905771941963929</c:v>
                </c:pt>
                <c:pt idx="28">
                  <c:v>13.73244653458109</c:v>
                </c:pt>
                <c:pt idx="29">
                  <c:v>15.083603278338019</c:v>
                </c:pt>
                <c:pt idx="30">
                  <c:v>14.768333497796572</c:v>
                </c:pt>
                <c:pt idx="31">
                  <c:v>15.391045080073241</c:v>
                </c:pt>
                <c:pt idx="32">
                  <c:v>14.964540395536945</c:v>
                </c:pt>
                <c:pt idx="33">
                  <c:v>15.815979933473269</c:v>
                </c:pt>
                <c:pt idx="34">
                  <c:v>4.8584545462174367</c:v>
                </c:pt>
                <c:pt idx="35">
                  <c:v>9.0031077136067204</c:v>
                </c:pt>
                <c:pt idx="36">
                  <c:v>9.9011158998743962</c:v>
                </c:pt>
                <c:pt idx="37">
                  <c:v>9.5096764340654101</c:v>
                </c:pt>
                <c:pt idx="38">
                  <c:v>9.2794179247660047</c:v>
                </c:pt>
                <c:pt idx="39">
                  <c:v>9.6017798377851715</c:v>
                </c:pt>
                <c:pt idx="40">
                  <c:v>9.4405988812755872</c:v>
                </c:pt>
                <c:pt idx="41">
                  <c:v>10.453736322192968</c:v>
                </c:pt>
                <c:pt idx="42">
                  <c:v>9.8550641980145173</c:v>
                </c:pt>
                <c:pt idx="43">
                  <c:v>6.3781607075935076</c:v>
                </c:pt>
                <c:pt idx="44">
                  <c:v>10.016245154524098</c:v>
                </c:pt>
                <c:pt idx="45">
                  <c:v>10.822149937072016</c:v>
                </c:pt>
                <c:pt idx="46">
                  <c:v>10.983330893581599</c:v>
                </c:pt>
                <c:pt idx="47">
                  <c:v>10.822149937072016</c:v>
                </c:pt>
                <c:pt idx="48">
                  <c:v>11.07543429730136</c:v>
                </c:pt>
                <c:pt idx="49">
                  <c:v>11.07543429730136</c:v>
                </c:pt>
                <c:pt idx="50">
                  <c:v>11.144511850091181</c:v>
                </c:pt>
                <c:pt idx="51">
                  <c:v>11.674106421479813</c:v>
                </c:pt>
                <c:pt idx="52">
                  <c:v>5.406262970946627</c:v>
                </c:pt>
                <c:pt idx="53">
                  <c:v>7.7574957301680012</c:v>
                </c:pt>
                <c:pt idx="54">
                  <c:v>8.3275764894606183</c:v>
                </c:pt>
                <c:pt idx="55">
                  <c:v>9.2579601204688835</c:v>
                </c:pt>
                <c:pt idx="56">
                  <c:v>10.480881608378359</c:v>
                </c:pt>
                <c:pt idx="57">
                  <c:v>10.517271175039998</c:v>
                </c:pt>
                <c:pt idx="58">
                  <c:v>10.478613283448963</c:v>
                </c:pt>
                <c:pt idx="59">
                  <c:v>9.8087026326735014</c:v>
                </c:pt>
                <c:pt idx="60">
                  <c:v>5.3541032545700178</c:v>
                </c:pt>
                <c:pt idx="61">
                  <c:v>7.3698847288440179</c:v>
                </c:pt>
                <c:pt idx="62">
                  <c:v>7.9469301425958516</c:v>
                </c:pt>
                <c:pt idx="63">
                  <c:v>8.8627406780117788</c:v>
                </c:pt>
                <c:pt idx="64">
                  <c:v>9.8350427601139145</c:v>
                </c:pt>
                <c:pt idx="65">
                  <c:v>9.8426509871066212</c:v>
                </c:pt>
                <c:pt idx="66">
                  <c:v>9.9091724240666128</c:v>
                </c:pt>
                <c:pt idx="67">
                  <c:v>9.162610771753867</c:v>
                </c:pt>
              </c:numCache>
            </c:numRef>
          </c:xVal>
          <c:yVal>
            <c:numRef>
              <c:f>SecondaryModel!$M$3:$M$70</c:f>
              <c:numCache>
                <c:formatCode>General</c:formatCode>
                <c:ptCount val="68"/>
                <c:pt idx="0">
                  <c:v>4.6339999999999986</c:v>
                </c:pt>
                <c:pt idx="1">
                  <c:v>10.346734374202937</c:v>
                </c:pt>
                <c:pt idx="2">
                  <c:v>16.039863692053238</c:v>
                </c:pt>
                <c:pt idx="3">
                  <c:v>19.449510229030817</c:v>
                </c:pt>
                <c:pt idx="4">
                  <c:v>19.974452678343603</c:v>
                </c:pt>
                <c:pt idx="5">
                  <c:v>19.974998191479045</c:v>
                </c:pt>
                <c:pt idx="6">
                  <c:v>19.974999994025847</c:v>
                </c:pt>
                <c:pt idx="7">
                  <c:v>19.974999999980401</c:v>
                </c:pt>
                <c:pt idx="8">
                  <c:v>4.6339999999999986</c:v>
                </c:pt>
                <c:pt idx="9">
                  <c:v>10.346734374202937</c:v>
                </c:pt>
                <c:pt idx="10">
                  <c:v>16.039863692053238</c:v>
                </c:pt>
                <c:pt idx="11">
                  <c:v>19.449510229030817</c:v>
                </c:pt>
                <c:pt idx="12">
                  <c:v>19.974452678343603</c:v>
                </c:pt>
                <c:pt idx="13">
                  <c:v>19.974998191479045</c:v>
                </c:pt>
                <c:pt idx="14">
                  <c:v>19.974999994025847</c:v>
                </c:pt>
                <c:pt idx="15">
                  <c:v>19.974999999980401</c:v>
                </c:pt>
                <c:pt idx="16">
                  <c:v>4.9454999999999991</c:v>
                </c:pt>
                <c:pt idx="17">
                  <c:v>10.431722462178286</c:v>
                </c:pt>
                <c:pt idx="18">
                  <c:v>14.801904822120711</c:v>
                </c:pt>
                <c:pt idx="19">
                  <c:v>15.188550944186034</c:v>
                </c:pt>
                <c:pt idx="20">
                  <c:v>15.190491985350972</c:v>
                </c:pt>
                <c:pt idx="21">
                  <c:v>15.190499967075226</c:v>
                </c:pt>
                <c:pt idx="22">
                  <c:v>15.190499999864894</c:v>
                </c:pt>
                <c:pt idx="23">
                  <c:v>15.190499999999599</c:v>
                </c:pt>
                <c:pt idx="24">
                  <c:v>15.190500000000149</c:v>
                </c:pt>
                <c:pt idx="25">
                  <c:v>4.9454999999999991</c:v>
                </c:pt>
                <c:pt idx="26">
                  <c:v>10.431722462178286</c:v>
                </c:pt>
                <c:pt idx="27">
                  <c:v>14.801904822120711</c:v>
                </c:pt>
                <c:pt idx="28">
                  <c:v>15.188550944186034</c:v>
                </c:pt>
                <c:pt idx="29">
                  <c:v>15.190491985350972</c:v>
                </c:pt>
                <c:pt idx="30">
                  <c:v>15.190499967075226</c:v>
                </c:pt>
                <c:pt idx="31">
                  <c:v>15.190499999864894</c:v>
                </c:pt>
                <c:pt idx="32">
                  <c:v>15.190499999999599</c:v>
                </c:pt>
                <c:pt idx="33">
                  <c:v>15.190500000000149</c:v>
                </c:pt>
                <c:pt idx="34">
                  <c:v>5.3904999999999994</c:v>
                </c:pt>
                <c:pt idx="35">
                  <c:v>9.783346802259981</c:v>
                </c:pt>
                <c:pt idx="36">
                  <c:v>11.214403444391792</c:v>
                </c:pt>
                <c:pt idx="37">
                  <c:v>11.245199126332221</c:v>
                </c:pt>
                <c:pt idx="38">
                  <c:v>11.245497133076574</c:v>
                </c:pt>
                <c:pt idx="39">
                  <c:v>11.24549997268608</c:v>
                </c:pt>
                <c:pt idx="40">
                  <c:v>11.245499999739771</c:v>
                </c:pt>
                <c:pt idx="41">
                  <c:v>11.245499999997516</c:v>
                </c:pt>
                <c:pt idx="42">
                  <c:v>11.245499999999964</c:v>
                </c:pt>
                <c:pt idx="43">
                  <c:v>5.3904999999999994</c:v>
                </c:pt>
                <c:pt idx="44">
                  <c:v>9.783346802259981</c:v>
                </c:pt>
                <c:pt idx="45">
                  <c:v>11.214403444391792</c:v>
                </c:pt>
                <c:pt idx="46">
                  <c:v>11.245199126332221</c:v>
                </c:pt>
                <c:pt idx="47">
                  <c:v>11.245497133076574</c:v>
                </c:pt>
                <c:pt idx="48">
                  <c:v>11.24549997268608</c:v>
                </c:pt>
                <c:pt idx="49">
                  <c:v>11.245499999739771</c:v>
                </c:pt>
                <c:pt idx="50">
                  <c:v>11.245499999997516</c:v>
                </c:pt>
                <c:pt idx="51">
                  <c:v>11.245499999999964</c:v>
                </c:pt>
                <c:pt idx="52">
                  <c:v>5.8354999999999997</c:v>
                </c:pt>
                <c:pt idx="53">
                  <c:v>6.0333977964845786</c:v>
                </c:pt>
                <c:pt idx="54">
                  <c:v>6.2309234725726519</c:v>
                </c:pt>
                <c:pt idx="55">
                  <c:v>6.4279967206563899</c:v>
                </c:pt>
                <c:pt idx="56">
                  <c:v>6.6245204040085417</c:v>
                </c:pt>
                <c:pt idx="57">
                  <c:v>6.8203772705893595</c:v>
                </c:pt>
                <c:pt idx="58">
                  <c:v>7.0154261400964675</c:v>
                </c:pt>
                <c:pt idx="59">
                  <c:v>7.2094975358656361</c:v>
                </c:pt>
                <c:pt idx="60">
                  <c:v>5.8354999999999997</c:v>
                </c:pt>
                <c:pt idx="61">
                  <c:v>6.0333977964845786</c:v>
                </c:pt>
                <c:pt idx="62">
                  <c:v>6.2309234725726519</c:v>
                </c:pt>
                <c:pt idx="63">
                  <c:v>6.4279967206563899</c:v>
                </c:pt>
                <c:pt idx="64">
                  <c:v>6.6245204040085417</c:v>
                </c:pt>
                <c:pt idx="65">
                  <c:v>6.8203772705893595</c:v>
                </c:pt>
                <c:pt idx="66">
                  <c:v>7.0154261400964675</c:v>
                </c:pt>
                <c:pt idx="67">
                  <c:v>7.2094975358656361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9-44FC-BE80-391A96B0A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86192"/>
        <c:axId val="446063112"/>
      </c:scatterChart>
      <c:valAx>
        <c:axId val="3594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63112"/>
        <c:crosses val="autoZero"/>
        <c:crossBetween val="midCat"/>
      </c:valAx>
      <c:valAx>
        <c:axId val="4460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4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012701725537315"/>
          <c:y val="5.627705627705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SecondaryModel!$AC$2</c:f>
              <c:strCache>
                <c:ptCount val="1"/>
                <c:pt idx="0">
                  <c:v>Final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SecondaryModel!$Y$3:$Y$6</c:f>
              <c:numCache>
                <c:formatCode>General</c:formatCode>
                <c:ptCount val="4"/>
                <c:pt idx="0">
                  <c:v>310</c:v>
                </c:pt>
                <c:pt idx="1">
                  <c:v>303</c:v>
                </c:pt>
                <c:pt idx="2">
                  <c:v>293</c:v>
                </c:pt>
                <c:pt idx="3">
                  <c:v>283</c:v>
                </c:pt>
              </c:numCache>
            </c:numRef>
          </c:xVal>
          <c:yVal>
            <c:numRef>
              <c:f>SecondaryModel!$AC$3:$AC$6</c:f>
              <c:numCache>
                <c:formatCode>General</c:formatCode>
                <c:ptCount val="4"/>
                <c:pt idx="0">
                  <c:v>19.072800000000001</c:v>
                </c:pt>
                <c:pt idx="1">
                  <c:v>14.448</c:v>
                </c:pt>
                <c:pt idx="2">
                  <c:v>10.403</c:v>
                </c:pt>
                <c:pt idx="3">
                  <c:v>10.00118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A6F-9656-0F51D7FC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21504"/>
        <c:axId val="649522160"/>
      </c:scatterChart>
      <c:valAx>
        <c:axId val="649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2160"/>
        <c:crosses val="autoZero"/>
        <c:crossBetween val="midCat"/>
      </c:valAx>
      <c:valAx>
        <c:axId val="649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SecondaryModel!$AA$2</c:f>
              <c:strCache>
                <c:ptCount val="1"/>
                <c:pt idx="0">
                  <c:v>Initial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87751531058619E-4"/>
                  <c:y val="0.13217920676582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SecondaryModel!$Y$3:$Y$6</c:f>
              <c:numCache>
                <c:formatCode>General</c:formatCode>
                <c:ptCount val="4"/>
                <c:pt idx="0">
                  <c:v>310</c:v>
                </c:pt>
                <c:pt idx="1">
                  <c:v>303</c:v>
                </c:pt>
                <c:pt idx="2">
                  <c:v>293</c:v>
                </c:pt>
                <c:pt idx="3">
                  <c:v>283</c:v>
                </c:pt>
              </c:numCache>
            </c:numRef>
          </c:xVal>
          <c:yVal>
            <c:numRef>
              <c:f>SecondaryModel!$AA$3:$AA$6</c:f>
              <c:numCache>
                <c:formatCode>General</c:formatCode>
                <c:ptCount val="4"/>
                <c:pt idx="0">
                  <c:v>4.7149999999999999</c:v>
                </c:pt>
                <c:pt idx="1">
                  <c:v>4.6950000000000003</c:v>
                </c:pt>
                <c:pt idx="2">
                  <c:v>5.6180000000000003</c:v>
                </c:pt>
                <c:pt idx="3">
                  <c:v>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D-473B-85E7-19568BC3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995032"/>
        <c:axId val="469995360"/>
      </c:scatterChart>
      <c:valAx>
        <c:axId val="46999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5360"/>
        <c:crosses val="autoZero"/>
        <c:crossBetween val="midCat"/>
      </c:valAx>
      <c:valAx>
        <c:axId val="469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9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SecondaryModel!$O$2</c:f>
              <c:strCache>
                <c:ptCount val="1"/>
                <c:pt idx="0">
                  <c:v>ConfLLow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025443979697512"/>
                  <c:y val="-4.38568436744775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SecondaryModel!$O$3:$O$70</c:f>
              <c:numCache>
                <c:formatCode>General</c:formatCode>
                <c:ptCount val="68"/>
                <c:pt idx="0">
                  <c:v>3.3869950905629898</c:v>
                </c:pt>
                <c:pt idx="1">
                  <c:v>8.3924624490556656</c:v>
                </c:pt>
                <c:pt idx="2">
                  <c:v>10.495705014196869</c:v>
                </c:pt>
                <c:pt idx="3">
                  <c:v>12.282752881985029</c:v>
                </c:pt>
                <c:pt idx="4">
                  <c:v>16.149598647769682</c:v>
                </c:pt>
                <c:pt idx="5">
                  <c:v>17.202459439910626</c:v>
                </c:pt>
                <c:pt idx="6">
                  <c:v>17.423571526902332</c:v>
                </c:pt>
                <c:pt idx="7">
                  <c:v>17.095012328267678</c:v>
                </c:pt>
                <c:pt idx="8">
                  <c:v>3.189460147814541</c:v>
                </c:pt>
                <c:pt idx="9">
                  <c:v>11.055458099266529</c:v>
                </c:pt>
                <c:pt idx="10">
                  <c:v>12.868744656154862</c:v>
                </c:pt>
                <c:pt idx="11">
                  <c:v>15.301156004805625</c:v>
                </c:pt>
                <c:pt idx="12">
                  <c:v>16.973585027898793</c:v>
                </c:pt>
                <c:pt idx="13">
                  <c:v>18.390743762273726</c:v>
                </c:pt>
                <c:pt idx="14">
                  <c:v>17.99998605815799</c:v>
                </c:pt>
                <c:pt idx="15">
                  <c:v>18.036226521561982</c:v>
                </c:pt>
                <c:pt idx="16">
                  <c:v>4.1692724710965967</c:v>
                </c:pt>
                <c:pt idx="17">
                  <c:v>9.8958437542326454</c:v>
                </c:pt>
                <c:pt idx="18">
                  <c:v>11.30842182630952</c:v>
                </c:pt>
                <c:pt idx="19">
                  <c:v>11.238027966934538</c:v>
                </c:pt>
                <c:pt idx="20">
                  <c:v>12.579052992218099</c:v>
                </c:pt>
                <c:pt idx="21">
                  <c:v>11.409307552933507</c:v>
                </c:pt>
                <c:pt idx="22">
                  <c:v>12.697516437568027</c:v>
                </c:pt>
                <c:pt idx="23">
                  <c:v>13.000890151791127</c:v>
                </c:pt>
                <c:pt idx="24">
                  <c:v>14.50612558746244</c:v>
                </c:pt>
                <c:pt idx="25">
                  <c:v>3.5663748233211181</c:v>
                </c:pt>
                <c:pt idx="26">
                  <c:v>10.259301888855436</c:v>
                </c:pt>
                <c:pt idx="27">
                  <c:v>12.431772399478128</c:v>
                </c:pt>
                <c:pt idx="28">
                  <c:v>12.663430075224879</c:v>
                </c:pt>
                <c:pt idx="29">
                  <c:v>13.970594772255025</c:v>
                </c:pt>
                <c:pt idx="30">
                  <c:v>11.567164216468949</c:v>
                </c:pt>
                <c:pt idx="31">
                  <c:v>14.168333874188793</c:v>
                </c:pt>
                <c:pt idx="32">
                  <c:v>12.555994427045592</c:v>
                </c:pt>
                <c:pt idx="33">
                  <c:v>13.160944656751875</c:v>
                </c:pt>
                <c:pt idx="34">
                  <c:v>4.0576631612545455</c:v>
                </c:pt>
                <c:pt idx="35">
                  <c:v>8.2023163286438283</c:v>
                </c:pt>
                <c:pt idx="36">
                  <c:v>9.3863214381125388</c:v>
                </c:pt>
                <c:pt idx="37">
                  <c:v>6.8785047406159094</c:v>
                </c:pt>
                <c:pt idx="38">
                  <c:v>7.8494333087608421</c:v>
                </c:pt>
                <c:pt idx="39">
                  <c:v>7.5998013753779423</c:v>
                </c:pt>
                <c:pt idx="40">
                  <c:v>7.2670222649477392</c:v>
                </c:pt>
                <c:pt idx="41">
                  <c:v>7.1361720130609907</c:v>
                </c:pt>
                <c:pt idx="42">
                  <c:v>8.7110765052103858</c:v>
                </c:pt>
                <c:pt idx="43">
                  <c:v>5.5773693226306156</c:v>
                </c:pt>
                <c:pt idx="44">
                  <c:v>9.215453769561206</c:v>
                </c:pt>
                <c:pt idx="45">
                  <c:v>10.307355475310159</c:v>
                </c:pt>
                <c:pt idx="46">
                  <c:v>8.3521592001320979</c:v>
                </c:pt>
                <c:pt idx="47">
                  <c:v>9.3921653210668516</c:v>
                </c:pt>
                <c:pt idx="48">
                  <c:v>9.0734558348941317</c:v>
                </c:pt>
                <c:pt idx="49">
                  <c:v>8.9018576809735119</c:v>
                </c:pt>
                <c:pt idx="50">
                  <c:v>7.8269475409592042</c:v>
                </c:pt>
                <c:pt idx="51">
                  <c:v>10.530118728675683</c:v>
                </c:pt>
                <c:pt idx="52">
                  <c:v>2.6959387690320091</c:v>
                </c:pt>
                <c:pt idx="53">
                  <c:v>6.9642203443468329</c:v>
                </c:pt>
                <c:pt idx="54">
                  <c:v>6.2344851272600055</c:v>
                </c:pt>
                <c:pt idx="55">
                  <c:v>6.9143754931134147</c:v>
                </c:pt>
                <c:pt idx="56">
                  <c:v>9.185561503631634</c:v>
                </c:pt>
                <c:pt idx="57">
                  <c:v>8.5499955792939826</c:v>
                </c:pt>
                <c:pt idx="58">
                  <c:v>8.3275274651616442</c:v>
                </c:pt>
                <c:pt idx="59">
                  <c:v>5.5000217061268089</c:v>
                </c:pt>
                <c:pt idx="60">
                  <c:v>3.7140767782275521</c:v>
                </c:pt>
                <c:pt idx="61">
                  <c:v>6.7477499018663476</c:v>
                </c:pt>
                <c:pt idx="62">
                  <c:v>6.3056166800989812</c:v>
                </c:pt>
                <c:pt idx="63">
                  <c:v>7.28116625283314</c:v>
                </c:pt>
                <c:pt idx="64">
                  <c:v>8.5968019212996527</c:v>
                </c:pt>
                <c:pt idx="65">
                  <c:v>7.955803446103201</c:v>
                </c:pt>
                <c:pt idx="66">
                  <c:v>8.0195106733388961</c:v>
                </c:pt>
                <c:pt idx="67">
                  <c:v>4.5795729967804242</c:v>
                </c:pt>
              </c:numCache>
            </c:numRef>
          </c:xVal>
          <c:yVal>
            <c:numRef>
              <c:f>SecondaryModel!$M$3:$M$70</c:f>
              <c:numCache>
                <c:formatCode>General</c:formatCode>
                <c:ptCount val="68"/>
                <c:pt idx="0">
                  <c:v>4.6339999999999986</c:v>
                </c:pt>
                <c:pt idx="1">
                  <c:v>10.346734374202937</c:v>
                </c:pt>
                <c:pt idx="2">
                  <c:v>16.039863692053238</c:v>
                </c:pt>
                <c:pt idx="3">
                  <c:v>19.449510229030817</c:v>
                </c:pt>
                <c:pt idx="4">
                  <c:v>19.974452678343603</c:v>
                </c:pt>
                <c:pt idx="5">
                  <c:v>19.974998191479045</c:v>
                </c:pt>
                <c:pt idx="6">
                  <c:v>19.974999994025847</c:v>
                </c:pt>
                <c:pt idx="7">
                  <c:v>19.974999999980401</c:v>
                </c:pt>
                <c:pt idx="8">
                  <c:v>4.6339999999999986</c:v>
                </c:pt>
                <c:pt idx="9">
                  <c:v>10.346734374202937</c:v>
                </c:pt>
                <c:pt idx="10">
                  <c:v>16.039863692053238</c:v>
                </c:pt>
                <c:pt idx="11">
                  <c:v>19.449510229030817</c:v>
                </c:pt>
                <c:pt idx="12">
                  <c:v>19.974452678343603</c:v>
                </c:pt>
                <c:pt idx="13">
                  <c:v>19.974998191479045</c:v>
                </c:pt>
                <c:pt idx="14">
                  <c:v>19.974999994025847</c:v>
                </c:pt>
                <c:pt idx="15">
                  <c:v>19.974999999980401</c:v>
                </c:pt>
                <c:pt idx="16">
                  <c:v>4.9454999999999991</c:v>
                </c:pt>
                <c:pt idx="17">
                  <c:v>10.431722462178286</c:v>
                </c:pt>
                <c:pt idx="18">
                  <c:v>14.801904822120711</c:v>
                </c:pt>
                <c:pt idx="19">
                  <c:v>15.188550944186034</c:v>
                </c:pt>
                <c:pt idx="20">
                  <c:v>15.190491985350972</c:v>
                </c:pt>
                <c:pt idx="21">
                  <c:v>15.190499967075226</c:v>
                </c:pt>
                <c:pt idx="22">
                  <c:v>15.190499999864894</c:v>
                </c:pt>
                <c:pt idx="23">
                  <c:v>15.190499999999599</c:v>
                </c:pt>
                <c:pt idx="24">
                  <c:v>15.190500000000149</c:v>
                </c:pt>
                <c:pt idx="25">
                  <c:v>4.9454999999999991</c:v>
                </c:pt>
                <c:pt idx="26">
                  <c:v>10.431722462178286</c:v>
                </c:pt>
                <c:pt idx="27">
                  <c:v>14.801904822120711</c:v>
                </c:pt>
                <c:pt idx="28">
                  <c:v>15.188550944186034</c:v>
                </c:pt>
                <c:pt idx="29">
                  <c:v>15.190491985350972</c:v>
                </c:pt>
                <c:pt idx="30">
                  <c:v>15.190499967075226</c:v>
                </c:pt>
                <c:pt idx="31">
                  <c:v>15.190499999864894</c:v>
                </c:pt>
                <c:pt idx="32">
                  <c:v>15.190499999999599</c:v>
                </c:pt>
                <c:pt idx="33">
                  <c:v>15.190500000000149</c:v>
                </c:pt>
                <c:pt idx="34">
                  <c:v>5.3904999999999994</c:v>
                </c:pt>
                <c:pt idx="35">
                  <c:v>9.783346802259981</c:v>
                </c:pt>
                <c:pt idx="36">
                  <c:v>11.214403444391792</c:v>
                </c:pt>
                <c:pt idx="37">
                  <c:v>11.245199126332221</c:v>
                </c:pt>
                <c:pt idx="38">
                  <c:v>11.245497133076574</c:v>
                </c:pt>
                <c:pt idx="39">
                  <c:v>11.24549997268608</c:v>
                </c:pt>
                <c:pt idx="40">
                  <c:v>11.245499999739771</c:v>
                </c:pt>
                <c:pt idx="41">
                  <c:v>11.245499999997516</c:v>
                </c:pt>
                <c:pt idx="42">
                  <c:v>11.245499999999964</c:v>
                </c:pt>
                <c:pt idx="43">
                  <c:v>5.3904999999999994</c:v>
                </c:pt>
                <c:pt idx="44">
                  <c:v>9.783346802259981</c:v>
                </c:pt>
                <c:pt idx="45">
                  <c:v>11.214403444391792</c:v>
                </c:pt>
                <c:pt idx="46">
                  <c:v>11.245199126332221</c:v>
                </c:pt>
                <c:pt idx="47">
                  <c:v>11.245497133076574</c:v>
                </c:pt>
                <c:pt idx="48">
                  <c:v>11.24549997268608</c:v>
                </c:pt>
                <c:pt idx="49">
                  <c:v>11.245499999739771</c:v>
                </c:pt>
                <c:pt idx="50">
                  <c:v>11.245499999997516</c:v>
                </c:pt>
                <c:pt idx="51">
                  <c:v>11.245499999999964</c:v>
                </c:pt>
                <c:pt idx="52">
                  <c:v>5.8354999999999997</c:v>
                </c:pt>
                <c:pt idx="53">
                  <c:v>6.0333977964845786</c:v>
                </c:pt>
                <c:pt idx="54">
                  <c:v>6.2309234725726519</c:v>
                </c:pt>
                <c:pt idx="55">
                  <c:v>6.4279967206563899</c:v>
                </c:pt>
                <c:pt idx="56">
                  <c:v>6.6245204040085417</c:v>
                </c:pt>
                <c:pt idx="57">
                  <c:v>6.8203772705893595</c:v>
                </c:pt>
                <c:pt idx="58">
                  <c:v>7.0154261400964675</c:v>
                </c:pt>
                <c:pt idx="59">
                  <c:v>7.2094975358656361</c:v>
                </c:pt>
                <c:pt idx="60">
                  <c:v>5.8354999999999997</c:v>
                </c:pt>
                <c:pt idx="61">
                  <c:v>6.0333977964845786</c:v>
                </c:pt>
                <c:pt idx="62">
                  <c:v>6.2309234725726519</c:v>
                </c:pt>
                <c:pt idx="63">
                  <c:v>6.4279967206563899</c:v>
                </c:pt>
                <c:pt idx="64">
                  <c:v>6.6245204040085417</c:v>
                </c:pt>
                <c:pt idx="65">
                  <c:v>6.8203772705893595</c:v>
                </c:pt>
                <c:pt idx="66">
                  <c:v>7.0154261400964675</c:v>
                </c:pt>
                <c:pt idx="67">
                  <c:v>7.2094975358656361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F-421F-9B0B-9EB8A470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86536"/>
        <c:axId val="628585552"/>
      </c:scatterChart>
      <c:valAx>
        <c:axId val="6285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LowerConfidence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85552"/>
        <c:crosses val="autoZero"/>
        <c:crossBetween val="midCat"/>
      </c:valAx>
      <c:valAx>
        <c:axId val="6285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SecondaryModel!$Q$2</c:f>
              <c:strCache>
                <c:ptCount val="1"/>
                <c:pt idx="0">
                  <c:v>ConfUp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432195975503063E-2"/>
                  <c:y val="-2.0353601633129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SecondaryModel!$Q$3:$Q$70</c:f>
              <c:numCache>
                <c:formatCode>General</c:formatCode>
                <c:ptCount val="68"/>
                <c:pt idx="0">
                  <c:v>4.5848760435751235</c:v>
                </c:pt>
                <c:pt idx="1">
                  <c:v>10.903687032914652</c:v>
                </c:pt>
                <c:pt idx="2">
                  <c:v>18.610982108795451</c:v>
                </c:pt>
                <c:pt idx="3">
                  <c:v>21.273111922317202</c:v>
                </c:pt>
                <c:pt idx="4">
                  <c:v>20.036525631610278</c:v>
                </c:pt>
                <c:pt idx="5">
                  <c:v>21.270960150353094</c:v>
                </c:pt>
                <c:pt idx="6">
                  <c:v>20.206939343002492</c:v>
                </c:pt>
                <c:pt idx="7">
                  <c:v>21.51105649978404</c:v>
                </c:pt>
                <c:pt idx="8">
                  <c:v>5.6538956350378395</c:v>
                </c:pt>
                <c:pt idx="9">
                  <c:v>12.151547027372949</c:v>
                </c:pt>
                <c:pt idx="10">
                  <c:v>17.689016878923564</c:v>
                </c:pt>
                <c:pt idx="11">
                  <c:v>20.052525848836734</c:v>
                </c:pt>
                <c:pt idx="12">
                  <c:v>21.764571165731706</c:v>
                </c:pt>
                <c:pt idx="13">
                  <c:v>20.856208838420546</c:v>
                </c:pt>
                <c:pt idx="14">
                  <c:v>20.278180348992777</c:v>
                </c:pt>
                <c:pt idx="15">
                  <c:v>20.78225457936902</c:v>
                </c:pt>
                <c:pt idx="16">
                  <c:v>5.2822809771795907</c:v>
                </c:pt>
                <c:pt idx="17">
                  <c:v>12.079681940164948</c:v>
                </c:pt>
                <c:pt idx="18">
                  <c:v>12.932529713906616</c:v>
                </c:pt>
                <c:pt idx="19">
                  <c:v>15.625472446130795</c:v>
                </c:pt>
                <c:pt idx="20">
                  <c:v>15.971090900151628</c:v>
                </c:pt>
                <c:pt idx="21">
                  <c:v>16.280304190001143</c:v>
                </c:pt>
                <c:pt idx="22">
                  <c:v>16.073469878540731</c:v>
                </c:pt>
                <c:pt idx="23">
                  <c:v>16.510335516637141</c:v>
                </c:pt>
                <c:pt idx="24">
                  <c:v>16.672918356771959</c:v>
                </c:pt>
                <c:pt idx="25">
                  <c:v>5.6582592785058239</c:v>
                </c:pt>
                <c:pt idx="26">
                  <c:v>12.914131247792126</c:v>
                </c:pt>
                <c:pt idx="27">
                  <c:v>15.379771484449732</c:v>
                </c:pt>
                <c:pt idx="28">
                  <c:v>14.801462993937301</c:v>
                </c:pt>
                <c:pt idx="29">
                  <c:v>16.196611784421012</c:v>
                </c:pt>
                <c:pt idx="30">
                  <c:v>17.969502779124195</c:v>
                </c:pt>
                <c:pt idx="31">
                  <c:v>16.613756285957688</c:v>
                </c:pt>
                <c:pt idx="32">
                  <c:v>17.373086364028296</c:v>
                </c:pt>
                <c:pt idx="33">
                  <c:v>18.471015210194661</c:v>
                </c:pt>
                <c:pt idx="34">
                  <c:v>5.6592459311803278</c:v>
                </c:pt>
                <c:pt idx="35">
                  <c:v>9.8038990985696124</c:v>
                </c:pt>
                <c:pt idx="36">
                  <c:v>10.415910361636255</c:v>
                </c:pt>
                <c:pt idx="37">
                  <c:v>12.140848127514909</c:v>
                </c:pt>
                <c:pt idx="38">
                  <c:v>10.709402540771169</c:v>
                </c:pt>
                <c:pt idx="39">
                  <c:v>11.603758300192398</c:v>
                </c:pt>
                <c:pt idx="40">
                  <c:v>11.614175497603435</c:v>
                </c:pt>
                <c:pt idx="41">
                  <c:v>13.771300631324946</c:v>
                </c:pt>
                <c:pt idx="42">
                  <c:v>10.999051890818647</c:v>
                </c:pt>
                <c:pt idx="43">
                  <c:v>7.1789520925563988</c:v>
                </c:pt>
                <c:pt idx="44">
                  <c:v>10.817036539486992</c:v>
                </c:pt>
                <c:pt idx="45">
                  <c:v>11.336944398833875</c:v>
                </c:pt>
                <c:pt idx="46">
                  <c:v>13.614502587031099</c:v>
                </c:pt>
                <c:pt idx="47">
                  <c:v>12.25213455307718</c:v>
                </c:pt>
                <c:pt idx="48">
                  <c:v>13.077412759708587</c:v>
                </c:pt>
                <c:pt idx="49">
                  <c:v>13.249010913629208</c:v>
                </c:pt>
                <c:pt idx="50">
                  <c:v>14.462076159223161</c:v>
                </c:pt>
                <c:pt idx="51">
                  <c:v>12.818094114283943</c:v>
                </c:pt>
                <c:pt idx="52">
                  <c:v>8.1165871728612444</c:v>
                </c:pt>
                <c:pt idx="53">
                  <c:v>8.5507711159891695</c:v>
                </c:pt>
                <c:pt idx="54">
                  <c:v>10.420667851661232</c:v>
                </c:pt>
                <c:pt idx="55">
                  <c:v>11.601544747824352</c:v>
                </c:pt>
                <c:pt idx="56">
                  <c:v>11.776201713125085</c:v>
                </c:pt>
                <c:pt idx="57">
                  <c:v>12.484546770786013</c:v>
                </c:pt>
                <c:pt idx="58">
                  <c:v>12.629699101736282</c:v>
                </c:pt>
                <c:pt idx="59">
                  <c:v>14.117383559220196</c:v>
                </c:pt>
                <c:pt idx="60">
                  <c:v>6.9941297309124844</c:v>
                </c:pt>
                <c:pt idx="61">
                  <c:v>7.9920195558216882</c:v>
                </c:pt>
                <c:pt idx="62">
                  <c:v>9.5882436050927211</c:v>
                </c:pt>
                <c:pt idx="63">
                  <c:v>10.444315103190418</c:v>
                </c:pt>
                <c:pt idx="64">
                  <c:v>11.073283598928178</c:v>
                </c:pt>
                <c:pt idx="65">
                  <c:v>11.729498528110042</c:v>
                </c:pt>
                <c:pt idx="66">
                  <c:v>11.798834174794331</c:v>
                </c:pt>
                <c:pt idx="67">
                  <c:v>13.745648546727312</c:v>
                </c:pt>
              </c:numCache>
            </c:numRef>
          </c:xVal>
          <c:yVal>
            <c:numRef>
              <c:f>SecondaryModel!$M$3:$M$70</c:f>
              <c:numCache>
                <c:formatCode>General</c:formatCode>
                <c:ptCount val="68"/>
                <c:pt idx="0">
                  <c:v>4.6339999999999986</c:v>
                </c:pt>
                <c:pt idx="1">
                  <c:v>10.346734374202937</c:v>
                </c:pt>
                <c:pt idx="2">
                  <c:v>16.039863692053238</c:v>
                </c:pt>
                <c:pt idx="3">
                  <c:v>19.449510229030817</c:v>
                </c:pt>
                <c:pt idx="4">
                  <c:v>19.974452678343603</c:v>
                </c:pt>
                <c:pt idx="5">
                  <c:v>19.974998191479045</c:v>
                </c:pt>
                <c:pt idx="6">
                  <c:v>19.974999994025847</c:v>
                </c:pt>
                <c:pt idx="7">
                  <c:v>19.974999999980401</c:v>
                </c:pt>
                <c:pt idx="8">
                  <c:v>4.6339999999999986</c:v>
                </c:pt>
                <c:pt idx="9">
                  <c:v>10.346734374202937</c:v>
                </c:pt>
                <c:pt idx="10">
                  <c:v>16.039863692053238</c:v>
                </c:pt>
                <c:pt idx="11">
                  <c:v>19.449510229030817</c:v>
                </c:pt>
                <c:pt idx="12">
                  <c:v>19.974452678343603</c:v>
                </c:pt>
                <c:pt idx="13">
                  <c:v>19.974998191479045</c:v>
                </c:pt>
                <c:pt idx="14">
                  <c:v>19.974999994025847</c:v>
                </c:pt>
                <c:pt idx="15">
                  <c:v>19.974999999980401</c:v>
                </c:pt>
                <c:pt idx="16">
                  <c:v>4.9454999999999991</c:v>
                </c:pt>
                <c:pt idx="17">
                  <c:v>10.431722462178286</c:v>
                </c:pt>
                <c:pt idx="18">
                  <c:v>14.801904822120711</c:v>
                </c:pt>
                <c:pt idx="19">
                  <c:v>15.188550944186034</c:v>
                </c:pt>
                <c:pt idx="20">
                  <c:v>15.190491985350972</c:v>
                </c:pt>
                <c:pt idx="21">
                  <c:v>15.190499967075226</c:v>
                </c:pt>
                <c:pt idx="22">
                  <c:v>15.190499999864894</c:v>
                </c:pt>
                <c:pt idx="23">
                  <c:v>15.190499999999599</c:v>
                </c:pt>
                <c:pt idx="24">
                  <c:v>15.190500000000149</c:v>
                </c:pt>
                <c:pt idx="25">
                  <c:v>4.9454999999999991</c:v>
                </c:pt>
                <c:pt idx="26">
                  <c:v>10.431722462178286</c:v>
                </c:pt>
                <c:pt idx="27">
                  <c:v>14.801904822120711</c:v>
                </c:pt>
                <c:pt idx="28">
                  <c:v>15.188550944186034</c:v>
                </c:pt>
                <c:pt idx="29">
                  <c:v>15.190491985350972</c:v>
                </c:pt>
                <c:pt idx="30">
                  <c:v>15.190499967075226</c:v>
                </c:pt>
                <c:pt idx="31">
                  <c:v>15.190499999864894</c:v>
                </c:pt>
                <c:pt idx="32">
                  <c:v>15.190499999999599</c:v>
                </c:pt>
                <c:pt idx="33">
                  <c:v>15.190500000000149</c:v>
                </c:pt>
                <c:pt idx="34">
                  <c:v>5.3904999999999994</c:v>
                </c:pt>
                <c:pt idx="35">
                  <c:v>9.783346802259981</c:v>
                </c:pt>
                <c:pt idx="36">
                  <c:v>11.214403444391792</c:v>
                </c:pt>
                <c:pt idx="37">
                  <c:v>11.245199126332221</c:v>
                </c:pt>
                <c:pt idx="38">
                  <c:v>11.245497133076574</c:v>
                </c:pt>
                <c:pt idx="39">
                  <c:v>11.24549997268608</c:v>
                </c:pt>
                <c:pt idx="40">
                  <c:v>11.245499999739771</c:v>
                </c:pt>
                <c:pt idx="41">
                  <c:v>11.245499999997516</c:v>
                </c:pt>
                <c:pt idx="42">
                  <c:v>11.245499999999964</c:v>
                </c:pt>
                <c:pt idx="43">
                  <c:v>5.3904999999999994</c:v>
                </c:pt>
                <c:pt idx="44">
                  <c:v>9.783346802259981</c:v>
                </c:pt>
                <c:pt idx="45">
                  <c:v>11.214403444391792</c:v>
                </c:pt>
                <c:pt idx="46">
                  <c:v>11.245199126332221</c:v>
                </c:pt>
                <c:pt idx="47">
                  <c:v>11.245497133076574</c:v>
                </c:pt>
                <c:pt idx="48">
                  <c:v>11.24549997268608</c:v>
                </c:pt>
                <c:pt idx="49">
                  <c:v>11.245499999739771</c:v>
                </c:pt>
                <c:pt idx="50">
                  <c:v>11.245499999997516</c:v>
                </c:pt>
                <c:pt idx="51">
                  <c:v>11.245499999999964</c:v>
                </c:pt>
                <c:pt idx="52">
                  <c:v>5.8354999999999997</c:v>
                </c:pt>
                <c:pt idx="53">
                  <c:v>6.0333977964845786</c:v>
                </c:pt>
                <c:pt idx="54">
                  <c:v>6.2309234725726519</c:v>
                </c:pt>
                <c:pt idx="55">
                  <c:v>6.4279967206563899</c:v>
                </c:pt>
                <c:pt idx="56">
                  <c:v>6.6245204040085417</c:v>
                </c:pt>
                <c:pt idx="57">
                  <c:v>6.8203772705893595</c:v>
                </c:pt>
                <c:pt idx="58">
                  <c:v>7.0154261400964675</c:v>
                </c:pt>
                <c:pt idx="59">
                  <c:v>7.2094975358656361</c:v>
                </c:pt>
                <c:pt idx="60">
                  <c:v>5.8354999999999997</c:v>
                </c:pt>
                <c:pt idx="61">
                  <c:v>6.0333977964845786</c:v>
                </c:pt>
                <c:pt idx="62">
                  <c:v>6.2309234725726519</c:v>
                </c:pt>
                <c:pt idx="63">
                  <c:v>6.4279967206563899</c:v>
                </c:pt>
                <c:pt idx="64">
                  <c:v>6.6245204040085417</c:v>
                </c:pt>
                <c:pt idx="65">
                  <c:v>6.8203772705893595</c:v>
                </c:pt>
                <c:pt idx="66">
                  <c:v>7.0154261400964675</c:v>
                </c:pt>
                <c:pt idx="67">
                  <c:v>7.2094975358656361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4-4327-85F5-9B36AEC39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542256"/>
        <c:axId val="628544880"/>
      </c:scatterChart>
      <c:valAx>
        <c:axId val="62854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Uppere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44880"/>
        <c:crosses val="autoZero"/>
        <c:crossBetween val="midCat"/>
      </c:valAx>
      <c:valAx>
        <c:axId val="628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4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5"/>
          <c:tx>
            <c:strRef>
              <c:f>Summary!$K$1</c:f>
              <c:strCache>
                <c:ptCount val="1"/>
                <c:pt idx="0">
                  <c:v>Baranyi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Summary!$K$2:$K$9</c:f>
              <c:numCache>
                <c:formatCode>General</c:formatCode>
                <c:ptCount val="8"/>
                <c:pt idx="0">
                  <c:v>4.7149999999999999</c:v>
                </c:pt>
                <c:pt idx="1">
                  <c:v>9.7989067345641541</c:v>
                </c:pt>
                <c:pt idx="2">
                  <c:v>14.867964863248982</c:v>
                </c:pt>
                <c:pt idx="3">
                  <c:v>18.173609889773157</c:v>
                </c:pt>
                <c:pt idx="4">
                  <c:v>19.070269822793904</c:v>
                </c:pt>
                <c:pt idx="5">
                  <c:v>19.072784305628744</c:v>
                </c:pt>
                <c:pt idx="6">
                  <c:v>19.072799902771369</c:v>
                </c:pt>
                <c:pt idx="7">
                  <c:v>19.072799999397667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AAB-49B8-B017-BE3B198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29992"/>
        <c:axId val="447033928"/>
      </c:scatterChart>
      <c:scatterChart>
        <c:scatterStyle val="smoothMarker"/>
        <c:varyColors val="0"/>
        <c:ser>
          <c:idx val="3"/>
          <c:order val="1"/>
          <c:tx>
            <c:strRef>
              <c:f>Summary!$G$1</c:f>
              <c:strCache>
                <c:ptCount val="1"/>
                <c:pt idx="0">
                  <c:v>ConfLow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Summary!$G$2:$G$9</c:f>
              <c:numCache>
                <c:formatCode>General</c:formatCode>
                <c:ptCount val="8"/>
                <c:pt idx="0">
                  <c:v>3.7258190231339676</c:v>
                </c:pt>
                <c:pt idx="1">
                  <c:v>9.1027692511902849</c:v>
                </c:pt>
                <c:pt idx="2">
                  <c:v>12.791133530846151</c:v>
                </c:pt>
                <c:pt idx="3">
                  <c:v>14.825700741378478</c:v>
                </c:pt>
                <c:pt idx="4">
                  <c:v>17.249026669368572</c:v>
                </c:pt>
                <c:pt idx="5">
                  <c:v>18.353246091049552</c:v>
                </c:pt>
                <c:pt idx="6">
                  <c:v>18.210854793132711</c:v>
                </c:pt>
                <c:pt idx="7">
                  <c:v>18.344102606260574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AAB-49B8-B017-BE3B198AC032}"/>
            </c:ext>
          </c:extLst>
        </c:ser>
        <c:ser>
          <c:idx val="4"/>
          <c:order val="2"/>
          <c:tx>
            <c:strRef>
              <c:f>Summary!$H$1</c:f>
              <c:strCache>
                <c:ptCount val="1"/>
                <c:pt idx="0">
                  <c:v>ConfHigh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Summary!$H$2:$H$9</c:f>
              <c:numCache>
                <c:formatCode>General</c:formatCode>
                <c:ptCount val="8"/>
                <c:pt idx="0">
                  <c:v>4.2460521110041451</c:v>
                </c:pt>
                <c:pt idx="1">
                  <c:v>10.193380230780033</c:v>
                </c:pt>
                <c:pt idx="2">
                  <c:v>16.31555359214617</c:v>
                </c:pt>
                <c:pt idx="3">
                  <c:v>18.730164062923755</c:v>
                </c:pt>
                <c:pt idx="4">
                  <c:v>18.937097610011389</c:v>
                </c:pt>
                <c:pt idx="5">
                  <c:v>20.120173499214172</c:v>
                </c:pt>
                <c:pt idx="6">
                  <c:v>19.419656076772114</c:v>
                </c:pt>
                <c:pt idx="7">
                  <c:v>20.261966221791145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AAB-49B8-B017-BE3B198AC032}"/>
            </c:ext>
          </c:extLst>
        </c:ser>
        <c:ser>
          <c:idx val="5"/>
          <c:order val="3"/>
          <c:tx>
            <c:strRef>
              <c:f>Summary!$I$1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Summary!$I$2:$I$9</c:f>
              <c:numCache>
                <c:formatCode>General</c:formatCode>
                <c:ptCount val="8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AAB-49B8-B017-BE3B198AC032}"/>
            </c:ext>
          </c:extLst>
        </c:ser>
        <c:ser>
          <c:idx val="6"/>
          <c:order val="4"/>
          <c:tx>
            <c:strRef>
              <c:f>Summary!$J$1</c:f>
              <c:strCache>
                <c:ptCount val="1"/>
                <c:pt idx="0">
                  <c:v>Gompertz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Summary!$J$2:$J$9</c:f>
              <c:numCache>
                <c:formatCode>General</c:formatCode>
                <c:ptCount val="8"/>
                <c:pt idx="0">
                  <c:v>4.2197608647737068</c:v>
                </c:pt>
                <c:pt idx="1">
                  <c:v>10.527290659344029</c:v>
                </c:pt>
                <c:pt idx="2">
                  <c:v>15.151254663900488</c:v>
                </c:pt>
                <c:pt idx="3">
                  <c:v>17.119249533801092</c:v>
                </c:pt>
                <c:pt idx="4">
                  <c:v>18.649939425008657</c:v>
                </c:pt>
                <c:pt idx="5">
                  <c:v>19.112501313150783</c:v>
                </c:pt>
                <c:pt idx="6">
                  <c:v>19.304400632086409</c:v>
                </c:pt>
                <c:pt idx="7">
                  <c:v>19.383218633162759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AAB-49B8-B017-BE3B198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Summary!$C$2:$C$9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Summary!$D$2:$D$9</c:f>
              <c:numCache>
                <c:formatCode>General</c:formatCode>
                <c:ptCount val="8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AB-49B8-B017-BE3B198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valAx>
        <c:axId val="447033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29992"/>
        <c:crosses val="max"/>
        <c:crossBetween val="midCat"/>
      </c:valAx>
      <c:valAx>
        <c:axId val="44702999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33928"/>
        <c:crosses val="max"/>
        <c:crossBetween val="midCat"/>
      </c:valAx>
      <c:valAx>
        <c:axId val="663668728"/>
        <c:scaling>
          <c:orientation val="minMax"/>
          <c:min val="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9056"/>
        <c:crossBetween val="midCat"/>
      </c:valAx>
      <c:valAx>
        <c:axId val="663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872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Logistic!$G$45</c:f>
              <c:strCache>
                <c:ptCount val="1"/>
                <c:pt idx="0">
                  <c:v>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Logistic!$C$46:$C$63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Logistic!$G$46:$G$63</c:f>
              <c:numCache>
                <c:formatCode>General</c:formatCode>
                <c:ptCount val="18"/>
                <c:pt idx="0">
                  <c:v>4.7257767241380932</c:v>
                </c:pt>
                <c:pt idx="1">
                  <c:v>10.987762847198796</c:v>
                </c:pt>
                <c:pt idx="2">
                  <c:v>12.120475770108067</c:v>
                </c:pt>
                <c:pt idx="3">
                  <c:v>13.431750206532667</c:v>
                </c:pt>
                <c:pt idx="4">
                  <c:v>14.275071946184864</c:v>
                </c:pt>
                <c:pt idx="5">
                  <c:v>13.844805871467324</c:v>
                </c:pt>
                <c:pt idx="6">
                  <c:v>14.385493158054379</c:v>
                </c:pt>
                <c:pt idx="7">
                  <c:v>14.755612834214133</c:v>
                </c:pt>
                <c:pt idx="8">
                  <c:v>15.5895219721172</c:v>
                </c:pt>
                <c:pt idx="9">
                  <c:v>4.6123170509134708</c:v>
                </c:pt>
                <c:pt idx="10">
                  <c:v>11.58671656832378</c:v>
                </c:pt>
                <c:pt idx="11">
                  <c:v>13.905771941963929</c:v>
                </c:pt>
                <c:pt idx="12">
                  <c:v>13.73244653458109</c:v>
                </c:pt>
                <c:pt idx="13">
                  <c:v>15.083603278338019</c:v>
                </c:pt>
                <c:pt idx="14">
                  <c:v>14.768333497796572</c:v>
                </c:pt>
                <c:pt idx="15">
                  <c:v>15.391045080073241</c:v>
                </c:pt>
                <c:pt idx="16">
                  <c:v>14.964540395536945</c:v>
                </c:pt>
                <c:pt idx="17">
                  <c:v>15.815979933473269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A-43B9-B64B-E971894D4411}"/>
            </c:ext>
          </c:extLst>
        </c:ser>
        <c:ser>
          <c:idx val="1"/>
          <c:order val="1"/>
          <c:tx>
            <c:strRef>
              <c:f>Logistic!$H$45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Logistic!$C$46:$C$63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Logistic!$H$46:$H$63</c:f>
              <c:numCache>
                <c:formatCode>General</c:formatCode>
                <c:ptCount val="18"/>
                <c:pt idx="0">
                  <c:v>4.9610908106645013</c:v>
                </c:pt>
                <c:pt idx="1">
                  <c:v>10.685699264880149</c:v>
                </c:pt>
                <c:pt idx="2">
                  <c:v>13.692962848865204</c:v>
                </c:pt>
                <c:pt idx="3">
                  <c:v>14.467924545569424</c:v>
                </c:pt>
                <c:pt idx="4">
                  <c:v>14.625467145669303</c:v>
                </c:pt>
                <c:pt idx="5">
                  <c:v>14.655841565381596</c:v>
                </c:pt>
                <c:pt idx="6">
                  <c:v>14.661637001999869</c:v>
                </c:pt>
                <c:pt idx="7">
                  <c:v>14.66274056213566</c:v>
                </c:pt>
                <c:pt idx="8">
                  <c:v>14.662950620687754</c:v>
                </c:pt>
                <c:pt idx="9">
                  <c:v>4.9610908106645013</c:v>
                </c:pt>
                <c:pt idx="10">
                  <c:v>10.685699264880149</c:v>
                </c:pt>
                <c:pt idx="11">
                  <c:v>13.692962848865204</c:v>
                </c:pt>
                <c:pt idx="12">
                  <c:v>14.467924545569424</c:v>
                </c:pt>
                <c:pt idx="13">
                  <c:v>14.625467145669303</c:v>
                </c:pt>
                <c:pt idx="14">
                  <c:v>14.655841565381596</c:v>
                </c:pt>
                <c:pt idx="15">
                  <c:v>14.661637001999869</c:v>
                </c:pt>
                <c:pt idx="16">
                  <c:v>14.66274056213566</c:v>
                </c:pt>
                <c:pt idx="17">
                  <c:v>14.662950620687754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A-43B9-B64B-E971894D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87265386860457E-2"/>
          <c:y val="5.8818047359336066E-2"/>
          <c:w val="0.9295918650708499"/>
          <c:h val="0.81251406799073234"/>
        </c:manualLayout>
      </c:layout>
      <c:scatterChart>
        <c:scatterStyle val="lineMarker"/>
        <c:varyColors val="0"/>
        <c:ser>
          <c:idx val="3"/>
          <c:order val="0"/>
          <c:tx>
            <c:strRef>
              <c:f>Summary!$O$1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Summary!$O$2:$O$10</c:f>
              <c:numCache>
                <c:formatCode>General</c:formatCode>
                <c:ptCount val="9"/>
                <c:pt idx="0">
                  <c:v>4.7257767241380932</c:v>
                </c:pt>
                <c:pt idx="1">
                  <c:v>10.987762847198796</c:v>
                </c:pt>
                <c:pt idx="2">
                  <c:v>12.120475770108067</c:v>
                </c:pt>
                <c:pt idx="3">
                  <c:v>13.431750206532667</c:v>
                </c:pt>
                <c:pt idx="4">
                  <c:v>14.275071946184864</c:v>
                </c:pt>
                <c:pt idx="5">
                  <c:v>13.844805871467324</c:v>
                </c:pt>
                <c:pt idx="6">
                  <c:v>14.385493158054379</c:v>
                </c:pt>
                <c:pt idx="7">
                  <c:v>14.755612834214133</c:v>
                </c:pt>
                <c:pt idx="8">
                  <c:v>15.5895219721172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D-42A5-8B59-27082280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scatterChart>
        <c:scatterStyle val="smoothMarker"/>
        <c:varyColors val="0"/>
        <c:ser>
          <c:idx val="1"/>
          <c:order val="1"/>
          <c:tx>
            <c:strRef>
              <c:f>Summary!$R$1</c:f>
              <c:strCache>
                <c:ptCount val="1"/>
                <c:pt idx="0">
                  <c:v>ConfLow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Summary!$R$2:$R$10</c:f>
              <c:numCache>
                <c:formatCode>General</c:formatCode>
                <c:ptCount val="9"/>
                <c:pt idx="0">
                  <c:v>4.4840899978864801</c:v>
                </c:pt>
                <c:pt idx="1">
                  <c:v>10.513548410438794</c:v>
                </c:pt>
                <c:pt idx="2">
                  <c:v>11.767805223308585</c:v>
                </c:pt>
                <c:pt idx="3">
                  <c:v>12.479028743046758</c:v>
                </c:pt>
                <c:pt idx="4">
                  <c:v>13.538500273273774</c:v>
                </c:pt>
                <c:pt idx="5">
                  <c:v>12.787082391043439</c:v>
                </c:pt>
                <c:pt idx="6">
                  <c:v>13.652414182766009</c:v>
                </c:pt>
                <c:pt idx="7">
                  <c:v>13.993546455967349</c:v>
                </c:pt>
                <c:pt idx="8">
                  <c:v>15.119008900547705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6D-42A5-8B59-2708228013EA}"/>
            </c:ext>
          </c:extLst>
        </c:ser>
        <c:ser>
          <c:idx val="2"/>
          <c:order val="2"/>
          <c:tx>
            <c:strRef>
              <c:f>Summary!$S$1</c:f>
              <c:strCache>
                <c:ptCount val="1"/>
                <c:pt idx="0">
                  <c:v>ConfHigh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Summary!$S$2:$S$10</c:f>
              <c:numCache>
                <c:formatCode>General</c:formatCode>
                <c:ptCount val="9"/>
                <c:pt idx="0">
                  <c:v>4.9674634503897064</c:v>
                </c:pt>
                <c:pt idx="1">
                  <c:v>11.461977283958799</c:v>
                </c:pt>
                <c:pt idx="2">
                  <c:v>12.473146316907549</c:v>
                </c:pt>
                <c:pt idx="3">
                  <c:v>14.384471670018577</c:v>
                </c:pt>
                <c:pt idx="4">
                  <c:v>15.011643619095954</c:v>
                </c:pt>
                <c:pt idx="5">
                  <c:v>14.902529351891209</c:v>
                </c:pt>
                <c:pt idx="6">
                  <c:v>15.118572133342749</c:v>
                </c:pt>
                <c:pt idx="7">
                  <c:v>15.517679212460918</c:v>
                </c:pt>
                <c:pt idx="8">
                  <c:v>16.060035043686696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6D-42A5-8B59-2708228013EA}"/>
            </c:ext>
          </c:extLst>
        </c:ser>
        <c:ser>
          <c:idx val="4"/>
          <c:order val="3"/>
          <c:tx>
            <c:strRef>
              <c:f>Summary!$T$1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Summary!$T$2:$T$10</c:f>
              <c:numCache>
                <c:formatCode>General</c:formatCode>
                <c:ptCount val="9"/>
                <c:pt idx="0">
                  <c:v>4.9610908106645013</c:v>
                </c:pt>
                <c:pt idx="1">
                  <c:v>10.685699264880149</c:v>
                </c:pt>
                <c:pt idx="2">
                  <c:v>13.692962848865204</c:v>
                </c:pt>
                <c:pt idx="3">
                  <c:v>14.467924545569424</c:v>
                </c:pt>
                <c:pt idx="4">
                  <c:v>14.625467145669303</c:v>
                </c:pt>
                <c:pt idx="5">
                  <c:v>14.655841565381596</c:v>
                </c:pt>
                <c:pt idx="6">
                  <c:v>14.661637001999869</c:v>
                </c:pt>
                <c:pt idx="7">
                  <c:v>14.66274056213566</c:v>
                </c:pt>
                <c:pt idx="8">
                  <c:v>14.662950620687754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6D-42A5-8B59-2708228013EA}"/>
            </c:ext>
          </c:extLst>
        </c:ser>
        <c:ser>
          <c:idx val="5"/>
          <c:order val="4"/>
          <c:tx>
            <c:strRef>
              <c:f>Summary!$U$1</c:f>
              <c:strCache>
                <c:ptCount val="1"/>
                <c:pt idx="0">
                  <c:v>Gompertz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Summary!$U$2:$U$10</c:f>
              <c:numCache>
                <c:formatCode>General</c:formatCode>
                <c:ptCount val="9"/>
                <c:pt idx="0">
                  <c:v>4.8009451085172259</c:v>
                </c:pt>
                <c:pt idx="1">
                  <c:v>10.779962401306875</c:v>
                </c:pt>
                <c:pt idx="2">
                  <c:v>13.216241586605975</c:v>
                </c:pt>
                <c:pt idx="3">
                  <c:v>14.20856679010376</c:v>
                </c:pt>
                <c:pt idx="4">
                  <c:v>14.612688003874609</c:v>
                </c:pt>
                <c:pt idx="5">
                  <c:v>14.77725435492448</c:v>
                </c:pt>
                <c:pt idx="6">
                  <c:v>14.844267335175573</c:v>
                </c:pt>
                <c:pt idx="7">
                  <c:v>14.871555362653453</c:v>
                </c:pt>
                <c:pt idx="8">
                  <c:v>14.882667137895623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6D-42A5-8B59-2708228013EA}"/>
            </c:ext>
          </c:extLst>
        </c:ser>
        <c:ser>
          <c:idx val="6"/>
          <c:order val="5"/>
          <c:tx>
            <c:strRef>
              <c:f>Summary!$V$1</c:f>
              <c:strCache>
                <c:ptCount val="1"/>
                <c:pt idx="0">
                  <c:v>Baranyi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Summary!$V$2:$V$10</c:f>
              <c:numCache>
                <c:formatCode>General</c:formatCode>
                <c:ptCount val="9"/>
                <c:pt idx="0">
                  <c:v>4.6950000000000003</c:v>
                </c:pt>
                <c:pt idx="1">
                  <c:v>11.189263017814573</c:v>
                </c:pt>
                <c:pt idx="2">
                  <c:v>14.412270410913202</c:v>
                </c:pt>
                <c:pt idx="3">
                  <c:v>14.44794710938088</c:v>
                </c:pt>
                <c:pt idx="4">
                  <c:v>14.447999923092173</c:v>
                </c:pt>
                <c:pt idx="5">
                  <c:v>14.447999999888172</c:v>
                </c:pt>
                <c:pt idx="6">
                  <c:v>14.447999999999837</c:v>
                </c:pt>
                <c:pt idx="7">
                  <c:v>14.448</c:v>
                </c:pt>
                <c:pt idx="8">
                  <c:v>14.448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F6D-42A5-8B59-27082280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valAx>
        <c:axId val="663668728"/>
        <c:scaling>
          <c:orientation val="minMax"/>
          <c:min val="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9056"/>
        <c:crosses val="autoZero"/>
        <c:crossBetween val="midCat"/>
      </c:valAx>
      <c:valAx>
        <c:axId val="663669056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Summary!$Z$1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Summary!$Z$2:$Z$10</c:f>
              <c:numCache>
                <c:formatCode>General</c:formatCode>
                <c:ptCount val="9"/>
                <c:pt idx="0">
                  <c:v>4.8584545462174367</c:v>
                </c:pt>
                <c:pt idx="1">
                  <c:v>9.0031077136067204</c:v>
                </c:pt>
                <c:pt idx="2">
                  <c:v>9.9011158998743962</c:v>
                </c:pt>
                <c:pt idx="3">
                  <c:v>9.5096764340654101</c:v>
                </c:pt>
                <c:pt idx="4">
                  <c:v>9.2794179247660047</c:v>
                </c:pt>
                <c:pt idx="5">
                  <c:v>9.6017798377851715</c:v>
                </c:pt>
                <c:pt idx="6">
                  <c:v>9.4405988812755872</c:v>
                </c:pt>
                <c:pt idx="7">
                  <c:v>10.453736322192968</c:v>
                </c:pt>
                <c:pt idx="8">
                  <c:v>9.8550641980145173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52-4397-99BA-94E669A5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scatterChart>
        <c:scatterStyle val="smoothMarker"/>
        <c:varyColors val="0"/>
        <c:ser>
          <c:idx val="1"/>
          <c:order val="1"/>
          <c:tx>
            <c:strRef>
              <c:f>Summary!$AC$1</c:f>
              <c:strCache>
                <c:ptCount val="1"/>
                <c:pt idx="0">
                  <c:v>ConfLow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Summary!$AC$2:$AC$10</c:f>
              <c:numCache>
                <c:formatCode>General</c:formatCode>
                <c:ptCount val="9"/>
                <c:pt idx="0">
                  <c:v>4.5106752665723899</c:v>
                </c:pt>
                <c:pt idx="1">
                  <c:v>8.6553284339616745</c:v>
                </c:pt>
                <c:pt idx="2">
                  <c:v>9.6775435058168657</c:v>
                </c:pt>
                <c:pt idx="3">
                  <c:v>8.3669730866602574</c:v>
                </c:pt>
                <c:pt idx="4">
                  <c:v>8.6583834968284226</c:v>
                </c:pt>
                <c:pt idx="5">
                  <c:v>8.7323316386725551</c:v>
                </c:pt>
                <c:pt idx="6">
                  <c:v>8.4966265508104613</c:v>
                </c:pt>
                <c:pt idx="7">
                  <c:v>9.0129364493777757</c:v>
                </c:pt>
                <c:pt idx="8">
                  <c:v>9.3582366556644505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52-4397-99BA-94E669A5311B}"/>
            </c:ext>
          </c:extLst>
        </c:ser>
        <c:ser>
          <c:idx val="2"/>
          <c:order val="2"/>
          <c:tx>
            <c:strRef>
              <c:f>Summary!$AD$1</c:f>
              <c:strCache>
                <c:ptCount val="1"/>
                <c:pt idx="0">
                  <c:v>ConfHigh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Summary!$AD$2:$AD$10</c:f>
              <c:numCache>
                <c:formatCode>General</c:formatCode>
                <c:ptCount val="9"/>
                <c:pt idx="0">
                  <c:v>5.2062338258624834</c:v>
                </c:pt>
                <c:pt idx="1">
                  <c:v>9.3508869932517662</c:v>
                </c:pt>
                <c:pt idx="2">
                  <c:v>10.124688293931927</c:v>
                </c:pt>
                <c:pt idx="3">
                  <c:v>10.652379781470563</c:v>
                </c:pt>
                <c:pt idx="4">
                  <c:v>9.9004523527035868</c:v>
                </c:pt>
                <c:pt idx="5">
                  <c:v>10.471228036897788</c:v>
                </c:pt>
                <c:pt idx="6">
                  <c:v>10.384571211740713</c:v>
                </c:pt>
                <c:pt idx="7">
                  <c:v>11.894536195008161</c:v>
                </c:pt>
                <c:pt idx="8">
                  <c:v>10.351891740364584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52-4397-99BA-94E669A5311B}"/>
            </c:ext>
          </c:extLst>
        </c:ser>
        <c:ser>
          <c:idx val="3"/>
          <c:order val="3"/>
          <c:tx>
            <c:strRef>
              <c:f>Summary!$AE$1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Summary!$AE$2:$AE$10</c:f>
              <c:numCache>
                <c:formatCode>General</c:formatCode>
                <c:ptCount val="9"/>
                <c:pt idx="0">
                  <c:v>5.6184082821093497</c:v>
                </c:pt>
                <c:pt idx="1">
                  <c:v>9.5132809587674032</c:v>
                </c:pt>
                <c:pt idx="2">
                  <c:v>10.310328242092043</c:v>
                </c:pt>
                <c:pt idx="3">
                  <c:v>10.407565915140131</c:v>
                </c:pt>
                <c:pt idx="4">
                  <c:v>10.418523121728601</c:v>
                </c:pt>
                <c:pt idx="5">
                  <c:v>10.419746439979406</c:v>
                </c:pt>
                <c:pt idx="6">
                  <c:v>10.4198828755957</c:v>
                </c:pt>
                <c:pt idx="7">
                  <c:v>10.419898090376586</c:v>
                </c:pt>
                <c:pt idx="8">
                  <c:v>10.419899787049127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52-4397-99BA-94E669A5311B}"/>
            </c:ext>
          </c:extLst>
        </c:ser>
        <c:ser>
          <c:idx val="4"/>
          <c:order val="4"/>
          <c:tx>
            <c:strRef>
              <c:f>Summary!$AF$1</c:f>
              <c:strCache>
                <c:ptCount val="1"/>
                <c:pt idx="0">
                  <c:v>Gompertz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Summary!$AF$2:$AF$10</c:f>
              <c:numCache>
                <c:formatCode>General</c:formatCode>
                <c:ptCount val="9"/>
                <c:pt idx="0">
                  <c:v>5.6188412619982415</c:v>
                </c:pt>
                <c:pt idx="1">
                  <c:v>9.5209414556512968</c:v>
                </c:pt>
                <c:pt idx="2">
                  <c:v>10.262601612476644</c:v>
                </c:pt>
                <c:pt idx="3">
                  <c:v>10.399771773975488</c:v>
                </c:pt>
                <c:pt idx="4">
                  <c:v>10.425014001348202</c:v>
                </c:pt>
                <c:pt idx="5">
                  <c:v>10.429654808100409</c:v>
                </c:pt>
                <c:pt idx="6">
                  <c:v>10.430507879443127</c:v>
                </c:pt>
                <c:pt idx="7">
                  <c:v>10.430664685787335</c:v>
                </c:pt>
                <c:pt idx="8">
                  <c:v>10.430693508802378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52-4397-99BA-94E669A5311B}"/>
            </c:ext>
          </c:extLst>
        </c:ser>
        <c:ser>
          <c:idx val="5"/>
          <c:order val="5"/>
          <c:tx>
            <c:strRef>
              <c:f>Summary!$AG$1</c:f>
              <c:strCache>
                <c:ptCount val="1"/>
                <c:pt idx="0">
                  <c:v>Baranyi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Summary!$Y$2:$Y$10</c:f>
              <c:numCache>
                <c:formatCode>General</c:formatCode>
                <c:ptCount val="9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</c:numCache>
            </c:numRef>
          </c:xVal>
          <c:yVal>
            <c:numRef>
              <c:f>Summary!$AG$2:$AG$10</c:f>
              <c:numCache>
                <c:formatCode>General</c:formatCode>
                <c:ptCount val="9"/>
                <c:pt idx="0">
                  <c:v>5.6180000000000003</c:v>
                </c:pt>
                <c:pt idx="1">
                  <c:v>9.2287157376137365</c:v>
                </c:pt>
                <c:pt idx="2">
                  <c:v>10.36174923001553</c:v>
                </c:pt>
                <c:pt idx="3">
                  <c:v>10.402207078000306</c:v>
                </c:pt>
                <c:pt idx="4">
                  <c:v>10.402985058928872</c:v>
                </c:pt>
                <c:pt idx="5">
                  <c:v>10.402999718572048</c:v>
                </c:pt>
                <c:pt idx="6">
                  <c:v>10.402999994699101</c:v>
                </c:pt>
                <c:pt idx="7">
                  <c:v>10.402999999900157</c:v>
                </c:pt>
                <c:pt idx="8">
                  <c:v>10.402999999998123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052-4397-99BA-94E669A5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valAx>
        <c:axId val="663668728"/>
        <c:scaling>
          <c:orientation val="minMax"/>
          <c:min val="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9056"/>
        <c:crosses val="autoZero"/>
        <c:crossBetween val="midCat"/>
      </c:valAx>
      <c:valAx>
        <c:axId val="663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Summary!$AK$1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Summary!$AJ$2:$AJ$9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Summary!$AK$2:$AK$9</c:f>
              <c:numCache>
                <c:formatCode>General</c:formatCode>
                <c:ptCount val="8"/>
                <c:pt idx="0">
                  <c:v>5.406262970946627</c:v>
                </c:pt>
                <c:pt idx="1">
                  <c:v>7.7574957301680012</c:v>
                </c:pt>
                <c:pt idx="2">
                  <c:v>8.3275764894606183</c:v>
                </c:pt>
                <c:pt idx="3">
                  <c:v>9.2579601204688835</c:v>
                </c:pt>
                <c:pt idx="4">
                  <c:v>10.480881608378359</c:v>
                </c:pt>
                <c:pt idx="5">
                  <c:v>10.517271175039998</c:v>
                </c:pt>
                <c:pt idx="6">
                  <c:v>10.478613283448963</c:v>
                </c:pt>
                <c:pt idx="7">
                  <c:v>9.8087026326735014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53-461A-BFBD-ADE1DB0D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scatterChart>
        <c:scatterStyle val="smoothMarker"/>
        <c:varyColors val="0"/>
        <c:ser>
          <c:idx val="1"/>
          <c:order val="1"/>
          <c:tx>
            <c:strRef>
              <c:f>Summary!$AN$1</c:f>
              <c:strCache>
                <c:ptCount val="1"/>
                <c:pt idx="0">
                  <c:v>ConfLow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Summary!$AJ$2:$AJ$9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Summary!$AN$2:$AN$9</c:f>
              <c:numCache>
                <c:formatCode>General</c:formatCode>
                <c:ptCount val="8"/>
                <c:pt idx="0">
                  <c:v>4.2291841258862739</c:v>
                </c:pt>
                <c:pt idx="1">
                  <c:v>7.4129806074761948</c:v>
                </c:pt>
                <c:pt idx="2">
                  <c:v>7.4185584607375317</c:v>
                </c:pt>
                <c:pt idx="3">
                  <c:v>8.2401542489351147</c:v>
                </c:pt>
                <c:pt idx="4">
                  <c:v>9.9183312345885142</c:v>
                </c:pt>
                <c:pt idx="5">
                  <c:v>9.6628942394245705</c:v>
                </c:pt>
                <c:pt idx="6">
                  <c:v>9.5444085824664402</c:v>
                </c:pt>
                <c:pt idx="7">
                  <c:v>7.9374662819924824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53-461A-BFBD-ADE1DB0DA781}"/>
            </c:ext>
          </c:extLst>
        </c:ser>
        <c:ser>
          <c:idx val="2"/>
          <c:order val="2"/>
          <c:tx>
            <c:strRef>
              <c:f>Summary!$AO$1</c:f>
              <c:strCache>
                <c:ptCount val="1"/>
                <c:pt idx="0">
                  <c:v>ConfHigh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Summary!$AJ$2:$AJ$9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Summary!$AO$2:$AO$9</c:f>
              <c:numCache>
                <c:formatCode>General</c:formatCode>
                <c:ptCount val="8"/>
                <c:pt idx="0">
                  <c:v>6.5833418160069801</c:v>
                </c:pt>
                <c:pt idx="1">
                  <c:v>8.1020108528598076</c:v>
                </c:pt>
                <c:pt idx="2">
                  <c:v>9.2365945181837059</c:v>
                </c:pt>
                <c:pt idx="3">
                  <c:v>10.275765992002652</c:v>
                </c:pt>
                <c:pt idx="4">
                  <c:v>11.043431982168205</c:v>
                </c:pt>
                <c:pt idx="5">
                  <c:v>11.371648110655425</c:v>
                </c:pt>
                <c:pt idx="6">
                  <c:v>11.412817984431486</c:v>
                </c:pt>
                <c:pt idx="7">
                  <c:v>11.67993898335452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F53-461A-BFBD-ADE1DB0DA781}"/>
            </c:ext>
          </c:extLst>
        </c:ser>
        <c:ser>
          <c:idx val="3"/>
          <c:order val="3"/>
          <c:tx>
            <c:strRef>
              <c:f>Summary!$AP$1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Summary!$AJ$2:$AJ$9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Summary!$AP$2:$AP$9</c:f>
              <c:numCache>
                <c:formatCode>General</c:formatCode>
                <c:ptCount val="8"/>
                <c:pt idx="0">
                  <c:v>5.4596058046350446</c:v>
                </c:pt>
                <c:pt idx="1">
                  <c:v>7.2368533537755564</c:v>
                </c:pt>
                <c:pt idx="2">
                  <c:v>8.5257404536433956</c:v>
                </c:pt>
                <c:pt idx="3">
                  <c:v>9.2944937226067275</c:v>
                </c:pt>
                <c:pt idx="4">
                  <c:v>9.7007072667995864</c:v>
                </c:pt>
                <c:pt idx="5">
                  <c:v>9.9016783664741421</c:v>
                </c:pt>
                <c:pt idx="6">
                  <c:v>9.9978692233882587</c:v>
                </c:pt>
                <c:pt idx="7">
                  <c:v>10.043179041196122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53-461A-BFBD-ADE1DB0DA781}"/>
            </c:ext>
          </c:extLst>
        </c:ser>
        <c:ser>
          <c:idx val="4"/>
          <c:order val="4"/>
          <c:tx>
            <c:strRef>
              <c:f>Summary!$AQ$1</c:f>
              <c:strCache>
                <c:ptCount val="1"/>
                <c:pt idx="0">
                  <c:v>Gompertz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Summary!$AJ$2:$AJ$9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Summary!$AQ$2:$AQ$9</c:f>
              <c:numCache>
                <c:formatCode>General</c:formatCode>
                <c:ptCount val="8"/>
                <c:pt idx="0">
                  <c:v>5.4346101998110257</c:v>
                </c:pt>
                <c:pt idx="1">
                  <c:v>7.2757307507711904</c:v>
                </c:pt>
                <c:pt idx="2">
                  <c:v>8.5400915396604287</c:v>
                </c:pt>
                <c:pt idx="3">
                  <c:v>9.2817019742388887</c:v>
                </c:pt>
                <c:pt idx="4">
                  <c:v>9.683298590995431</c:v>
                </c:pt>
                <c:pt idx="5">
                  <c:v>9.8922055538033362</c:v>
                </c:pt>
                <c:pt idx="6">
                  <c:v>9.998709763912661</c:v>
                </c:pt>
                <c:pt idx="7">
                  <c:v>10.052462661868415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F53-461A-BFBD-ADE1DB0D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69056"/>
        <c:axId val="663668728"/>
      </c:scatterChart>
      <c:valAx>
        <c:axId val="663668728"/>
        <c:scaling>
          <c:orientation val="minMax"/>
          <c:min val="4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9056"/>
        <c:crosses val="autoZero"/>
        <c:crossBetween val="midCat"/>
      </c:valAx>
      <c:valAx>
        <c:axId val="6636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Logistic!$G$95</c:f>
              <c:strCache>
                <c:ptCount val="1"/>
                <c:pt idx="0">
                  <c:v>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Logistic!$C$96:$C$113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Logistic!$G$96:$G$113</c:f>
              <c:numCache>
                <c:formatCode>General</c:formatCode>
                <c:ptCount val="18"/>
                <c:pt idx="0">
                  <c:v>4.8584545462174367</c:v>
                </c:pt>
                <c:pt idx="1">
                  <c:v>9.0031077136067204</c:v>
                </c:pt>
                <c:pt idx="2">
                  <c:v>9.9011158998743962</c:v>
                </c:pt>
                <c:pt idx="3">
                  <c:v>9.5096764340654101</c:v>
                </c:pt>
                <c:pt idx="4">
                  <c:v>9.2794179247660047</c:v>
                </c:pt>
                <c:pt idx="5">
                  <c:v>9.6017798377851715</c:v>
                </c:pt>
                <c:pt idx="6">
                  <c:v>9.4405988812755872</c:v>
                </c:pt>
                <c:pt idx="7">
                  <c:v>10.453736322192968</c:v>
                </c:pt>
                <c:pt idx="8">
                  <c:v>9.8550641980145173</c:v>
                </c:pt>
                <c:pt idx="9">
                  <c:v>6.3781607075935076</c:v>
                </c:pt>
                <c:pt idx="10">
                  <c:v>10.016245154524098</c:v>
                </c:pt>
                <c:pt idx="11">
                  <c:v>10.822149937072016</c:v>
                </c:pt>
                <c:pt idx="12">
                  <c:v>10.983330893581599</c:v>
                </c:pt>
                <c:pt idx="13">
                  <c:v>10.822149937072016</c:v>
                </c:pt>
                <c:pt idx="14">
                  <c:v>11.07543429730136</c:v>
                </c:pt>
                <c:pt idx="15">
                  <c:v>11.07543429730136</c:v>
                </c:pt>
                <c:pt idx="16">
                  <c:v>11.144511850091181</c:v>
                </c:pt>
                <c:pt idx="17">
                  <c:v>11.674106421479813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B-4397-947D-97D986364DF8}"/>
            </c:ext>
          </c:extLst>
        </c:ser>
        <c:ser>
          <c:idx val="1"/>
          <c:order val="1"/>
          <c:tx>
            <c:strRef>
              <c:f>Logistic!$H$95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Logistic!$C$96:$C$113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Logistic!$H$96:$H$113</c:f>
              <c:numCache>
                <c:formatCode>General</c:formatCode>
                <c:ptCount val="18"/>
                <c:pt idx="0">
                  <c:v>5.6184082821093497</c:v>
                </c:pt>
                <c:pt idx="1">
                  <c:v>9.5132809587674032</c:v>
                </c:pt>
                <c:pt idx="2">
                  <c:v>10.310328242092043</c:v>
                </c:pt>
                <c:pt idx="3">
                  <c:v>10.407565915140131</c:v>
                </c:pt>
                <c:pt idx="4">
                  <c:v>10.418523121728601</c:v>
                </c:pt>
                <c:pt idx="5">
                  <c:v>10.419746439979406</c:v>
                </c:pt>
                <c:pt idx="6">
                  <c:v>10.4198828755957</c:v>
                </c:pt>
                <c:pt idx="7">
                  <c:v>10.419898090376586</c:v>
                </c:pt>
                <c:pt idx="8">
                  <c:v>10.419899787049127</c:v>
                </c:pt>
                <c:pt idx="9">
                  <c:v>5.6184082821093497</c:v>
                </c:pt>
                <c:pt idx="10">
                  <c:v>9.5132809587674032</c:v>
                </c:pt>
                <c:pt idx="11">
                  <c:v>10.310328242092043</c:v>
                </c:pt>
                <c:pt idx="12">
                  <c:v>10.407565915140131</c:v>
                </c:pt>
                <c:pt idx="13">
                  <c:v>10.418523121728601</c:v>
                </c:pt>
                <c:pt idx="14">
                  <c:v>10.419746439979406</c:v>
                </c:pt>
                <c:pt idx="15">
                  <c:v>10.4198828755957</c:v>
                </c:pt>
                <c:pt idx="16">
                  <c:v>10.419898090376586</c:v>
                </c:pt>
                <c:pt idx="17">
                  <c:v>10.419899787049127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B-4397-947D-97D98636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Logistic!$G$144</c:f>
              <c:strCache>
                <c:ptCount val="1"/>
                <c:pt idx="0">
                  <c:v>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Logistic!$C$145:$C$160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xVal>
          <c:yVal>
            <c:numRef>
              <c:f>Logistic!$G$145:$G$160</c:f>
              <c:numCache>
                <c:formatCode>General</c:formatCode>
                <c:ptCount val="16"/>
                <c:pt idx="0">
                  <c:v>5.406262970946627</c:v>
                </c:pt>
                <c:pt idx="1">
                  <c:v>7.7574957301680012</c:v>
                </c:pt>
                <c:pt idx="2">
                  <c:v>8.3275764894606183</c:v>
                </c:pt>
                <c:pt idx="3">
                  <c:v>9.2579601204688835</c:v>
                </c:pt>
                <c:pt idx="4">
                  <c:v>10.480881608378359</c:v>
                </c:pt>
                <c:pt idx="5">
                  <c:v>10.517271175039998</c:v>
                </c:pt>
                <c:pt idx="6">
                  <c:v>10.478613283448963</c:v>
                </c:pt>
                <c:pt idx="7">
                  <c:v>9.8087026326735014</c:v>
                </c:pt>
                <c:pt idx="8">
                  <c:v>5.3541032545700178</c:v>
                </c:pt>
                <c:pt idx="9">
                  <c:v>7.3698847288440179</c:v>
                </c:pt>
                <c:pt idx="10">
                  <c:v>7.9469301425958516</c:v>
                </c:pt>
                <c:pt idx="11">
                  <c:v>8.8627406780117788</c:v>
                </c:pt>
                <c:pt idx="12">
                  <c:v>9.8350427601139145</c:v>
                </c:pt>
                <c:pt idx="13">
                  <c:v>9.8426509871066212</c:v>
                </c:pt>
                <c:pt idx="14">
                  <c:v>9.9091724240666128</c:v>
                </c:pt>
                <c:pt idx="15">
                  <c:v>9.162610771753867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A-47D1-A8D5-6155FD7B3543}"/>
            </c:ext>
          </c:extLst>
        </c:ser>
        <c:ser>
          <c:idx val="1"/>
          <c:order val="1"/>
          <c:tx>
            <c:strRef>
              <c:f>Logistic!$H$144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Logistic!$C$145:$C$160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xVal>
          <c:yVal>
            <c:numRef>
              <c:f>Logistic!$H$145:$H$160</c:f>
              <c:numCache>
                <c:formatCode>General</c:formatCode>
                <c:ptCount val="16"/>
                <c:pt idx="0">
                  <c:v>5.4596058046350446</c:v>
                </c:pt>
                <c:pt idx="1">
                  <c:v>7.2368533537755564</c:v>
                </c:pt>
                <c:pt idx="2">
                  <c:v>8.5257404536433956</c:v>
                </c:pt>
                <c:pt idx="3">
                  <c:v>9.2944937226067275</c:v>
                </c:pt>
                <c:pt idx="4">
                  <c:v>9.7007072667995864</c:v>
                </c:pt>
                <c:pt idx="5">
                  <c:v>9.9016783664741421</c:v>
                </c:pt>
                <c:pt idx="6">
                  <c:v>9.9978692233882587</c:v>
                </c:pt>
                <c:pt idx="7">
                  <c:v>10.043179041196122</c:v>
                </c:pt>
                <c:pt idx="8">
                  <c:v>5.4596058046350446</c:v>
                </c:pt>
                <c:pt idx="9">
                  <c:v>7.2368533537755564</c:v>
                </c:pt>
                <c:pt idx="10">
                  <c:v>8.5257404536433956</c:v>
                </c:pt>
                <c:pt idx="11">
                  <c:v>9.2944937226067275</c:v>
                </c:pt>
                <c:pt idx="12">
                  <c:v>9.7007072667995864</c:v>
                </c:pt>
                <c:pt idx="13">
                  <c:v>9.9016783664741421</c:v>
                </c:pt>
                <c:pt idx="14">
                  <c:v>9.9978692233882587</c:v>
                </c:pt>
                <c:pt idx="15">
                  <c:v>10.043179041196122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BA-47D1-A8D5-6155FD7B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T=5°C</a:t>
            </a:r>
          </a:p>
        </c:rich>
      </c:tx>
      <c:layout/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'Gompertz Leg 4 Variables '!$G$3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'Gompertz Leg 4 Variables '!$C$4:$C$19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</c:numCache>
            </c:numRef>
          </c:xVal>
          <c:yVal>
            <c:numRef>
              <c:f>'Gompertz Leg 4 Variables '!$G$4:$G$19</c:f>
              <c:numCache>
                <c:formatCode>General</c:formatCode>
                <c:ptCount val="16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  <c:pt idx="8">
                  <c:v>4.4216778914261896</c:v>
                </c:pt>
                <c:pt idx="9">
                  <c:v>11.60350256331974</c:v>
                </c:pt>
                <c:pt idx="10">
                  <c:v>15.278880767539212</c:v>
                </c:pt>
                <c:pt idx="11">
                  <c:v>17.676840926821178</c:v>
                </c:pt>
                <c:pt idx="12">
                  <c:v>19.369078096815247</c:v>
                </c:pt>
                <c:pt idx="13">
                  <c:v>19.623476300347136</c:v>
                </c:pt>
                <c:pt idx="14">
                  <c:v>19.139083203575385</c:v>
                </c:pt>
                <c:pt idx="15">
                  <c:v>19.409240550465501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3-4EA3-B1A7-826C60B895C9}"/>
            </c:ext>
          </c:extLst>
        </c:ser>
        <c:ser>
          <c:idx val="1"/>
          <c:order val="1"/>
          <c:tx>
            <c:strRef>
              <c:f>'Gompertz Leg 4 Variables '!$H$3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'Gompertz Leg 4 Variables '!$C$4:$C$19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</c:numCache>
            </c:numRef>
          </c:xVal>
          <c:yVal>
            <c:numRef>
              <c:f>'Gompertz Leg 4 Variables '!$H$4:$H$19</c:f>
              <c:numCache>
                <c:formatCode>General</c:formatCode>
                <c:ptCount val="16"/>
                <c:pt idx="0">
                  <c:v>4.2197608647737068</c:v>
                </c:pt>
                <c:pt idx="1">
                  <c:v>10.527290659344029</c:v>
                </c:pt>
                <c:pt idx="2">
                  <c:v>15.151254663900488</c:v>
                </c:pt>
                <c:pt idx="3">
                  <c:v>17.119249533801092</c:v>
                </c:pt>
                <c:pt idx="4">
                  <c:v>18.649939425008657</c:v>
                </c:pt>
                <c:pt idx="5">
                  <c:v>19.112501313150783</c:v>
                </c:pt>
                <c:pt idx="6">
                  <c:v>19.304400632086409</c:v>
                </c:pt>
                <c:pt idx="7">
                  <c:v>19.383218633162759</c:v>
                </c:pt>
                <c:pt idx="8">
                  <c:v>4.2197608647737068</c:v>
                </c:pt>
                <c:pt idx="9">
                  <c:v>10.527290659344029</c:v>
                </c:pt>
                <c:pt idx="10">
                  <c:v>15.151254663900488</c:v>
                </c:pt>
                <c:pt idx="11">
                  <c:v>17.119249533801092</c:v>
                </c:pt>
                <c:pt idx="12">
                  <c:v>18.649939425008657</c:v>
                </c:pt>
                <c:pt idx="13">
                  <c:v>19.112501313150783</c:v>
                </c:pt>
                <c:pt idx="14">
                  <c:v>19.304400632086409</c:v>
                </c:pt>
                <c:pt idx="15">
                  <c:v>19.383218633162759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3-4EA3-B1A7-826C60B8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9154584392276"/>
          <c:y val="0.54915239555451612"/>
          <c:w val="0.25256942984735853"/>
          <c:h val="0.148515890959174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30°C</a:t>
            </a:r>
          </a:p>
        </c:rich>
      </c:tx>
      <c:layout/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'Gompertz Leg 4 Variables '!$G$48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'Gompertz Leg 4 Variables '!$C$49:$C$66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'Gompertz Leg 4 Variables '!$G$49:$G$66</c:f>
              <c:numCache>
                <c:formatCode>General</c:formatCode>
                <c:ptCount val="18"/>
                <c:pt idx="0">
                  <c:v>4.7257767241380932</c:v>
                </c:pt>
                <c:pt idx="1">
                  <c:v>10.987762847198796</c:v>
                </c:pt>
                <c:pt idx="2">
                  <c:v>12.120475770108067</c:v>
                </c:pt>
                <c:pt idx="3">
                  <c:v>13.431750206532667</c:v>
                </c:pt>
                <c:pt idx="4">
                  <c:v>14.275071946184864</c:v>
                </c:pt>
                <c:pt idx="5">
                  <c:v>13.844805871467324</c:v>
                </c:pt>
                <c:pt idx="6">
                  <c:v>14.385493158054379</c:v>
                </c:pt>
                <c:pt idx="7">
                  <c:v>14.755612834214133</c:v>
                </c:pt>
                <c:pt idx="8">
                  <c:v>15.5895219721172</c:v>
                </c:pt>
                <c:pt idx="9">
                  <c:v>4.6123170509134708</c:v>
                </c:pt>
                <c:pt idx="10">
                  <c:v>11.58671656832378</c:v>
                </c:pt>
                <c:pt idx="11">
                  <c:v>13.905771941963929</c:v>
                </c:pt>
                <c:pt idx="12">
                  <c:v>13.73244653458109</c:v>
                </c:pt>
                <c:pt idx="13">
                  <c:v>15.083603278338019</c:v>
                </c:pt>
                <c:pt idx="14">
                  <c:v>14.768333497796572</c:v>
                </c:pt>
                <c:pt idx="15">
                  <c:v>15.391045080073241</c:v>
                </c:pt>
                <c:pt idx="16">
                  <c:v>14.964540395536945</c:v>
                </c:pt>
                <c:pt idx="17">
                  <c:v>15.815979933473269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C-44FC-A2FC-8D19B9948109}"/>
            </c:ext>
          </c:extLst>
        </c:ser>
        <c:ser>
          <c:idx val="1"/>
          <c:order val="1"/>
          <c:tx>
            <c:strRef>
              <c:f>'Gompertz Leg 4 Variables '!$H$48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'Gompertz Leg 4 Variables '!$C$49:$C$66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18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42</c:v>
                </c:pt>
                <c:pt idx="17">
                  <c:v>48</c:v>
                </c:pt>
              </c:numCache>
            </c:numRef>
          </c:xVal>
          <c:yVal>
            <c:numRef>
              <c:f>'Gompertz Leg 4 Variables '!$H$49:$H$66</c:f>
              <c:numCache>
                <c:formatCode>General</c:formatCode>
                <c:ptCount val="18"/>
                <c:pt idx="0">
                  <c:v>4.8009451085172259</c:v>
                </c:pt>
                <c:pt idx="1">
                  <c:v>10.779962401306875</c:v>
                </c:pt>
                <c:pt idx="2">
                  <c:v>13.216241586605975</c:v>
                </c:pt>
                <c:pt idx="3">
                  <c:v>14.20856679010376</c:v>
                </c:pt>
                <c:pt idx="4">
                  <c:v>14.612688003874609</c:v>
                </c:pt>
                <c:pt idx="5">
                  <c:v>14.77725435492448</c:v>
                </c:pt>
                <c:pt idx="6">
                  <c:v>14.844267335175573</c:v>
                </c:pt>
                <c:pt idx="7">
                  <c:v>14.871555362653453</c:v>
                </c:pt>
                <c:pt idx="8">
                  <c:v>14.882667137895623</c:v>
                </c:pt>
                <c:pt idx="9">
                  <c:v>4.8009451085172259</c:v>
                </c:pt>
                <c:pt idx="10">
                  <c:v>10.779962401306875</c:v>
                </c:pt>
                <c:pt idx="11">
                  <c:v>13.216241586605975</c:v>
                </c:pt>
                <c:pt idx="12">
                  <c:v>14.20856679010376</c:v>
                </c:pt>
                <c:pt idx="13">
                  <c:v>14.612688003874609</c:v>
                </c:pt>
                <c:pt idx="14">
                  <c:v>14.77725435492448</c:v>
                </c:pt>
                <c:pt idx="15">
                  <c:v>14.844267335175573</c:v>
                </c:pt>
                <c:pt idx="16">
                  <c:v>14.871555362653453</c:v>
                </c:pt>
                <c:pt idx="17">
                  <c:v>14.882667137895623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1C-44FC-A2FC-8D19B994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'Gompertz Leg 4 Variables '!$G$93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'Gompertz Leg 4 Variables '!$C$94:$C$111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'Gompertz Leg 4 Variables '!$G$94:$G$111</c:f>
              <c:numCache>
                <c:formatCode>General</c:formatCode>
                <c:ptCount val="18"/>
                <c:pt idx="0">
                  <c:v>4.8584545462174367</c:v>
                </c:pt>
                <c:pt idx="1">
                  <c:v>9.0031077136067204</c:v>
                </c:pt>
                <c:pt idx="2">
                  <c:v>9.9011158998743962</c:v>
                </c:pt>
                <c:pt idx="3">
                  <c:v>9.5096764340654101</c:v>
                </c:pt>
                <c:pt idx="4">
                  <c:v>9.2794179247660047</c:v>
                </c:pt>
                <c:pt idx="5">
                  <c:v>9.6017798377851715</c:v>
                </c:pt>
                <c:pt idx="6">
                  <c:v>9.4405988812755872</c:v>
                </c:pt>
                <c:pt idx="7">
                  <c:v>10.453736322192968</c:v>
                </c:pt>
                <c:pt idx="8">
                  <c:v>9.8550641980145173</c:v>
                </c:pt>
                <c:pt idx="9">
                  <c:v>6.3781607075935076</c:v>
                </c:pt>
                <c:pt idx="10">
                  <c:v>10.016245154524098</c:v>
                </c:pt>
                <c:pt idx="11">
                  <c:v>10.822149937072016</c:v>
                </c:pt>
                <c:pt idx="12">
                  <c:v>10.983330893581599</c:v>
                </c:pt>
                <c:pt idx="13">
                  <c:v>10.822149937072016</c:v>
                </c:pt>
                <c:pt idx="14">
                  <c:v>11.07543429730136</c:v>
                </c:pt>
                <c:pt idx="15">
                  <c:v>11.07543429730136</c:v>
                </c:pt>
                <c:pt idx="16">
                  <c:v>11.144511850091181</c:v>
                </c:pt>
                <c:pt idx="17">
                  <c:v>11.674106421479813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A-4201-A09F-A4B5234AF962}"/>
            </c:ext>
          </c:extLst>
        </c:ser>
        <c:ser>
          <c:idx val="1"/>
          <c:order val="1"/>
          <c:tx>
            <c:strRef>
              <c:f>'Gompertz Leg 4 Variables '!$H$93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'Gompertz Leg 4 Variables '!$C$94:$C$111</c:f>
              <c:numCache>
                <c:formatCode>General</c:formatCode>
                <c:ptCount val="1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0</c:v>
                </c:pt>
                <c:pt idx="10">
                  <c:v>12</c:v>
                </c:pt>
                <c:pt idx="11">
                  <c:v>24</c:v>
                </c:pt>
                <c:pt idx="12">
                  <c:v>36</c:v>
                </c:pt>
                <c:pt idx="13">
                  <c:v>48</c:v>
                </c:pt>
                <c:pt idx="14">
                  <c:v>60</c:v>
                </c:pt>
                <c:pt idx="15">
                  <c:v>72</c:v>
                </c:pt>
                <c:pt idx="16">
                  <c:v>84</c:v>
                </c:pt>
                <c:pt idx="17">
                  <c:v>96</c:v>
                </c:pt>
              </c:numCache>
            </c:numRef>
          </c:xVal>
          <c:yVal>
            <c:numRef>
              <c:f>'Gompertz Leg 4 Variables '!$H$94:$H$111</c:f>
              <c:numCache>
                <c:formatCode>General</c:formatCode>
                <c:ptCount val="18"/>
                <c:pt idx="0">
                  <c:v>5.6188412619982415</c:v>
                </c:pt>
                <c:pt idx="1">
                  <c:v>9.5209414556512968</c:v>
                </c:pt>
                <c:pt idx="2">
                  <c:v>10.262601612476644</c:v>
                </c:pt>
                <c:pt idx="3">
                  <c:v>10.399771773975488</c:v>
                </c:pt>
                <c:pt idx="4">
                  <c:v>10.425014001348202</c:v>
                </c:pt>
                <c:pt idx="5">
                  <c:v>10.429654808100409</c:v>
                </c:pt>
                <c:pt idx="6">
                  <c:v>10.430507879443127</c:v>
                </c:pt>
                <c:pt idx="7">
                  <c:v>10.430664685787335</c:v>
                </c:pt>
                <c:pt idx="8">
                  <c:v>10.430693508802378</c:v>
                </c:pt>
                <c:pt idx="9">
                  <c:v>5.6188412619982415</c:v>
                </c:pt>
                <c:pt idx="10">
                  <c:v>9.5209414556512968</c:v>
                </c:pt>
                <c:pt idx="11">
                  <c:v>10.262601612476644</c:v>
                </c:pt>
                <c:pt idx="12">
                  <c:v>10.399771773975488</c:v>
                </c:pt>
                <c:pt idx="13">
                  <c:v>10.425014001348202</c:v>
                </c:pt>
                <c:pt idx="14">
                  <c:v>10.429654808100409</c:v>
                </c:pt>
                <c:pt idx="15">
                  <c:v>10.430507879443127</c:v>
                </c:pt>
                <c:pt idx="16">
                  <c:v>10.430664685787335</c:v>
                </c:pt>
                <c:pt idx="17">
                  <c:v>10.430693508802378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A-4201-A09F-A4B5234A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15°C</a:t>
            </a:r>
          </a:p>
        </c:rich>
      </c:tx>
      <c:layout/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'Gompertz Leg 4 Variables '!$G$138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'Gompertz Leg 4 Variables '!$C$139:$C$154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xVal>
          <c:yVal>
            <c:numRef>
              <c:f>'Gompertz Leg 4 Variables '!$G$139:$G$154</c:f>
              <c:numCache>
                <c:formatCode>General</c:formatCode>
                <c:ptCount val="16"/>
                <c:pt idx="0">
                  <c:v>5.406262970946627</c:v>
                </c:pt>
                <c:pt idx="1">
                  <c:v>7.7574957301680012</c:v>
                </c:pt>
                <c:pt idx="2">
                  <c:v>8.3275764894606183</c:v>
                </c:pt>
                <c:pt idx="3">
                  <c:v>9.2579601204688835</c:v>
                </c:pt>
                <c:pt idx="4">
                  <c:v>10.480881608378359</c:v>
                </c:pt>
                <c:pt idx="5">
                  <c:v>10.517271175039998</c:v>
                </c:pt>
                <c:pt idx="6">
                  <c:v>10.478613283448963</c:v>
                </c:pt>
                <c:pt idx="7">
                  <c:v>9.8087026326735014</c:v>
                </c:pt>
                <c:pt idx="8">
                  <c:v>5.3541032545700178</c:v>
                </c:pt>
                <c:pt idx="9">
                  <c:v>7.3698847288440179</c:v>
                </c:pt>
                <c:pt idx="10">
                  <c:v>7.9469301425958516</c:v>
                </c:pt>
                <c:pt idx="11">
                  <c:v>8.8627406780117788</c:v>
                </c:pt>
                <c:pt idx="12">
                  <c:v>9.8350427601139145</c:v>
                </c:pt>
                <c:pt idx="13">
                  <c:v>9.8426509871066212</c:v>
                </c:pt>
                <c:pt idx="14">
                  <c:v>9.9091724240666128</c:v>
                </c:pt>
                <c:pt idx="15">
                  <c:v>9.162610771753867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8E-497D-AB79-D6D47396BB8B}"/>
            </c:ext>
          </c:extLst>
        </c:ser>
        <c:ser>
          <c:idx val="1"/>
          <c:order val="1"/>
          <c:tx>
            <c:strRef>
              <c:f>'Gompertz Leg 4 Variables '!$H$138</c:f>
              <c:strCache>
                <c:ptCount val="1"/>
                <c:pt idx="0">
                  <c:v>Predicted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'Gompertz Leg 4 Variables '!$C$139:$C$154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xVal>
          <c:yVal>
            <c:numRef>
              <c:f>'Gompertz Leg 4 Variables '!$H$139:$H$154</c:f>
              <c:numCache>
                <c:formatCode>General</c:formatCode>
                <c:ptCount val="16"/>
                <c:pt idx="0">
                  <c:v>5.4346101998110257</c:v>
                </c:pt>
                <c:pt idx="1">
                  <c:v>7.2757307507711904</c:v>
                </c:pt>
                <c:pt idx="2">
                  <c:v>8.5400915396604287</c:v>
                </c:pt>
                <c:pt idx="3">
                  <c:v>9.2817019742388887</c:v>
                </c:pt>
                <c:pt idx="4">
                  <c:v>9.683298590995431</c:v>
                </c:pt>
                <c:pt idx="5">
                  <c:v>9.8922055538033362</c:v>
                </c:pt>
                <c:pt idx="6">
                  <c:v>9.998709763912661</c:v>
                </c:pt>
                <c:pt idx="7">
                  <c:v>10.052462661868415</c:v>
                </c:pt>
                <c:pt idx="8">
                  <c:v>5.4346101998110257</c:v>
                </c:pt>
                <c:pt idx="9">
                  <c:v>7.2757307507711904</c:v>
                </c:pt>
                <c:pt idx="10">
                  <c:v>8.5400915396604287</c:v>
                </c:pt>
                <c:pt idx="11">
                  <c:v>9.2817019742388887</c:v>
                </c:pt>
                <c:pt idx="12">
                  <c:v>9.683298590995431</c:v>
                </c:pt>
                <c:pt idx="13">
                  <c:v>9.8922055538033362</c:v>
                </c:pt>
                <c:pt idx="14">
                  <c:v>9.998709763912661</c:v>
                </c:pt>
                <c:pt idx="15">
                  <c:v>10.052462661868415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8E-497D-AB79-D6D47396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T=5°C</a:t>
            </a:r>
          </a:p>
        </c:rich>
      </c:tx>
      <c:layout/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14876190074092E-2"/>
          <c:y val="0.15263374485596709"/>
          <c:w val="0.7222769204787739"/>
          <c:h val="0.66463659635138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'Baranyi&amp;Roberts ComBase'!$G$2</c:f>
              <c:strCache>
                <c:ptCount val="1"/>
                <c:pt idx="0">
                  <c:v>Actual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'Baranyi&amp;Roberts ComBase'!$C$3:$C$18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11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</c:numCache>
            </c:numRef>
          </c:xVal>
          <c:yVal>
            <c:numRef>
              <c:f>'Baranyi&amp;Roberts ComBase'!$G$3:$G$18</c:f>
              <c:numCache>
                <c:formatCode>General</c:formatCode>
                <c:ptCount val="16"/>
                <c:pt idx="0">
                  <c:v>3.9859355670690566</c:v>
                </c:pt>
                <c:pt idx="1">
                  <c:v>9.6480747409851588</c:v>
                </c:pt>
                <c:pt idx="2">
                  <c:v>14.55334356149616</c:v>
                </c:pt>
                <c:pt idx="3">
                  <c:v>16.777932402151116</c:v>
                </c:pt>
                <c:pt idx="4">
                  <c:v>18.09306213968998</c:v>
                </c:pt>
                <c:pt idx="5">
                  <c:v>19.236709795131862</c:v>
                </c:pt>
                <c:pt idx="6">
                  <c:v>18.815255434952412</c:v>
                </c:pt>
                <c:pt idx="7">
                  <c:v>19.303034414025859</c:v>
                </c:pt>
                <c:pt idx="8">
                  <c:v>4.4216778914261896</c:v>
                </c:pt>
                <c:pt idx="9">
                  <c:v>11.60350256331974</c:v>
                </c:pt>
                <c:pt idx="10">
                  <c:v>15.278880767539212</c:v>
                </c:pt>
                <c:pt idx="11">
                  <c:v>17.676840926821178</c:v>
                </c:pt>
                <c:pt idx="12">
                  <c:v>19.369078096815247</c:v>
                </c:pt>
                <c:pt idx="13">
                  <c:v>19.623476300347136</c:v>
                </c:pt>
                <c:pt idx="14">
                  <c:v>19.139083203575385</c:v>
                </c:pt>
                <c:pt idx="15">
                  <c:v>19.409240550465501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E-475E-85E5-9B41AEF9BF3A}"/>
            </c:ext>
          </c:extLst>
        </c:ser>
        <c:ser>
          <c:idx val="1"/>
          <c:order val="1"/>
          <c:tx>
            <c:strRef>
              <c:f>'Baranyi&amp;Roberts ComBase'!$I$2</c:f>
              <c:strCache>
                <c:ptCount val="1"/>
                <c:pt idx="0">
                  <c:v>Preducted Ln CFU/g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'Baranyi&amp;Roberts ComBase'!$C$3:$C$10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</c:numCache>
            </c:numRef>
          </c:xVal>
          <c:yVal>
            <c:numRef>
              <c:f>'Baranyi&amp;Roberts ComBase'!$I$3:$I$18</c:f>
              <c:numCache>
                <c:formatCode>General</c:formatCode>
                <c:ptCount val="16"/>
                <c:pt idx="0">
                  <c:v>4.7149999999999999</c:v>
                </c:pt>
                <c:pt idx="1">
                  <c:v>9.7989067345641541</c:v>
                </c:pt>
                <c:pt idx="2">
                  <c:v>14.867964863248982</c:v>
                </c:pt>
                <c:pt idx="3">
                  <c:v>18.173609889773157</c:v>
                </c:pt>
                <c:pt idx="4">
                  <c:v>19.070269822793904</c:v>
                </c:pt>
                <c:pt idx="5">
                  <c:v>19.072784305628744</c:v>
                </c:pt>
                <c:pt idx="6">
                  <c:v>19.072799902771369</c:v>
                </c:pt>
                <c:pt idx="7">
                  <c:v>19.072799999397667</c:v>
                </c:pt>
                <c:pt idx="8">
                  <c:v>4.7149999999999999</c:v>
                </c:pt>
                <c:pt idx="9">
                  <c:v>9.7989067345641541</c:v>
                </c:pt>
                <c:pt idx="10">
                  <c:v>14.867964863248982</c:v>
                </c:pt>
                <c:pt idx="11">
                  <c:v>18.173609889773157</c:v>
                </c:pt>
                <c:pt idx="12">
                  <c:v>19.070269822793904</c:v>
                </c:pt>
                <c:pt idx="13">
                  <c:v>19.072784305628744</c:v>
                </c:pt>
                <c:pt idx="14">
                  <c:v>19.072799902771369</c:v>
                </c:pt>
                <c:pt idx="15">
                  <c:v>19.072799999397667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E-475E-85E5-9B41AEF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208"/>
        <c:axId val="456307552"/>
      </c:scatterChart>
      <c:valAx>
        <c:axId val="45630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7552"/>
        <c:crosses val="autoZero"/>
        <c:crossBetween val="midCat"/>
      </c:valAx>
      <c:valAx>
        <c:axId val="45630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CFU/g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0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7.xml"/><Relationship Id="rId7" Type="http://schemas.openxmlformats.org/officeDocument/2006/relationships/chart" Target="../charts/chart8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chart" Target="../charts/chart11.xml"/><Relationship Id="rId7" Type="http://schemas.openxmlformats.org/officeDocument/2006/relationships/chart" Target="../charts/chart12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200025</xdr:rowOff>
    </xdr:from>
    <xdr:to>
      <xdr:col>12</xdr:col>
      <xdr:colOff>1314450</xdr:colOff>
      <xdr:row>41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971550</xdr:colOff>
      <xdr:row>70</xdr:row>
      <xdr:rowOff>19050</xdr:rowOff>
    </xdr:from>
    <xdr:to>
      <xdr:col>13</xdr:col>
      <xdr:colOff>1466850</xdr:colOff>
      <xdr:row>92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123</xdr:row>
      <xdr:rowOff>9525</xdr:rowOff>
    </xdr:from>
    <xdr:to>
      <xdr:col>12</xdr:col>
      <xdr:colOff>1371600</xdr:colOff>
      <xdr:row>137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295276</xdr:colOff>
      <xdr:row>25</xdr:row>
      <xdr:rowOff>200026</xdr:rowOff>
    </xdr:from>
    <xdr:to>
      <xdr:col>7</xdr:col>
      <xdr:colOff>304800</xdr:colOff>
      <xdr:row>41</xdr:row>
      <xdr:rowOff>38971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76" y="5029201"/>
          <a:ext cx="3667124" cy="3267945"/>
        </a:xfrm>
        <a:prstGeom prst="rect">
          <a:avLst/>
        </a:prstGeom>
      </xdr:spPr>
    </xdr:pic>
    <xdr:clientData/>
  </xdr:twoCellAnchor>
  <xdr:twoCellAnchor>
    <xdr:from>
      <xdr:col>9</xdr:col>
      <xdr:colOff>90488</xdr:colOff>
      <xdr:row>168</xdr:row>
      <xdr:rowOff>90487</xdr:rowOff>
    </xdr:from>
    <xdr:to>
      <xdr:col>12</xdr:col>
      <xdr:colOff>1438275</xdr:colOff>
      <xdr:row>183</xdr:row>
      <xdr:rowOff>61912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452437</xdr:colOff>
      <xdr:row>167</xdr:row>
      <xdr:rowOff>142874</xdr:rowOff>
    </xdr:from>
    <xdr:to>
      <xdr:col>8</xdr:col>
      <xdr:colOff>714159</xdr:colOff>
      <xdr:row>187</xdr:row>
      <xdr:rowOff>95249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0687" y="32670749"/>
          <a:ext cx="4245213" cy="37623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120</xdr:row>
      <xdr:rowOff>142876</xdr:rowOff>
    </xdr:from>
    <xdr:to>
      <xdr:col>8</xdr:col>
      <xdr:colOff>636134</xdr:colOff>
      <xdr:row>140</xdr:row>
      <xdr:rowOff>145852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" y="23717251"/>
          <a:ext cx="4000500" cy="3812976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598715</xdr:colOff>
      <xdr:row>70</xdr:row>
      <xdr:rowOff>57830</xdr:rowOff>
    </xdr:from>
    <xdr:to>
      <xdr:col>8</xdr:col>
      <xdr:colOff>430961</xdr:colOff>
      <xdr:row>91</xdr:row>
      <xdr:rowOff>153079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8715" y="14127616"/>
          <a:ext cx="4989353" cy="4095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26</xdr:row>
      <xdr:rowOff>95250</xdr:rowOff>
    </xdr:from>
    <xdr:to>
      <xdr:col>13</xdr:col>
      <xdr:colOff>1009650</xdr:colOff>
      <xdr:row>43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318247</xdr:colOff>
      <xdr:row>72</xdr:row>
      <xdr:rowOff>110939</xdr:rowOff>
    </xdr:from>
    <xdr:to>
      <xdr:col>13</xdr:col>
      <xdr:colOff>1199590</xdr:colOff>
      <xdr:row>90</xdr:row>
      <xdr:rowOff>139513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46503</xdr:colOff>
      <xdr:row>118</xdr:row>
      <xdr:rowOff>54349</xdr:rowOff>
    </xdr:from>
    <xdr:to>
      <xdr:col>13</xdr:col>
      <xdr:colOff>1204071</xdr:colOff>
      <xdr:row>135</xdr:row>
      <xdr:rowOff>187699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164726</xdr:colOff>
      <xdr:row>119</xdr:row>
      <xdr:rowOff>175934</xdr:rowOff>
    </xdr:from>
    <xdr:to>
      <xdr:col>6</xdr:col>
      <xdr:colOff>445994</xdr:colOff>
      <xdr:row>135</xdr:row>
      <xdr:rowOff>178489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9844" y="22027405"/>
          <a:ext cx="3306856" cy="3050555"/>
        </a:xfrm>
        <a:prstGeom prst="rect">
          <a:avLst/>
        </a:prstGeom>
      </xdr:spPr>
    </xdr:pic>
    <xdr:clientData/>
  </xdr:twoCellAnchor>
  <xdr:twoCellAnchor editAs="oneCell">
    <xdr:from>
      <xdr:col>2</xdr:col>
      <xdr:colOff>89648</xdr:colOff>
      <xdr:row>28</xdr:row>
      <xdr:rowOff>44823</xdr:rowOff>
    </xdr:from>
    <xdr:to>
      <xdr:col>6</xdr:col>
      <xdr:colOff>896471</xdr:colOff>
      <xdr:row>44</xdr:row>
      <xdr:rowOff>189038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9883" y="5423647"/>
          <a:ext cx="3227294" cy="3192215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246530</xdr:colOff>
      <xdr:row>72</xdr:row>
      <xdr:rowOff>145677</xdr:rowOff>
    </xdr:from>
    <xdr:to>
      <xdr:col>7</xdr:col>
      <xdr:colOff>358587</xdr:colOff>
      <xdr:row>90</xdr:row>
      <xdr:rowOff>143645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5" y="14713324"/>
          <a:ext cx="3753969" cy="3426968"/>
        </a:xfrm>
        <a:prstGeom prst="rect">
          <a:avLst/>
        </a:prstGeom>
      </xdr:spPr>
    </xdr:pic>
    <xdr:clientData/>
  </xdr:twoCellAnchor>
  <xdr:twoCellAnchor>
    <xdr:from>
      <xdr:col>7</xdr:col>
      <xdr:colOff>1378324</xdr:colOff>
      <xdr:row>161</xdr:row>
      <xdr:rowOff>56029</xdr:rowOff>
    </xdr:from>
    <xdr:to>
      <xdr:col>14</xdr:col>
      <xdr:colOff>268942</xdr:colOff>
      <xdr:row>186</xdr:row>
      <xdr:rowOff>44823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353787</xdr:colOff>
      <xdr:row>161</xdr:row>
      <xdr:rowOff>81643</xdr:rowOff>
    </xdr:from>
    <xdr:to>
      <xdr:col>7</xdr:col>
      <xdr:colOff>598715</xdr:colOff>
      <xdr:row>186</xdr:row>
      <xdr:rowOff>146244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3787" y="30969857"/>
          <a:ext cx="5143499" cy="4827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24</xdr:row>
      <xdr:rowOff>123825</xdr:rowOff>
    </xdr:from>
    <xdr:to>
      <xdr:col>13</xdr:col>
      <xdr:colOff>361950</xdr:colOff>
      <xdr:row>40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933449</xdr:colOff>
      <xdr:row>67</xdr:row>
      <xdr:rowOff>66674</xdr:rowOff>
    </xdr:from>
    <xdr:to>
      <xdr:col>14</xdr:col>
      <xdr:colOff>180974</xdr:colOff>
      <xdr:row>84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408215</xdr:colOff>
      <xdr:row>110</xdr:row>
      <xdr:rowOff>53069</xdr:rowOff>
    </xdr:from>
    <xdr:to>
      <xdr:col>14</xdr:col>
      <xdr:colOff>571500</xdr:colOff>
      <xdr:row>124</xdr:row>
      <xdr:rowOff>108857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25</xdr:row>
      <xdr:rowOff>66676</xdr:rowOff>
    </xdr:from>
    <xdr:to>
      <xdr:col>6</xdr:col>
      <xdr:colOff>767443</xdr:colOff>
      <xdr:row>41</xdr:row>
      <xdr:rowOff>34260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8650" y="5429251"/>
          <a:ext cx="5324475" cy="301558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68</xdr:row>
      <xdr:rowOff>9525</xdr:rowOff>
    </xdr:from>
    <xdr:to>
      <xdr:col>6</xdr:col>
      <xdr:colOff>662668</xdr:colOff>
      <xdr:row>83</xdr:row>
      <xdr:rowOff>127426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5" y="13020675"/>
          <a:ext cx="5191125" cy="29754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7</xdr:col>
      <xdr:colOff>1109311</xdr:colOff>
      <xdr:row>122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1250275"/>
          <a:ext cx="6674632" cy="2686050"/>
        </a:xfrm>
        <a:prstGeom prst="rect">
          <a:avLst/>
        </a:prstGeom>
      </xdr:spPr>
    </xdr:pic>
    <xdr:clientData/>
  </xdr:twoCellAnchor>
  <xdr:twoCellAnchor>
    <xdr:from>
      <xdr:col>8</xdr:col>
      <xdr:colOff>625928</xdr:colOff>
      <xdr:row>151</xdr:row>
      <xdr:rowOff>108857</xdr:rowOff>
    </xdr:from>
    <xdr:to>
      <xdr:col>15</xdr:col>
      <xdr:colOff>557892</xdr:colOff>
      <xdr:row>171</xdr:row>
      <xdr:rowOff>108856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1</xdr:colOff>
      <xdr:row>152</xdr:row>
      <xdr:rowOff>1</xdr:rowOff>
    </xdr:from>
    <xdr:to>
      <xdr:col>7</xdr:col>
      <xdr:colOff>1076123</xdr:colOff>
      <xdr:row>171</xdr:row>
      <xdr:rowOff>108857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2322" y="29146501"/>
          <a:ext cx="6668658" cy="37283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590549</xdr:colOff>
      <xdr:row>24</xdr:row>
      <xdr:rowOff>85725</xdr:rowOff>
    </xdr:from>
    <xdr:to>
      <xdr:col>27</xdr:col>
      <xdr:colOff>809625</xdr:colOff>
      <xdr:row>45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319087</xdr:colOff>
      <xdr:row>77</xdr:row>
      <xdr:rowOff>123824</xdr:rowOff>
    </xdr:from>
    <xdr:to>
      <xdr:col>10</xdr:col>
      <xdr:colOff>638737</xdr:colOff>
      <xdr:row>97</xdr:row>
      <xdr:rowOff>22411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571500</xdr:colOff>
      <xdr:row>7</xdr:row>
      <xdr:rowOff>142875</xdr:rowOff>
    </xdr:from>
    <xdr:to>
      <xdr:col>27</xdr:col>
      <xdr:colOff>704850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23812</xdr:colOff>
      <xdr:row>48</xdr:row>
      <xdr:rowOff>28575</xdr:rowOff>
    </xdr:from>
    <xdr:to>
      <xdr:col>27</xdr:col>
      <xdr:colOff>904875</xdr:colOff>
      <xdr:row>63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865670</xdr:colOff>
      <xdr:row>78</xdr:row>
      <xdr:rowOff>42289</xdr:rowOff>
    </xdr:from>
    <xdr:to>
      <xdr:col>15</xdr:col>
      <xdr:colOff>705971</xdr:colOff>
      <xdr:row>98</xdr:row>
      <xdr:rowOff>67234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1266265</xdr:colOff>
      <xdr:row>78</xdr:row>
      <xdr:rowOff>0</xdr:rowOff>
    </xdr:from>
    <xdr:to>
      <xdr:col>21</xdr:col>
      <xdr:colOff>437029</xdr:colOff>
      <xdr:row>98</xdr:row>
      <xdr:rowOff>22411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108857</xdr:rowOff>
    </xdr:from>
    <xdr:to>
      <xdr:col>10</xdr:col>
      <xdr:colOff>503464</xdr:colOff>
      <xdr:row>58</xdr:row>
      <xdr:rowOff>122465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530679</xdr:colOff>
      <xdr:row>28</xdr:row>
      <xdr:rowOff>176894</xdr:rowOff>
    </xdr:from>
    <xdr:to>
      <xdr:col>22</xdr:col>
      <xdr:colOff>557893</xdr:colOff>
      <xdr:row>58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353786</xdr:colOff>
      <xdr:row>29</xdr:row>
      <xdr:rowOff>40822</xdr:rowOff>
    </xdr:from>
    <xdr:to>
      <xdr:col>36</xdr:col>
      <xdr:colOff>136071</xdr:colOff>
      <xdr:row>58</xdr:row>
      <xdr:rowOff>149678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48</xdr:col>
      <xdr:colOff>176893</xdr:colOff>
      <xdr:row>58</xdr:row>
      <xdr:rowOff>68036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nderaimadamba/Downloads/Copy%20of%20TonderaiMadambaHomework%20(1)RG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stic"/>
      <sheetName val="Summary"/>
      <sheetName val="Gompertz Leg 4 Variables "/>
      <sheetName val="Baranyi&amp;Roberts ComBase"/>
      <sheetName val="SecondaryModel"/>
    </sheetNames>
    <sheetDataSet>
      <sheetData sheetId="0" refreshError="1"/>
      <sheetData sheetId="1">
        <row r="29">
          <cell r="F29" t="str">
            <v>Actual</v>
          </cell>
          <cell r="G29" t="str">
            <v>Logistic</v>
          </cell>
          <cell r="H29" t="str">
            <v>Gompertz</v>
          </cell>
          <cell r="I29" t="str">
            <v>Baranyi</v>
          </cell>
        </row>
        <row r="30">
          <cell r="E30">
            <v>0</v>
          </cell>
          <cell r="F30">
            <v>8.7498233533773746</v>
          </cell>
          <cell r="G30">
            <v>8.3550197955445267</v>
          </cell>
          <cell r="H30">
            <v>8.9801000000000002</v>
          </cell>
          <cell r="I30">
            <v>8.8510000000000009</v>
          </cell>
        </row>
        <row r="31">
          <cell r="E31">
            <v>20</v>
          </cell>
          <cell r="F31">
            <v>9.2103403719761836</v>
          </cell>
          <cell r="G31">
            <v>9.6206967550212887</v>
          </cell>
          <cell r="H31">
            <v>8.9801000000000002</v>
          </cell>
          <cell r="I31">
            <v>9.2350983035008767</v>
          </cell>
        </row>
        <row r="32">
          <cell r="E32">
            <v>70</v>
          </cell>
          <cell r="F32">
            <v>11.512925464970229</v>
          </cell>
          <cell r="G32">
            <v>12.002288706142449</v>
          </cell>
          <cell r="H32">
            <v>11.512848914239722</v>
          </cell>
          <cell r="I32">
            <v>11.565820134501044</v>
          </cell>
        </row>
        <row r="33">
          <cell r="E33">
            <v>110</v>
          </cell>
          <cell r="F33">
            <v>13.815510557964274</v>
          </cell>
          <cell r="G33">
            <v>13.06834538833122</v>
          </cell>
          <cell r="H33">
            <v>13.817193590094995</v>
          </cell>
          <cell r="I33">
            <v>13.353556446461514</v>
          </cell>
        </row>
        <row r="34">
          <cell r="E34">
            <v>170</v>
          </cell>
          <cell r="F34">
            <v>14.045769067263679</v>
          </cell>
          <cell r="G34">
            <v>13.786468564989908</v>
          </cell>
          <cell r="H34">
            <v>13.929665517504638</v>
          </cell>
          <cell r="I34">
            <v>13.930104332194375</v>
          </cell>
        </row>
        <row r="35">
          <cell r="E35">
            <v>200</v>
          </cell>
          <cell r="F35">
            <v>13.815510557964274</v>
          </cell>
          <cell r="G35">
            <v>13.939907192972029</v>
          </cell>
          <cell r="H35">
            <v>13.930341173162564</v>
          </cell>
          <cell r="I35">
            <v>13.945316143564499</v>
          </cell>
        </row>
        <row r="36">
          <cell r="E36">
            <v>285</v>
          </cell>
          <cell r="F36">
            <v>13.585252048664872</v>
          </cell>
          <cell r="G36">
            <v>14.100446315384113</v>
          </cell>
          <cell r="H36">
            <v>13.930399953973222</v>
          </cell>
          <cell r="I36">
            <v>13.947987831391346</v>
          </cell>
        </row>
        <row r="37">
          <cell r="E37">
            <v>360</v>
          </cell>
          <cell r="F37">
            <v>14.276027576563084</v>
          </cell>
          <cell r="G37">
            <v>14.130135830741441</v>
          </cell>
          <cell r="H37">
            <v>13.930399999916455</v>
          </cell>
          <cell r="I37">
            <v>13.947999896028072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2"/>
  <sheetViews>
    <sheetView topLeftCell="A127" zoomScale="70" zoomScaleNormal="70" workbookViewId="0">
      <selection activeCell="Q30" sqref="Q30"/>
    </sheetView>
  </sheetViews>
  <sheetFormatPr defaultRowHeight="15" x14ac:dyDescent="0.25"/>
  <cols>
    <col min="5" max="5" width="9.140625" style="11"/>
    <col min="8" max="8" width="13.140625" customWidth="1"/>
    <col min="9" max="11" width="18.85546875" customWidth="1"/>
    <col min="12" max="13" width="21.7109375" customWidth="1"/>
    <col min="14" max="14" width="23.28515625" customWidth="1"/>
    <col min="18" max="18" width="11.28515625" customWidth="1"/>
    <col min="19" max="19" width="13.7109375" customWidth="1"/>
    <col min="20" max="20" width="11.5703125" customWidth="1"/>
  </cols>
  <sheetData>
    <row r="1" spans="1:22" x14ac:dyDescent="0.25">
      <c r="A1" s="1"/>
      <c r="B1" s="1"/>
      <c r="C1" s="1"/>
      <c r="D1" s="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ht="15.75" thickBot="1" x14ac:dyDescent="0.3">
      <c r="A2" s="1"/>
      <c r="B2" s="1"/>
      <c r="C2" s="1"/>
      <c r="D2" s="1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0" t="s">
        <v>55</v>
      </c>
      <c r="C3" s="2" t="s">
        <v>1</v>
      </c>
      <c r="D3" s="2" t="s">
        <v>2</v>
      </c>
      <c r="E3" s="2"/>
      <c r="F3" s="2" t="s">
        <v>7</v>
      </c>
      <c r="G3" s="2" t="s">
        <v>5</v>
      </c>
      <c r="H3" s="2" t="s">
        <v>16</v>
      </c>
      <c r="I3" s="2" t="s">
        <v>17</v>
      </c>
      <c r="J3" s="2" t="s">
        <v>39</v>
      </c>
      <c r="K3" s="2" t="s">
        <v>38</v>
      </c>
      <c r="L3" s="2" t="s">
        <v>36</v>
      </c>
      <c r="M3" s="2" t="s">
        <v>21</v>
      </c>
      <c r="N3" s="3" t="s">
        <v>20</v>
      </c>
      <c r="O3" s="1"/>
      <c r="P3" s="1"/>
      <c r="Q3" s="8"/>
      <c r="R3" s="15" t="s">
        <v>14</v>
      </c>
      <c r="S3" s="12" t="s">
        <v>8</v>
      </c>
      <c r="T3" s="12" t="s">
        <v>9</v>
      </c>
      <c r="U3" s="3" t="s">
        <v>10</v>
      </c>
    </row>
    <row r="4" spans="1:22" ht="15.75" thickBot="1" x14ac:dyDescent="0.3">
      <c r="A4" s="1"/>
      <c r="B4" s="4"/>
      <c r="C4" s="53">
        <v>0</v>
      </c>
      <c r="D4" s="53">
        <v>1.731069822</v>
      </c>
      <c r="E4" s="53">
        <v>0.104711</v>
      </c>
      <c r="F4" s="5">
        <f t="shared" ref="F4:F19" si="0">10^D4</f>
        <v>53.835632769615813</v>
      </c>
      <c r="G4" s="5">
        <f t="shared" ref="G4:G19" si="1">LN(10^D4)</f>
        <v>3.9859355670690566</v>
      </c>
      <c r="H4" s="5">
        <f t="shared" ref="H4:H19" si="2">($R$5)/(1+$R$6*EXP(-$R$7*C4))</f>
        <v>4.6189777863256083</v>
      </c>
      <c r="I4" s="5">
        <f>LOG(EXP(H4))</f>
        <v>2.0059965646349092</v>
      </c>
      <c r="J4" s="5">
        <f t="shared" ref="J4:J19" si="3">LOG(D4/I4)/$B$22</f>
        <v>-8.0019499517863264E-3</v>
      </c>
      <c r="K4" s="5">
        <f t="shared" ref="K4:K19" si="4">ABS(LOG(I4/D4)/$B$22)</f>
        <v>8.0019499517863229E-3</v>
      </c>
      <c r="L4" s="5">
        <f t="shared" ref="L4:L19" si="5">(D4-I4)^2</f>
        <v>7.5584713815841559E-2</v>
      </c>
      <c r="M4" s="5">
        <f>N4+L4</f>
        <v>4.0996069311428984</v>
      </c>
      <c r="N4" s="6">
        <f>(I4-$D$23)^2</f>
        <v>4.0240222173270572</v>
      </c>
      <c r="O4" s="1"/>
      <c r="P4" s="1"/>
      <c r="Q4" s="9"/>
      <c r="R4" s="16"/>
      <c r="S4" s="14"/>
      <c r="T4" s="14"/>
      <c r="U4" s="6"/>
      <c r="V4" s="5"/>
    </row>
    <row r="5" spans="1:22" x14ac:dyDescent="0.25">
      <c r="A5" s="1"/>
      <c r="B5" s="4"/>
      <c r="C5" s="53">
        <v>4</v>
      </c>
      <c r="D5" s="53">
        <v>4.1901056209999998</v>
      </c>
      <c r="E5" s="53">
        <v>0.21951499999999999</v>
      </c>
      <c r="F5" s="5">
        <f t="shared" si="0"/>
        <v>15491.933389973394</v>
      </c>
      <c r="G5" s="5">
        <f t="shared" si="1"/>
        <v>9.6480747409851588</v>
      </c>
      <c r="H5" s="5">
        <f t="shared" si="2"/>
        <v>10.057507916501233</v>
      </c>
      <c r="I5" s="5">
        <f t="shared" ref="I5:I19" si="6">LOG(EXP(H5))</f>
        <v>4.3679201898347566</v>
      </c>
      <c r="J5" s="5">
        <f t="shared" si="3"/>
        <v>-2.2562154897080356E-3</v>
      </c>
      <c r="K5" s="5">
        <f t="shared" si="4"/>
        <v>2.2562154897080378E-3</v>
      </c>
      <c r="L5" s="5">
        <f t="shared" si="5"/>
        <v>3.1618020889890457E-2</v>
      </c>
      <c r="M5" s="5">
        <f t="shared" ref="M5:M19" si="7">N5+L5</f>
        <v>19.110344805655988</v>
      </c>
      <c r="N5" s="6">
        <f t="shared" ref="N5:N11" si="8">(I5-$I$23)^2</f>
        <v>19.078726784766097</v>
      </c>
      <c r="O5" s="1"/>
      <c r="P5" s="1"/>
      <c r="Q5" s="9" t="s">
        <v>11</v>
      </c>
      <c r="R5" s="15">
        <v>19.213100000000001</v>
      </c>
      <c r="S5" s="31">
        <v>0.24229999999999999</v>
      </c>
      <c r="T5" s="31">
        <v>79.278499999999994</v>
      </c>
      <c r="U5" s="3" t="s">
        <v>15</v>
      </c>
      <c r="V5" s="5"/>
    </row>
    <row r="6" spans="1:22" x14ac:dyDescent="0.25">
      <c r="A6" s="1"/>
      <c r="B6" s="4"/>
      <c r="C6" s="53">
        <v>8</v>
      </c>
      <c r="D6" s="53">
        <v>6.3204368019999997</v>
      </c>
      <c r="E6" s="53">
        <v>0.70938500000000004</v>
      </c>
      <c r="F6" s="5">
        <f t="shared" si="0"/>
        <v>2091398.5472085206</v>
      </c>
      <c r="G6" s="5">
        <f t="shared" si="1"/>
        <v>14.55334356149616</v>
      </c>
      <c r="H6" s="5">
        <f t="shared" si="2"/>
        <v>15.220987088995427</v>
      </c>
      <c r="I6" s="5">
        <f t="shared" si="6"/>
        <v>6.6103907018713546</v>
      </c>
      <c r="J6" s="5">
        <f t="shared" si="3"/>
        <v>-2.4350044618550162E-3</v>
      </c>
      <c r="K6" s="5">
        <f t="shared" si="4"/>
        <v>2.4350044618550236E-3</v>
      </c>
      <c r="L6" s="5">
        <f t="shared" si="5"/>
        <v>8.4073264050607693E-2</v>
      </c>
      <c r="M6" s="5">
        <f t="shared" si="7"/>
        <v>43.781338495437872</v>
      </c>
      <c r="N6" s="6">
        <f t="shared" si="8"/>
        <v>43.697265231387263</v>
      </c>
      <c r="O6" s="1"/>
      <c r="P6" s="1"/>
      <c r="Q6" s="9" t="s">
        <v>12</v>
      </c>
      <c r="R6" s="16">
        <v>3.1596000000000002</v>
      </c>
      <c r="S6" s="30">
        <v>0.3357</v>
      </c>
      <c r="T6" s="30">
        <v>9.4108000000000001</v>
      </c>
      <c r="U6" s="6" t="s">
        <v>15</v>
      </c>
      <c r="V6" s="11"/>
    </row>
    <row r="7" spans="1:22" ht="15.75" thickBot="1" x14ac:dyDescent="0.3">
      <c r="A7" s="1"/>
      <c r="B7" s="4"/>
      <c r="C7" s="53">
        <v>11</v>
      </c>
      <c r="D7" s="53">
        <v>7.28656346</v>
      </c>
      <c r="E7" s="53">
        <v>0.78587899999999999</v>
      </c>
      <c r="F7" s="5">
        <f t="shared" si="0"/>
        <v>19344765.076411255</v>
      </c>
      <c r="G7" s="5">
        <f t="shared" si="1"/>
        <v>16.777932402151116</v>
      </c>
      <c r="H7" s="5">
        <f t="shared" si="2"/>
        <v>17.416715810243879</v>
      </c>
      <c r="I7" s="5">
        <f t="shared" si="6"/>
        <v>7.56398356926604</v>
      </c>
      <c r="J7" s="5">
        <f t="shared" si="3"/>
        <v>-2.028478147714743E-3</v>
      </c>
      <c r="K7" s="5">
        <f t="shared" si="4"/>
        <v>2.0284781477147478E-3</v>
      </c>
      <c r="L7" s="5">
        <f t="shared" si="5"/>
        <v>7.696191702518157E-2</v>
      </c>
      <c r="M7" s="5">
        <f t="shared" si="7"/>
        <v>57.290809353151801</v>
      </c>
      <c r="N7" s="6">
        <f t="shared" si="8"/>
        <v>57.21384743612662</v>
      </c>
      <c r="O7" s="1"/>
      <c r="P7" s="1"/>
      <c r="Q7" s="10" t="s">
        <v>24</v>
      </c>
      <c r="R7" s="17">
        <v>0.31109999999999999</v>
      </c>
      <c r="S7" s="13">
        <v>2.2599999999999999E-2</v>
      </c>
      <c r="T7" s="13">
        <v>13.7956</v>
      </c>
      <c r="U7" s="7" t="s">
        <v>15</v>
      </c>
      <c r="V7" s="11"/>
    </row>
    <row r="8" spans="1:22" x14ac:dyDescent="0.25">
      <c r="A8" s="1"/>
      <c r="B8" s="4"/>
      <c r="C8" s="53">
        <v>16</v>
      </c>
      <c r="D8" s="53">
        <v>7.8577170479999996</v>
      </c>
      <c r="E8" s="53">
        <v>0.33977000000000002</v>
      </c>
      <c r="F8" s="5">
        <f t="shared" si="0"/>
        <v>72063781.549019173</v>
      </c>
      <c r="G8" s="5">
        <f t="shared" si="1"/>
        <v>18.09306213968998</v>
      </c>
      <c r="H8" s="5">
        <f t="shared" si="2"/>
        <v>18.803715344803361</v>
      </c>
      <c r="I8" s="5">
        <f t="shared" si="6"/>
        <v>8.1663498135276029</v>
      </c>
      <c r="J8" s="5">
        <f t="shared" si="3"/>
        <v>-2.0914491694663758E-3</v>
      </c>
      <c r="K8" s="5">
        <f t="shared" si="4"/>
        <v>2.0914491694663724E-3</v>
      </c>
      <c r="L8" s="5">
        <f t="shared" si="5"/>
        <v>9.5254183957216576E-2</v>
      </c>
      <c r="M8" s="5">
        <f t="shared" si="7"/>
        <v>66.784523460859532</v>
      </c>
      <c r="N8" s="6">
        <f t="shared" si="8"/>
        <v>66.689269276902309</v>
      </c>
      <c r="O8" s="1"/>
      <c r="P8" s="1"/>
      <c r="V8" s="11"/>
    </row>
    <row r="9" spans="1:22" x14ac:dyDescent="0.25">
      <c r="A9" s="1"/>
      <c r="B9" s="4"/>
      <c r="C9" s="53">
        <v>20</v>
      </c>
      <c r="D9" s="53">
        <v>8.3543969140000005</v>
      </c>
      <c r="E9" s="53">
        <v>0.35564200000000001</v>
      </c>
      <c r="F9" s="5">
        <f t="shared" si="0"/>
        <v>226150167.63233295</v>
      </c>
      <c r="G9" s="5">
        <f t="shared" si="1"/>
        <v>19.236709795131862</v>
      </c>
      <c r="H9" s="5">
        <f t="shared" si="2"/>
        <v>19.09333398260722</v>
      </c>
      <c r="I9" s="5">
        <f t="shared" si="6"/>
        <v>8.2921295897821548</v>
      </c>
      <c r="J9" s="5">
        <f t="shared" si="3"/>
        <v>4.0612799056339866E-4</v>
      </c>
      <c r="K9" s="5">
        <f t="shared" si="4"/>
        <v>4.0612799056340614E-4</v>
      </c>
      <c r="L9" s="5">
        <f t="shared" si="5"/>
        <v>3.8772196652503204E-3</v>
      </c>
      <c r="M9" s="5">
        <f t="shared" si="7"/>
        <v>68.76329035340602</v>
      </c>
      <c r="N9" s="6">
        <f t="shared" si="8"/>
        <v>68.759413133740765</v>
      </c>
      <c r="O9" s="1"/>
      <c r="P9" s="1"/>
      <c r="V9" s="11"/>
    </row>
    <row r="10" spans="1:22" x14ac:dyDescent="0.25">
      <c r="A10" s="1"/>
      <c r="B10" s="4"/>
      <c r="C10" s="53">
        <v>24</v>
      </c>
      <c r="D10" s="53">
        <v>8.171361611</v>
      </c>
      <c r="E10" s="53">
        <v>0.24330399999999999</v>
      </c>
      <c r="F10" s="5">
        <f t="shared" si="0"/>
        <v>148375300.31995511</v>
      </c>
      <c r="G10" s="5">
        <f t="shared" si="1"/>
        <v>18.815255434952412</v>
      </c>
      <c r="H10" s="5">
        <f t="shared" si="2"/>
        <v>19.178439959748356</v>
      </c>
      <c r="I10" s="5">
        <f t="shared" si="6"/>
        <v>8.3290906460315348</v>
      </c>
      <c r="J10" s="5">
        <f t="shared" si="3"/>
        <v>-1.0378948261440348E-3</v>
      </c>
      <c r="K10" s="5">
        <f t="shared" si="4"/>
        <v>1.0378948261440394E-3</v>
      </c>
      <c r="L10" s="5">
        <f t="shared" si="5"/>
        <v>2.4878448491979128E-2</v>
      </c>
      <c r="M10" s="5">
        <f t="shared" si="7"/>
        <v>69.398629438301981</v>
      </c>
      <c r="N10" s="6">
        <f t="shared" si="8"/>
        <v>69.373750989810006</v>
      </c>
      <c r="O10" s="1"/>
      <c r="P10" s="1"/>
    </row>
    <row r="11" spans="1:22" x14ac:dyDescent="0.25">
      <c r="A11" s="1"/>
      <c r="B11" s="4"/>
      <c r="C11" s="53">
        <v>28</v>
      </c>
      <c r="D11" s="53">
        <v>8.3832013300000003</v>
      </c>
      <c r="E11" s="53">
        <v>0.38602199999999998</v>
      </c>
      <c r="F11" s="5">
        <f t="shared" si="0"/>
        <v>241658085.20549512</v>
      </c>
      <c r="G11" s="5">
        <f t="shared" si="1"/>
        <v>19.303034414025859</v>
      </c>
      <c r="H11" s="5">
        <f t="shared" si="2"/>
        <v>19.203101125874014</v>
      </c>
      <c r="I11" s="5">
        <f t="shared" si="6"/>
        <v>8.3398008543972058</v>
      </c>
      <c r="J11" s="5">
        <f t="shared" si="3"/>
        <v>2.8177699757366616E-4</v>
      </c>
      <c r="K11" s="5">
        <f t="shared" si="4"/>
        <v>2.8177699757366475E-4</v>
      </c>
      <c r="L11" s="5">
        <f t="shared" si="5"/>
        <v>1.8836012825487682E-3</v>
      </c>
      <c r="M11" s="5">
        <f t="shared" si="7"/>
        <v>69.554161892286899</v>
      </c>
      <c r="N11" s="6">
        <f t="shared" si="8"/>
        <v>69.552278291004356</v>
      </c>
      <c r="O11" s="1"/>
      <c r="P11" s="1"/>
    </row>
    <row r="12" spans="1:22" x14ac:dyDescent="0.25">
      <c r="A12" s="1"/>
      <c r="B12" s="4"/>
      <c r="C12" s="53">
        <v>0</v>
      </c>
      <c r="D12" s="53">
        <v>1.920310309</v>
      </c>
      <c r="E12" s="53">
        <v>0.21542500000000001</v>
      </c>
      <c r="F12" s="5">
        <f t="shared" si="0"/>
        <v>83.235828939845916</v>
      </c>
      <c r="G12" s="5">
        <f t="shared" si="1"/>
        <v>4.4216778914261896</v>
      </c>
      <c r="H12" s="5">
        <f t="shared" si="2"/>
        <v>4.6189777863256083</v>
      </c>
      <c r="I12" s="5">
        <f t="shared" si="6"/>
        <v>2.0059965646349092</v>
      </c>
      <c r="J12" s="5">
        <f t="shared" si="3"/>
        <v>-2.3698464431702623E-3</v>
      </c>
      <c r="K12" s="5">
        <f t="shared" si="4"/>
        <v>2.3698464431702593E-3</v>
      </c>
      <c r="L12" s="5">
        <f t="shared" si="5"/>
        <v>7.3421344047310032E-3</v>
      </c>
      <c r="M12" s="5">
        <f t="shared" si="7"/>
        <v>4.0313643517317885</v>
      </c>
      <c r="N12" s="6">
        <f t="shared" ref="N12:N19" si="9">(I12-$I$23)^2</f>
        <v>4.0240222173270572</v>
      </c>
      <c r="O12" s="1"/>
      <c r="P12" s="1"/>
    </row>
    <row r="13" spans="1:22" x14ac:dyDescent="0.25">
      <c r="A13" s="1"/>
      <c r="B13" s="4"/>
      <c r="C13" s="53">
        <v>4</v>
      </c>
      <c r="D13" s="53">
        <v>5.0393371340000002</v>
      </c>
      <c r="E13" s="53">
        <v>9.5812999999999995E-2</v>
      </c>
      <c r="F13" s="5">
        <f t="shared" si="0"/>
        <v>109480.59121167415</v>
      </c>
      <c r="G13" s="5">
        <f t="shared" si="1"/>
        <v>11.60350256331974</v>
      </c>
      <c r="H13" s="5">
        <f t="shared" si="2"/>
        <v>10.057507916501233</v>
      </c>
      <c r="I13" s="5">
        <f t="shared" si="6"/>
        <v>4.3679201898347566</v>
      </c>
      <c r="J13" s="5">
        <f t="shared" si="3"/>
        <v>7.7623399304135778E-3</v>
      </c>
      <c r="K13" s="5">
        <f t="shared" si="4"/>
        <v>7.7623399304135752E-3</v>
      </c>
      <c r="L13" s="5">
        <f t="shared" si="5"/>
        <v>0.45080071291219376</v>
      </c>
      <c r="M13" s="5">
        <f t="shared" si="7"/>
        <v>19.529527497678291</v>
      </c>
      <c r="N13" s="6">
        <f t="shared" si="9"/>
        <v>19.078726784766097</v>
      </c>
      <c r="O13" s="1"/>
      <c r="P13" s="1"/>
    </row>
    <row r="14" spans="1:22" x14ac:dyDescent="0.25">
      <c r="A14" s="1"/>
      <c r="B14" s="4"/>
      <c r="C14" s="53">
        <v>8</v>
      </c>
      <c r="D14" s="53">
        <v>6.6355336070000002</v>
      </c>
      <c r="E14" s="53">
        <v>0.42135699999999998</v>
      </c>
      <c r="F14" s="5">
        <f t="shared" si="0"/>
        <v>4320495.9960891744</v>
      </c>
      <c r="G14" s="5">
        <f t="shared" si="1"/>
        <v>15.278880767539212</v>
      </c>
      <c r="H14" s="5">
        <f t="shared" si="2"/>
        <v>15.220987088995427</v>
      </c>
      <c r="I14" s="5">
        <f t="shared" si="6"/>
        <v>6.6103907018713546</v>
      </c>
      <c r="J14" s="5">
        <f t="shared" si="3"/>
        <v>2.0609052671763831E-4</v>
      </c>
      <c r="K14" s="5">
        <f t="shared" si="4"/>
        <v>2.0609052671764072E-4</v>
      </c>
      <c r="L14" s="5">
        <f t="shared" si="5"/>
        <v>6.3216567830807254E-4</v>
      </c>
      <c r="M14" s="5">
        <f t="shared" si="7"/>
        <v>43.697897397065574</v>
      </c>
      <c r="N14" s="6">
        <f t="shared" si="9"/>
        <v>43.697265231387263</v>
      </c>
      <c r="O14" s="1"/>
      <c r="P14" s="1"/>
    </row>
    <row r="15" spans="1:22" x14ac:dyDescent="0.25">
      <c r="A15" s="1"/>
      <c r="B15" s="4"/>
      <c r="C15" s="53">
        <v>11</v>
      </c>
      <c r="D15" s="53">
        <v>7.6769544720000003</v>
      </c>
      <c r="E15" s="53">
        <v>0.41533399999999998</v>
      </c>
      <c r="F15" s="5">
        <f t="shared" si="0"/>
        <v>47528539.816748597</v>
      </c>
      <c r="G15" s="5">
        <f t="shared" si="1"/>
        <v>17.676840926821178</v>
      </c>
      <c r="H15" s="5">
        <f t="shared" si="2"/>
        <v>17.416715810243879</v>
      </c>
      <c r="I15" s="5">
        <f t="shared" si="6"/>
        <v>7.56398356926604</v>
      </c>
      <c r="J15" s="5">
        <f t="shared" si="3"/>
        <v>8.0479853198659964E-4</v>
      </c>
      <c r="K15" s="5">
        <f t="shared" si="4"/>
        <v>8.047985319865978E-4</v>
      </c>
      <c r="L15" s="5">
        <f t="shared" si="5"/>
        <v>1.2762424864525911E-2</v>
      </c>
      <c r="M15" s="5">
        <f t="shared" si="7"/>
        <v>57.226609860991147</v>
      </c>
      <c r="N15" s="6">
        <f t="shared" si="9"/>
        <v>57.21384743612662</v>
      </c>
      <c r="O15" s="1"/>
      <c r="P15" s="1"/>
    </row>
    <row r="16" spans="1:22" x14ac:dyDescent="0.25">
      <c r="A16" s="1"/>
      <c r="B16" s="4"/>
      <c r="C16" s="53">
        <v>16</v>
      </c>
      <c r="D16" s="53">
        <v>8.4118837370000001</v>
      </c>
      <c r="E16" s="53">
        <v>0.41879699999999997</v>
      </c>
      <c r="F16" s="5">
        <f t="shared" si="0"/>
        <v>258156899.80286703</v>
      </c>
      <c r="G16" s="5">
        <f t="shared" si="1"/>
        <v>19.369078096815247</v>
      </c>
      <c r="H16" s="5">
        <f t="shared" si="2"/>
        <v>18.803715344803361</v>
      </c>
      <c r="I16" s="5">
        <f t="shared" si="6"/>
        <v>8.1663498135276029</v>
      </c>
      <c r="J16" s="5">
        <f t="shared" si="3"/>
        <v>1.6081602673347815E-3</v>
      </c>
      <c r="K16" s="5">
        <f t="shared" si="4"/>
        <v>1.6081602673347825E-3</v>
      </c>
      <c r="L16" s="5">
        <f t="shared" si="5"/>
        <v>6.0286907575749012E-2</v>
      </c>
      <c r="M16" s="5">
        <f t="shared" si="7"/>
        <v>66.749556184478053</v>
      </c>
      <c r="N16" s="6">
        <f t="shared" si="9"/>
        <v>66.689269276902309</v>
      </c>
      <c r="O16" s="1"/>
      <c r="P16" s="1"/>
    </row>
    <row r="17" spans="1:24" x14ac:dyDescent="0.25">
      <c r="A17" s="1"/>
      <c r="B17" s="4"/>
      <c r="C17" s="53">
        <v>20</v>
      </c>
      <c r="D17" s="53">
        <v>8.5223674729999992</v>
      </c>
      <c r="E17" s="53">
        <v>0.21551500000000001</v>
      </c>
      <c r="F17" s="5">
        <f t="shared" si="0"/>
        <v>332941148.25111097</v>
      </c>
      <c r="G17" s="5">
        <f t="shared" si="1"/>
        <v>19.623476300347136</v>
      </c>
      <c r="H17" s="5">
        <f t="shared" si="2"/>
        <v>19.09333398260722</v>
      </c>
      <c r="I17" s="5">
        <f t="shared" si="6"/>
        <v>8.2921295897821548</v>
      </c>
      <c r="J17" s="5">
        <f t="shared" si="3"/>
        <v>1.4867719764957992E-3</v>
      </c>
      <c r="K17" s="5">
        <f t="shared" si="4"/>
        <v>1.4867719764957935E-3</v>
      </c>
      <c r="L17" s="5">
        <f t="shared" si="5"/>
        <v>5.3009482868633773E-2</v>
      </c>
      <c r="M17" s="5">
        <f t="shared" si="7"/>
        <v>68.812422616609396</v>
      </c>
      <c r="N17" s="6">
        <f t="shared" si="9"/>
        <v>68.759413133740765</v>
      </c>
      <c r="O17" s="1"/>
      <c r="P17" s="1"/>
    </row>
    <row r="18" spans="1:24" x14ac:dyDescent="0.25">
      <c r="A18" s="1"/>
      <c r="B18" s="4"/>
      <c r="C18" s="53">
        <v>24</v>
      </c>
      <c r="D18" s="53">
        <v>8.3119982239999999</v>
      </c>
      <c r="E18" s="53">
        <v>0.19914499999999999</v>
      </c>
      <c r="F18" s="5">
        <f t="shared" si="0"/>
        <v>205115379.08383116</v>
      </c>
      <c r="G18" s="5">
        <f t="shared" si="1"/>
        <v>19.139083203575385</v>
      </c>
      <c r="H18" s="5">
        <f t="shared" si="2"/>
        <v>19.178439959748356</v>
      </c>
      <c r="I18" s="5">
        <f t="shared" si="6"/>
        <v>8.3290906460315348</v>
      </c>
      <c r="J18" s="5">
        <f t="shared" si="3"/>
        <v>-1.1151835133887902E-4</v>
      </c>
      <c r="K18" s="5">
        <f t="shared" si="4"/>
        <v>1.1151835133887597E-4</v>
      </c>
      <c r="L18" s="5">
        <f t="shared" si="5"/>
        <v>2.921508909041009E-4</v>
      </c>
      <c r="M18" s="5">
        <f t="shared" si="7"/>
        <v>69.374043140700905</v>
      </c>
      <c r="N18" s="6">
        <f t="shared" si="9"/>
        <v>69.373750989810006</v>
      </c>
      <c r="O18" s="1"/>
      <c r="P18" s="1"/>
    </row>
    <row r="19" spans="1:24" x14ac:dyDescent="0.25">
      <c r="A19" s="1"/>
      <c r="B19" s="4"/>
      <c r="C19" s="53">
        <v>28</v>
      </c>
      <c r="D19" s="53">
        <v>8.429326069</v>
      </c>
      <c r="E19" s="53">
        <v>0.24004</v>
      </c>
      <c r="F19" s="5">
        <f t="shared" si="0"/>
        <v>268736136.3672958</v>
      </c>
      <c r="G19" s="5">
        <f t="shared" si="1"/>
        <v>19.409240550465501</v>
      </c>
      <c r="H19" s="5">
        <f t="shared" si="2"/>
        <v>19.203101125874014</v>
      </c>
      <c r="I19" s="5">
        <f t="shared" si="6"/>
        <v>8.3398008543972058</v>
      </c>
      <c r="J19" s="5">
        <f t="shared" si="3"/>
        <v>5.796466962961573E-4</v>
      </c>
      <c r="K19" s="5">
        <f t="shared" si="4"/>
        <v>5.7964669629615882E-4</v>
      </c>
      <c r="L19" s="5">
        <f t="shared" si="5"/>
        <v>8.0147640496763695E-3</v>
      </c>
      <c r="M19" s="5">
        <f t="shared" si="7"/>
        <v>69.560293055054032</v>
      </c>
      <c r="N19" s="6">
        <f t="shared" si="9"/>
        <v>69.552278291004356</v>
      </c>
      <c r="O19" s="1"/>
      <c r="P19" s="1"/>
    </row>
    <row r="20" spans="1:24" x14ac:dyDescent="0.25">
      <c r="A20" s="1"/>
      <c r="B20" s="4"/>
      <c r="C20" s="5"/>
      <c r="D20" s="24">
        <f>AVERAGE(D4:D19)</f>
        <v>6.7026602270625011</v>
      </c>
      <c r="E20" s="29"/>
      <c r="F20" s="5"/>
      <c r="G20" s="5"/>
      <c r="H20" s="5"/>
      <c r="I20" s="5"/>
      <c r="J20" s="5">
        <f>SUM(J4:J19)</f>
        <v>-7.1966439238020574E-3</v>
      </c>
      <c r="K20" s="5">
        <f>SUM(K4:K19)</f>
        <v>3.346806975856529E-2</v>
      </c>
      <c r="L20" s="5">
        <f>AVERAGE(L4:L19)</f>
        <v>6.1704507026452381E-2</v>
      </c>
      <c r="M20" s="5">
        <f>SUM(M4:M19)</f>
        <v>797.76441883455209</v>
      </c>
      <c r="N20" s="6">
        <f>SUM(N4:N19)</f>
        <v>796.77714672212892</v>
      </c>
      <c r="O20" s="1"/>
      <c r="P20" s="1"/>
    </row>
    <row r="21" spans="1:24" x14ac:dyDescent="0.25">
      <c r="A21" s="1"/>
      <c r="B21" s="23"/>
      <c r="C21" s="24"/>
      <c r="D21" s="29"/>
      <c r="E21" s="29"/>
      <c r="F21" s="24"/>
      <c r="G21" s="24"/>
      <c r="H21" s="24"/>
      <c r="I21" s="40" t="s">
        <v>43</v>
      </c>
      <c r="J21" s="40">
        <f>10^J20</f>
        <v>0.98356565684974584</v>
      </c>
      <c r="K21" s="40">
        <f>10^K20</f>
        <v>1.0801102059941972</v>
      </c>
      <c r="L21" s="24"/>
      <c r="M21" s="29"/>
      <c r="N21" s="25"/>
      <c r="O21" s="19"/>
      <c r="P21" s="1"/>
    </row>
    <row r="22" spans="1:24" x14ac:dyDescent="0.25">
      <c r="A22" s="35" t="s">
        <v>35</v>
      </c>
      <c r="B22" s="36">
        <v>8</v>
      </c>
      <c r="C22" s="24"/>
      <c r="D22" s="29"/>
      <c r="E22" s="29"/>
      <c r="F22" s="24"/>
      <c r="G22" s="24"/>
      <c r="H22" s="24"/>
      <c r="I22" s="24"/>
      <c r="J22" s="24"/>
      <c r="K22" s="24"/>
      <c r="L22" s="24">
        <f>(SQRT(M20/(B22-1)))/(SQRT(B22))</f>
        <v>3.7743599713692042</v>
      </c>
      <c r="M22" s="29"/>
      <c r="N22" s="25" t="s">
        <v>37</v>
      </c>
      <c r="O22" s="19"/>
      <c r="P22" s="1"/>
    </row>
    <row r="23" spans="1:24" x14ac:dyDescent="0.25">
      <c r="A23" s="1"/>
      <c r="B23" s="23"/>
      <c r="C23" s="24"/>
      <c r="D23" s="29"/>
      <c r="E23" s="29"/>
      <c r="F23" s="24"/>
      <c r="G23" s="24"/>
      <c r="H23" s="24"/>
      <c r="I23" s="24"/>
      <c r="J23" s="24"/>
      <c r="K23" s="24"/>
      <c r="L23" s="24">
        <f>N20/M20</f>
        <v>0.99876245155948984</v>
      </c>
      <c r="M23" s="29"/>
      <c r="N23" s="25" t="s">
        <v>22</v>
      </c>
      <c r="O23" s="18"/>
      <c r="P23" s="1"/>
    </row>
    <row r="24" spans="1:24" x14ac:dyDescent="0.25">
      <c r="A24" s="1"/>
      <c r="B24" s="23"/>
      <c r="C24" s="24"/>
      <c r="D24" s="29"/>
      <c r="E24" s="24"/>
      <c r="F24" s="24"/>
      <c r="G24" s="24"/>
      <c r="H24" s="24"/>
      <c r="I24" s="24"/>
      <c r="J24" s="24"/>
      <c r="K24" s="24"/>
      <c r="L24" s="24">
        <f>L20*100/D20</f>
        <v>0.92059726938441144</v>
      </c>
      <c r="M24" s="29"/>
      <c r="N24" s="6" t="s">
        <v>40</v>
      </c>
      <c r="O24" s="18"/>
      <c r="P24" s="1"/>
    </row>
    <row r="25" spans="1:24" ht="18" customHeight="1" thickBot="1" x14ac:dyDescent="0.3">
      <c r="A25" s="1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f>SQRT(L20)</f>
        <v>0.2484039191044545</v>
      </c>
      <c r="M25" s="27"/>
      <c r="N25" s="28" t="s">
        <v>18</v>
      </c>
      <c r="O25" s="18"/>
      <c r="P25" s="5"/>
      <c r="X25" s="11"/>
    </row>
    <row r="26" spans="1:24" ht="18" customHeight="1" x14ac:dyDescent="0.25">
      <c r="A26" s="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18"/>
      <c r="P26" s="5"/>
      <c r="X26" s="11"/>
    </row>
    <row r="27" spans="1:24" ht="18" customHeight="1" x14ac:dyDescent="0.25">
      <c r="A27" s="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18"/>
      <c r="P27" s="5"/>
      <c r="X27" s="11"/>
    </row>
    <row r="28" spans="1:24" ht="18" customHeight="1" x14ac:dyDescent="0.25">
      <c r="A28" s="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18"/>
      <c r="P28" s="5"/>
      <c r="X28" s="11"/>
    </row>
    <row r="29" spans="1:24" ht="18" customHeight="1" x14ac:dyDescent="0.25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18"/>
      <c r="P29" s="5"/>
      <c r="X29" s="11"/>
    </row>
    <row r="30" spans="1:24" ht="18" customHeight="1" x14ac:dyDescent="0.25">
      <c r="A30" s="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18"/>
      <c r="P30" s="5"/>
      <c r="X30" s="11"/>
    </row>
    <row r="31" spans="1:24" ht="18" customHeight="1" x14ac:dyDescent="0.25">
      <c r="A31" s="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18"/>
      <c r="P31" s="5"/>
      <c r="X31" s="11"/>
    </row>
    <row r="32" spans="1:24" ht="18" customHeight="1" x14ac:dyDescent="0.25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18"/>
      <c r="P32" s="5"/>
      <c r="X32" s="11"/>
    </row>
    <row r="33" spans="1:24" ht="18" customHeight="1" x14ac:dyDescent="0.25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18"/>
      <c r="P33" s="5"/>
      <c r="X33" s="11"/>
    </row>
    <row r="34" spans="1:24" ht="18" customHeight="1" x14ac:dyDescent="0.25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18"/>
      <c r="P34" s="5"/>
      <c r="X34" s="11"/>
    </row>
    <row r="35" spans="1:24" ht="18" customHeight="1" x14ac:dyDescent="0.25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18"/>
      <c r="P35" s="5"/>
      <c r="X35" s="11"/>
    </row>
    <row r="36" spans="1:24" x14ac:dyDescent="0.25">
      <c r="A36" s="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18"/>
      <c r="P36" s="5"/>
      <c r="X36" s="11"/>
    </row>
    <row r="37" spans="1:24" x14ac:dyDescent="0.25">
      <c r="A37" s="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8"/>
      <c r="P37" s="5"/>
      <c r="X37" s="11"/>
    </row>
    <row r="38" spans="1:24" x14ac:dyDescent="0.25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18"/>
      <c r="P38" s="5"/>
      <c r="X38" s="11"/>
    </row>
    <row r="39" spans="1:24" x14ac:dyDescent="0.25">
      <c r="A39" s="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18"/>
      <c r="P39" s="5"/>
      <c r="Q39" s="29"/>
      <c r="R39" s="29"/>
      <c r="S39" s="29"/>
      <c r="T39" s="29"/>
      <c r="U39" s="29"/>
      <c r="V39" s="11"/>
      <c r="W39" s="11"/>
      <c r="X39" s="11"/>
    </row>
    <row r="40" spans="1:24" x14ac:dyDescent="0.25">
      <c r="A40" s="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18"/>
      <c r="P40" s="5"/>
      <c r="Q40" s="29"/>
      <c r="R40" s="29"/>
      <c r="S40" s="29"/>
      <c r="T40" s="29"/>
      <c r="U40" s="29"/>
      <c r="V40" s="11"/>
      <c r="W40" s="11"/>
      <c r="X40" s="11"/>
    </row>
    <row r="41" spans="1:24" x14ac:dyDescent="0.25">
      <c r="A41" s="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18"/>
      <c r="P41" s="5"/>
      <c r="Q41" s="29"/>
      <c r="R41" s="29"/>
      <c r="S41" s="29"/>
      <c r="T41" s="29"/>
      <c r="U41" s="29"/>
      <c r="V41" s="11"/>
      <c r="W41" s="11"/>
      <c r="X41" s="11"/>
    </row>
    <row r="42" spans="1:24" x14ac:dyDescent="0.25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18"/>
      <c r="P42" s="5"/>
      <c r="Q42" s="29"/>
      <c r="R42" s="29"/>
      <c r="S42" s="29"/>
      <c r="T42" s="29"/>
      <c r="U42" s="29"/>
      <c r="V42" s="11"/>
      <c r="W42" s="11"/>
      <c r="X42" s="11"/>
    </row>
    <row r="43" spans="1:24" x14ac:dyDescent="0.25">
      <c r="A43" s="18"/>
      <c r="B43" s="18"/>
      <c r="C43" s="18"/>
      <c r="D43" s="18"/>
      <c r="E43" s="5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24"/>
      <c r="Q43" s="11"/>
      <c r="R43" s="11"/>
      <c r="S43" s="11"/>
      <c r="T43" s="11"/>
      <c r="U43" s="11"/>
      <c r="V43" s="29"/>
      <c r="W43" s="11"/>
      <c r="X43" s="11"/>
    </row>
    <row r="44" spans="1:24" ht="15.75" thickBot="1" x14ac:dyDescent="0.3">
      <c r="A44" s="1"/>
      <c r="B44" s="1"/>
      <c r="C44" s="1"/>
      <c r="D44" s="1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5"/>
      <c r="Q44" s="5"/>
      <c r="R44" s="5"/>
      <c r="S44" s="5"/>
      <c r="T44" s="5"/>
      <c r="U44" s="5"/>
      <c r="V44" s="11"/>
      <c r="W44" s="11"/>
      <c r="X44" s="11"/>
    </row>
    <row r="45" spans="1:24" x14ac:dyDescent="0.25">
      <c r="A45" s="1"/>
      <c r="B45" s="21" t="s">
        <v>58</v>
      </c>
      <c r="C45" s="2" t="s">
        <v>1</v>
      </c>
      <c r="D45" s="2" t="s">
        <v>7</v>
      </c>
      <c r="E45" s="2"/>
      <c r="F45" s="2" t="s">
        <v>7</v>
      </c>
      <c r="G45" s="2" t="s">
        <v>5</v>
      </c>
      <c r="H45" s="2" t="s">
        <v>6</v>
      </c>
      <c r="I45" s="2" t="s">
        <v>17</v>
      </c>
      <c r="J45" s="2" t="s">
        <v>39</v>
      </c>
      <c r="K45" s="2" t="s">
        <v>38</v>
      </c>
      <c r="L45" s="2" t="s">
        <v>36</v>
      </c>
      <c r="M45" s="2" t="s">
        <v>21</v>
      </c>
      <c r="N45" s="3" t="s">
        <v>20</v>
      </c>
      <c r="O45" s="1"/>
      <c r="P45" s="5"/>
      <c r="Q45" s="8"/>
      <c r="R45" s="15" t="s">
        <v>14</v>
      </c>
      <c r="S45" s="12" t="s">
        <v>8</v>
      </c>
      <c r="T45" s="12" t="s">
        <v>9</v>
      </c>
      <c r="U45" s="3" t="s">
        <v>10</v>
      </c>
      <c r="V45" s="11"/>
      <c r="W45" s="11"/>
      <c r="X45" s="11"/>
    </row>
    <row r="46" spans="1:24" ht="15.75" thickBot="1" x14ac:dyDescent="0.3">
      <c r="A46" s="1"/>
      <c r="B46" s="4"/>
      <c r="C46" s="53">
        <v>0</v>
      </c>
      <c r="D46" s="53">
        <v>2.0523787539999998</v>
      </c>
      <c r="E46" s="53">
        <v>9.7292000000000003E-2</v>
      </c>
      <c r="F46" s="5">
        <f t="shared" ref="F46:F63" si="10">10^D46</f>
        <v>112.81809288723814</v>
      </c>
      <c r="G46" s="5">
        <f t="shared" ref="G46:G63" si="11">LN(10^D46)</f>
        <v>4.7257767241380932</v>
      </c>
      <c r="H46" s="5">
        <f t="shared" ref="H46:H63" si="12">($R$47)/(1+$R$48*EXP(-$R$49*C46))</f>
        <v>4.9610908106645013</v>
      </c>
      <c r="I46" s="5">
        <f>LOG(EXP(H46))</f>
        <v>2.1545743632925234</v>
      </c>
      <c r="J46" s="5">
        <f t="shared" ref="J46:J63" si="13">LOG(D46/I46)/$B$22</f>
        <v>-2.6379972185213763E-3</v>
      </c>
      <c r="K46" s="5">
        <f t="shared" ref="K46:K63" si="14">ABS(LOG(I46/D46)/$B$22)</f>
        <v>2.6379972185213746E-3</v>
      </c>
      <c r="L46" s="5">
        <f t="shared" ref="L46:L63" si="15">(D46-I46)^2</f>
        <v>1.0443942558670132E-2</v>
      </c>
      <c r="M46" s="5">
        <f>N46+L46</f>
        <v>10.212901343830481</v>
      </c>
      <c r="N46" s="6">
        <f>(I46-$D$64)^2</f>
        <v>10.202457401271811</v>
      </c>
      <c r="O46" s="1"/>
      <c r="P46" s="5"/>
      <c r="Q46" s="9"/>
      <c r="R46" s="16"/>
      <c r="S46" s="14"/>
      <c r="T46" s="14"/>
      <c r="U46" s="6"/>
      <c r="V46" s="11"/>
      <c r="W46" s="11"/>
      <c r="X46" s="11"/>
    </row>
    <row r="47" spans="1:24" x14ac:dyDescent="0.25">
      <c r="A47" s="1"/>
      <c r="B47" s="4"/>
      <c r="C47" s="57">
        <v>6</v>
      </c>
      <c r="D47" s="57">
        <v>4.7719247730000003</v>
      </c>
      <c r="E47" s="57">
        <v>0.19089700000000001</v>
      </c>
      <c r="F47" s="58">
        <f t="shared" si="10"/>
        <v>59145.917477306379</v>
      </c>
      <c r="G47" s="58">
        <f t="shared" si="11"/>
        <v>10.987762847198796</v>
      </c>
      <c r="H47" s="58">
        <f t="shared" si="12"/>
        <v>10.685699264880149</v>
      </c>
      <c r="I47" s="58">
        <f t="shared" ref="I47:I56" si="16">LOG(EXP(H47))</f>
        <v>4.6407402260150832</v>
      </c>
      <c r="J47" s="58">
        <f t="shared" si="13"/>
        <v>1.513291244007566E-3</v>
      </c>
      <c r="K47" s="58">
        <f t="shared" si="14"/>
        <v>1.5132912440075684E-3</v>
      </c>
      <c r="L47" s="58">
        <f t="shared" si="15"/>
        <v>1.7209385367637924E-2</v>
      </c>
      <c r="M47" s="58">
        <f t="shared" ref="M47:M63" si="17">N47+L47</f>
        <v>0.51842059790209882</v>
      </c>
      <c r="N47" s="59">
        <f t="shared" ref="N47:N63" si="18">(I47-$D$64)^2</f>
        <v>0.50121121253446088</v>
      </c>
      <c r="O47" s="1"/>
      <c r="P47" s="5"/>
      <c r="Q47" s="9" t="s">
        <v>11</v>
      </c>
      <c r="R47" s="15">
        <v>14.663</v>
      </c>
      <c r="S47" s="31">
        <v>0.23019999999999999</v>
      </c>
      <c r="T47" s="31">
        <v>63.704300000000003</v>
      </c>
      <c r="U47" s="3" t="s">
        <v>15</v>
      </c>
      <c r="V47" s="11"/>
      <c r="W47" s="11"/>
      <c r="X47" s="11"/>
    </row>
    <row r="48" spans="1:24" x14ac:dyDescent="0.25">
      <c r="A48" s="1"/>
      <c r="B48" s="4"/>
      <c r="C48" s="57">
        <v>12</v>
      </c>
      <c r="D48" s="57">
        <v>5.2638557449999999</v>
      </c>
      <c r="E48" s="57">
        <v>0.14196900000000001</v>
      </c>
      <c r="F48" s="58">
        <f t="shared" si="10"/>
        <v>183592.84211523287</v>
      </c>
      <c r="G48" s="58">
        <f t="shared" si="11"/>
        <v>12.120475770108067</v>
      </c>
      <c r="H48" s="58">
        <f t="shared" si="12"/>
        <v>13.692962848865204</v>
      </c>
      <c r="I48" s="58">
        <f t="shared" si="16"/>
        <v>5.9467782061683891</v>
      </c>
      <c r="J48" s="58">
        <f t="shared" si="13"/>
        <v>-6.6222202677497033E-3</v>
      </c>
      <c r="K48" s="58">
        <f t="shared" si="14"/>
        <v>6.6222202677497042E-3</v>
      </c>
      <c r="L48" s="58">
        <f t="shared" si="15"/>
        <v>0.46638308796829014</v>
      </c>
      <c r="M48" s="58">
        <f t="shared" si="17"/>
        <v>0.82407710509281373</v>
      </c>
      <c r="N48" s="59">
        <f t="shared" si="18"/>
        <v>0.35769401712452353</v>
      </c>
      <c r="O48" s="1"/>
      <c r="P48" s="5"/>
      <c r="Q48" s="9" t="s">
        <v>12</v>
      </c>
      <c r="R48" s="16">
        <v>1.9556</v>
      </c>
      <c r="S48" s="30">
        <v>0.31879999999999997</v>
      </c>
      <c r="T48" s="30">
        <v>6.1341000000000001</v>
      </c>
      <c r="U48" s="6" t="s">
        <v>15</v>
      </c>
      <c r="V48" s="11"/>
      <c r="W48" s="11"/>
      <c r="X48" s="11"/>
    </row>
    <row r="49" spans="1:24" ht="15.75" thickBot="1" x14ac:dyDescent="0.3">
      <c r="A49" s="1"/>
      <c r="B49" s="4"/>
      <c r="C49" s="57">
        <v>18</v>
      </c>
      <c r="D49" s="57">
        <v>5.8333349969999997</v>
      </c>
      <c r="E49" s="57">
        <v>0.38352199999999997</v>
      </c>
      <c r="F49" s="58">
        <f t="shared" si="10"/>
        <v>681294.6789116991</v>
      </c>
      <c r="G49" s="58">
        <f t="shared" si="11"/>
        <v>13.431750206532667</v>
      </c>
      <c r="H49" s="58">
        <f t="shared" si="12"/>
        <v>14.467924545569424</v>
      </c>
      <c r="I49" s="58">
        <f t="shared" si="16"/>
        <v>6.2833397947334131</v>
      </c>
      <c r="J49" s="58">
        <f t="shared" si="13"/>
        <v>-4.0342035745880907E-3</v>
      </c>
      <c r="K49" s="58">
        <f t="shared" si="14"/>
        <v>4.0342035745880942E-3</v>
      </c>
      <c r="L49" s="58">
        <f t="shared" si="15"/>
        <v>0.20250431798309029</v>
      </c>
      <c r="M49" s="58">
        <f t="shared" si="17"/>
        <v>1.076050357460733</v>
      </c>
      <c r="N49" s="59">
        <f t="shared" si="18"/>
        <v>0.87354603947764264</v>
      </c>
      <c r="O49" s="1"/>
      <c r="P49" s="5"/>
      <c r="Q49" s="10" t="s">
        <v>24</v>
      </c>
      <c r="R49" s="17">
        <v>0.27650000000000002</v>
      </c>
      <c r="S49" s="13">
        <v>3.7400000000000003E-2</v>
      </c>
      <c r="T49" s="13">
        <v>7.3864999999999998</v>
      </c>
      <c r="U49" s="7" t="s">
        <v>15</v>
      </c>
      <c r="V49" s="11"/>
      <c r="W49" s="11"/>
      <c r="X49" s="11"/>
    </row>
    <row r="50" spans="1:24" x14ac:dyDescent="0.25">
      <c r="A50" s="1"/>
      <c r="B50" s="4"/>
      <c r="C50" s="57">
        <v>24</v>
      </c>
      <c r="D50" s="57">
        <v>6.1995849749999996</v>
      </c>
      <c r="E50" s="57">
        <v>0.29651</v>
      </c>
      <c r="F50" s="58">
        <f t="shared" si="10"/>
        <v>1583379.3438352402</v>
      </c>
      <c r="G50" s="58">
        <f t="shared" si="11"/>
        <v>14.275071946184864</v>
      </c>
      <c r="H50" s="58">
        <f t="shared" si="12"/>
        <v>14.625467145669303</v>
      </c>
      <c r="I50" s="58">
        <f t="shared" si="16"/>
        <v>6.351759676621481</v>
      </c>
      <c r="J50" s="58">
        <f t="shared" si="13"/>
        <v>-1.3164301030331135E-3</v>
      </c>
      <c r="K50" s="58">
        <f t="shared" si="14"/>
        <v>1.316430103033113E-3</v>
      </c>
      <c r="L50" s="58">
        <f t="shared" si="15"/>
        <v>2.3157139813586889E-2</v>
      </c>
      <c r="M50" s="58">
        <f t="shared" si="17"/>
        <v>1.0292799451601686</v>
      </c>
      <c r="N50" s="59">
        <f t="shared" si="18"/>
        <v>1.0061228053465818</v>
      </c>
      <c r="O50" s="1"/>
      <c r="P50" s="5"/>
      <c r="Q50" s="11"/>
      <c r="R50" s="11"/>
      <c r="S50" s="11"/>
      <c r="T50" s="11"/>
      <c r="U50" s="11"/>
      <c r="V50" s="11"/>
      <c r="W50" s="11"/>
      <c r="X50" s="11"/>
    </row>
    <row r="51" spans="1:24" x14ac:dyDescent="0.25">
      <c r="A51" s="1"/>
      <c r="B51" s="4"/>
      <c r="C51" s="57">
        <v>30</v>
      </c>
      <c r="D51" s="57">
        <v>6.012722793</v>
      </c>
      <c r="E51" s="57">
        <v>0.42579099999999998</v>
      </c>
      <c r="F51" s="58">
        <f t="shared" si="10"/>
        <v>1029728.6423507631</v>
      </c>
      <c r="G51" s="58">
        <f t="shared" si="11"/>
        <v>13.844805871467324</v>
      </c>
      <c r="H51" s="58">
        <f t="shared" si="12"/>
        <v>14.655841565381596</v>
      </c>
      <c r="I51" s="58">
        <f t="shared" si="16"/>
        <v>6.3649511194935435</v>
      </c>
      <c r="J51" s="58">
        <f t="shared" si="13"/>
        <v>-3.0904863658513886E-3</v>
      </c>
      <c r="K51" s="58">
        <f t="shared" si="14"/>
        <v>3.090486365851386E-3</v>
      </c>
      <c r="L51" s="58">
        <f t="shared" si="15"/>
        <v>0.1240647939844423</v>
      </c>
      <c r="M51" s="58">
        <f t="shared" si="17"/>
        <v>1.156825144621529</v>
      </c>
      <c r="N51" s="59">
        <f t="shared" si="18"/>
        <v>1.0327603506370866</v>
      </c>
      <c r="O51" s="1"/>
      <c r="P51" s="5"/>
      <c r="Q51" s="11"/>
      <c r="R51" s="11"/>
      <c r="S51" s="11"/>
      <c r="T51" s="11"/>
      <c r="U51" s="11"/>
      <c r="V51" s="11"/>
      <c r="W51" s="11"/>
      <c r="X51" s="11"/>
    </row>
    <row r="52" spans="1:24" x14ac:dyDescent="0.25">
      <c r="A52" s="1"/>
      <c r="B52" s="4"/>
      <c r="C52" s="57">
        <v>36</v>
      </c>
      <c r="D52" s="57">
        <v>6.2475402979999997</v>
      </c>
      <c r="E52" s="57">
        <v>0.29510399999999998</v>
      </c>
      <c r="F52" s="58">
        <f t="shared" si="10"/>
        <v>1768236.2840140453</v>
      </c>
      <c r="G52" s="58">
        <f t="shared" si="11"/>
        <v>14.385493158054379</v>
      </c>
      <c r="H52" s="58">
        <f t="shared" si="12"/>
        <v>14.661637001999869</v>
      </c>
      <c r="I52" s="58">
        <f t="shared" si="16"/>
        <v>6.3674680456370796</v>
      </c>
      <c r="J52" s="58">
        <f t="shared" si="13"/>
        <v>-1.0322135106664667E-3</v>
      </c>
      <c r="K52" s="58">
        <f t="shared" si="14"/>
        <v>1.0322135106664661E-3</v>
      </c>
      <c r="L52" s="58">
        <f t="shared" si="15"/>
        <v>1.4382664653303128E-2</v>
      </c>
      <c r="M52" s="58">
        <f t="shared" si="17"/>
        <v>1.0522649934012336</v>
      </c>
      <c r="N52" s="59">
        <f t="shared" si="18"/>
        <v>1.0378823287479304</v>
      </c>
      <c r="O52" s="1"/>
      <c r="P52" s="5"/>
      <c r="Q52" s="11"/>
      <c r="R52" s="11"/>
      <c r="S52" s="11"/>
      <c r="T52" s="11"/>
      <c r="U52" s="11"/>
      <c r="V52" s="11"/>
      <c r="W52" s="11"/>
      <c r="X52" s="11"/>
    </row>
    <row r="53" spans="1:24" x14ac:dyDescent="0.25">
      <c r="A53" s="1"/>
      <c r="B53" s="4"/>
      <c r="C53" s="57">
        <v>42</v>
      </c>
      <c r="D53" s="57">
        <v>6.4082812310000001</v>
      </c>
      <c r="E53" s="57">
        <v>0.30677300000000002</v>
      </c>
      <c r="F53" s="58">
        <f t="shared" si="10"/>
        <v>2560243.2570181591</v>
      </c>
      <c r="G53" s="58">
        <f t="shared" si="11"/>
        <v>14.755612834214133</v>
      </c>
      <c r="H53" s="58">
        <f t="shared" si="12"/>
        <v>14.66274056213566</v>
      </c>
      <c r="I53" s="58">
        <f t="shared" si="16"/>
        <v>6.3679473157145017</v>
      </c>
      <c r="J53" s="58">
        <f t="shared" si="13"/>
        <v>3.4276263474569555E-4</v>
      </c>
      <c r="K53" s="58">
        <f t="shared" si="14"/>
        <v>3.4276263474569636E-4</v>
      </c>
      <c r="L53" s="58">
        <f t="shared" si="15"/>
        <v>1.626824722257766E-3</v>
      </c>
      <c r="M53" s="58">
        <f t="shared" si="17"/>
        <v>1.0404859104265909</v>
      </c>
      <c r="N53" s="59">
        <f t="shared" si="18"/>
        <v>1.0388590857043332</v>
      </c>
      <c r="O53" s="1"/>
      <c r="P53" s="5"/>
      <c r="Q53" s="11"/>
      <c r="R53" s="11"/>
      <c r="S53" s="11"/>
      <c r="T53" s="11"/>
      <c r="U53" s="11"/>
      <c r="V53" s="11"/>
      <c r="W53" s="11"/>
      <c r="X53" s="11"/>
    </row>
    <row r="54" spans="1:24" x14ac:dyDescent="0.25">
      <c r="A54" s="1"/>
      <c r="B54" s="4"/>
      <c r="C54" s="57">
        <v>48</v>
      </c>
      <c r="D54" s="57">
        <v>6.7704433679999996</v>
      </c>
      <c r="E54" s="57">
        <v>0.18940699999999999</v>
      </c>
      <c r="F54" s="58">
        <f t="shared" si="10"/>
        <v>5894451.0841222508</v>
      </c>
      <c r="G54" s="58">
        <f t="shared" si="11"/>
        <v>15.5895219721172</v>
      </c>
      <c r="H54" s="58">
        <f t="shared" si="12"/>
        <v>14.662950620687754</v>
      </c>
      <c r="I54" s="58">
        <f t="shared" si="16"/>
        <v>6.3680385429845527</v>
      </c>
      <c r="J54" s="58">
        <f t="shared" si="13"/>
        <v>3.3264283012554583E-3</v>
      </c>
      <c r="K54" s="58">
        <f t="shared" si="14"/>
        <v>3.32642830125546E-3</v>
      </c>
      <c r="L54" s="58">
        <f t="shared" si="15"/>
        <v>0.16192964319571237</v>
      </c>
      <c r="M54" s="58">
        <f t="shared" si="17"/>
        <v>1.200974702985234</v>
      </c>
      <c r="N54" s="59">
        <f t="shared" si="18"/>
        <v>1.0390450597895216</v>
      </c>
      <c r="O54" s="1"/>
      <c r="P54" s="5"/>
      <c r="Q54" s="11"/>
      <c r="R54" s="11"/>
      <c r="S54" s="11"/>
      <c r="T54" s="11"/>
      <c r="U54" s="11"/>
      <c r="V54" s="11"/>
      <c r="W54" s="11"/>
      <c r="X54" s="11"/>
    </row>
    <row r="55" spans="1:24" x14ac:dyDescent="0.25">
      <c r="A55" s="1"/>
      <c r="B55" s="4"/>
      <c r="C55" s="57">
        <v>0</v>
      </c>
      <c r="D55" s="57">
        <v>2.003103844</v>
      </c>
      <c r="E55" s="57">
        <v>0.18285899999999999</v>
      </c>
      <c r="F55" s="58">
        <f t="shared" si="10"/>
        <v>100.7172464714249</v>
      </c>
      <c r="G55" s="58">
        <f t="shared" si="11"/>
        <v>4.6123170509134708</v>
      </c>
      <c r="H55" s="58">
        <f t="shared" si="12"/>
        <v>4.9610908106645013</v>
      </c>
      <c r="I55" s="58">
        <f t="shared" si="16"/>
        <v>2.1545743632925234</v>
      </c>
      <c r="J55" s="58">
        <f t="shared" si="13"/>
        <v>-3.9572529514197274E-3</v>
      </c>
      <c r="K55" s="58">
        <f t="shared" si="14"/>
        <v>3.9572529514197317E-3</v>
      </c>
      <c r="L55" s="58">
        <f t="shared" si="15"/>
        <v>2.2943318214746711E-2</v>
      </c>
      <c r="M55" s="58">
        <f t="shared" si="17"/>
        <v>10.225400719486558</v>
      </c>
      <c r="N55" s="59">
        <f t="shared" si="18"/>
        <v>10.202457401271811</v>
      </c>
      <c r="O55" s="1"/>
      <c r="P55" s="5"/>
      <c r="Q55" s="11"/>
      <c r="R55" s="11"/>
      <c r="S55" s="11"/>
      <c r="T55" s="11"/>
      <c r="U55" s="11"/>
      <c r="V55" s="11"/>
      <c r="W55" s="11"/>
      <c r="X55" s="11"/>
    </row>
    <row r="56" spans="1:24" x14ac:dyDescent="0.25">
      <c r="A56" s="1"/>
      <c r="B56" s="4"/>
      <c r="C56" s="57">
        <v>6</v>
      </c>
      <c r="D56" s="57">
        <v>5.0320470689999999</v>
      </c>
      <c r="E56" s="57">
        <v>0.232068</v>
      </c>
      <c r="F56" s="58">
        <f t="shared" si="10"/>
        <v>107658.18876587879</v>
      </c>
      <c r="G56" s="58">
        <f t="shared" si="11"/>
        <v>11.58671656832378</v>
      </c>
      <c r="H56" s="58">
        <f t="shared" si="12"/>
        <v>10.685699264880149</v>
      </c>
      <c r="I56" s="58">
        <f t="shared" si="16"/>
        <v>4.6407402260150832</v>
      </c>
      <c r="J56" s="58">
        <f t="shared" si="13"/>
        <v>4.394679514363003E-3</v>
      </c>
      <c r="K56" s="58">
        <f t="shared" si="14"/>
        <v>4.3946795143629995E-3</v>
      </c>
      <c r="L56" s="58">
        <f t="shared" si="15"/>
        <v>0.15312104536682225</v>
      </c>
      <c r="M56" s="58">
        <f t="shared" si="17"/>
        <v>0.65433225790128313</v>
      </c>
      <c r="N56" s="59">
        <f t="shared" si="18"/>
        <v>0.50121121253446088</v>
      </c>
      <c r="O56" s="1"/>
      <c r="P56" s="5"/>
      <c r="Q56" s="11"/>
      <c r="R56" s="11"/>
      <c r="S56" s="11"/>
      <c r="T56" s="11"/>
      <c r="U56" s="11"/>
      <c r="V56" s="11"/>
      <c r="W56" s="11"/>
      <c r="X56" s="11"/>
    </row>
    <row r="57" spans="1:24" x14ac:dyDescent="0.25">
      <c r="A57" s="1"/>
      <c r="B57" s="4"/>
      <c r="C57" s="57">
        <v>12</v>
      </c>
      <c r="D57" s="57">
        <v>6.0392000210000001</v>
      </c>
      <c r="E57" s="57">
        <v>0.25769500000000001</v>
      </c>
      <c r="F57" s="58">
        <f t="shared" si="10"/>
        <v>1094460.3207369277</v>
      </c>
      <c r="G57" s="58">
        <f t="shared" si="11"/>
        <v>13.905771941963929</v>
      </c>
      <c r="H57" s="58">
        <f t="shared" si="12"/>
        <v>13.692962848865204</v>
      </c>
      <c r="I57" s="58">
        <f t="shared" ref="I57:I63" si="19">LOG(EXP(H57))</f>
        <v>5.9467782061683891</v>
      </c>
      <c r="J57" s="58">
        <f t="shared" si="13"/>
        <v>8.3720909039187129E-4</v>
      </c>
      <c r="K57" s="58">
        <f t="shared" si="14"/>
        <v>8.3720909039187378E-4</v>
      </c>
      <c r="L57" s="58">
        <f t="shared" si="15"/>
        <v>8.5417918567685797E-3</v>
      </c>
      <c r="M57" s="58">
        <f t="shared" si="17"/>
        <v>0.3662358089812921</v>
      </c>
      <c r="N57" s="59">
        <f t="shared" si="18"/>
        <v>0.35769401712452353</v>
      </c>
      <c r="O57" s="1"/>
      <c r="P57" s="5"/>
      <c r="Q57" s="5"/>
      <c r="R57" s="5"/>
      <c r="S57" s="56"/>
      <c r="T57" s="56"/>
      <c r="U57" s="5"/>
      <c r="V57" s="11"/>
      <c r="W57" s="11"/>
      <c r="X57" s="11"/>
    </row>
    <row r="58" spans="1:24" x14ac:dyDescent="0.25">
      <c r="A58" s="1"/>
      <c r="B58" s="4"/>
      <c r="C58" s="57">
        <v>18</v>
      </c>
      <c r="D58" s="57">
        <v>5.9639257529999998</v>
      </c>
      <c r="E58" s="57">
        <v>0.186893</v>
      </c>
      <c r="F58" s="58">
        <f t="shared" si="10"/>
        <v>920292.22511217871</v>
      </c>
      <c r="G58" s="58">
        <f t="shared" si="11"/>
        <v>13.73244653458109</v>
      </c>
      <c r="H58" s="58">
        <f t="shared" si="12"/>
        <v>14.467924545569424</v>
      </c>
      <c r="I58" s="58">
        <f t="shared" si="19"/>
        <v>6.2833397947334131</v>
      </c>
      <c r="J58" s="58">
        <f t="shared" si="13"/>
        <v>-2.8322897866961965E-3</v>
      </c>
      <c r="K58" s="58">
        <f t="shared" si="14"/>
        <v>2.8322897866961921E-3</v>
      </c>
      <c r="L58" s="58">
        <f t="shared" si="15"/>
        <v>0.10202533005647467</v>
      </c>
      <c r="M58" s="58">
        <f t="shared" si="17"/>
        <v>0.97557136953411727</v>
      </c>
      <c r="N58" s="59">
        <f t="shared" si="18"/>
        <v>0.87354603947764264</v>
      </c>
      <c r="O58" s="1"/>
      <c r="P58" s="5"/>
      <c r="Q58" s="5"/>
      <c r="R58" s="5"/>
      <c r="S58" s="56"/>
      <c r="T58" s="56"/>
      <c r="U58" s="5"/>
      <c r="V58" s="11"/>
      <c r="W58" s="11"/>
      <c r="X58" s="11"/>
    </row>
    <row r="59" spans="1:24" x14ac:dyDescent="0.25">
      <c r="A59" s="1"/>
      <c r="B59" s="4"/>
      <c r="C59" s="57">
        <v>24</v>
      </c>
      <c r="D59" s="57">
        <v>6.5507256710000004</v>
      </c>
      <c r="E59" s="57">
        <v>0.19458400000000001</v>
      </c>
      <c r="F59" s="58">
        <f t="shared" si="10"/>
        <v>3554067.4933799985</v>
      </c>
      <c r="G59" s="58">
        <f t="shared" si="11"/>
        <v>15.083603278338019</v>
      </c>
      <c r="H59" s="58">
        <f t="shared" si="12"/>
        <v>14.625467145669303</v>
      </c>
      <c r="I59" s="58">
        <f t="shared" si="19"/>
        <v>6.351759676621481</v>
      </c>
      <c r="J59" s="58">
        <f t="shared" si="13"/>
        <v>1.6744193366560309E-3</v>
      </c>
      <c r="K59" s="58">
        <f t="shared" si="14"/>
        <v>1.6744193366560265E-3</v>
      </c>
      <c r="L59" s="58">
        <f t="shared" si="15"/>
        <v>3.9587466919032997E-2</v>
      </c>
      <c r="M59" s="58">
        <f t="shared" si="17"/>
        <v>1.0457102722656149</v>
      </c>
      <c r="N59" s="59">
        <f t="shared" si="18"/>
        <v>1.0061228053465818</v>
      </c>
      <c r="O59" s="1"/>
      <c r="P59" s="5"/>
      <c r="Q59" s="5"/>
      <c r="R59" s="5"/>
      <c r="S59" s="5"/>
      <c r="T59" s="5"/>
      <c r="U59" s="5"/>
      <c r="V59" s="11"/>
      <c r="W59" s="11"/>
      <c r="X59" s="11"/>
    </row>
    <row r="60" spans="1:24" x14ac:dyDescent="0.25">
      <c r="A60" s="1"/>
      <c r="B60" s="4"/>
      <c r="C60" s="57">
        <v>30</v>
      </c>
      <c r="D60" s="57">
        <v>6.4138057450000003</v>
      </c>
      <c r="E60" s="57">
        <v>0.55965100000000001</v>
      </c>
      <c r="F60" s="58">
        <f t="shared" si="10"/>
        <v>2593019.2745557097</v>
      </c>
      <c r="G60" s="58">
        <f t="shared" si="11"/>
        <v>14.768333497796572</v>
      </c>
      <c r="H60" s="58">
        <f t="shared" si="12"/>
        <v>14.655841565381596</v>
      </c>
      <c r="I60" s="58">
        <f t="shared" si="19"/>
        <v>6.3649511194935435</v>
      </c>
      <c r="J60" s="58">
        <f t="shared" si="13"/>
        <v>4.1509119139675145E-4</v>
      </c>
      <c r="K60" s="58">
        <f t="shared" si="14"/>
        <v>4.1509119139674868E-4</v>
      </c>
      <c r="L60" s="58">
        <f t="shared" si="15"/>
        <v>2.38677443337614E-3</v>
      </c>
      <c r="M60" s="58">
        <f t="shared" si="17"/>
        <v>1.0351471250704627</v>
      </c>
      <c r="N60" s="59">
        <f t="shared" si="18"/>
        <v>1.0327603506370866</v>
      </c>
      <c r="O60" s="1"/>
      <c r="P60" s="5"/>
      <c r="Q60" s="11"/>
      <c r="R60" s="11"/>
      <c r="S60" s="11"/>
      <c r="T60" s="11"/>
      <c r="U60" s="11"/>
      <c r="V60" s="11"/>
      <c r="W60" s="11"/>
      <c r="X60" s="11"/>
    </row>
    <row r="61" spans="1:24" x14ac:dyDescent="0.25">
      <c r="A61" s="1"/>
      <c r="B61" s="4"/>
      <c r="C61" s="57">
        <v>36</v>
      </c>
      <c r="D61" s="57">
        <v>6.6842459490000001</v>
      </c>
      <c r="E61" s="57">
        <v>0.21376300000000001</v>
      </c>
      <c r="F61" s="58">
        <f t="shared" si="10"/>
        <v>4833324.4465358155</v>
      </c>
      <c r="G61" s="58">
        <f t="shared" si="11"/>
        <v>15.391045080073241</v>
      </c>
      <c r="H61" s="58">
        <f t="shared" si="12"/>
        <v>14.661637001999869</v>
      </c>
      <c r="I61" s="58">
        <f t="shared" si="19"/>
        <v>6.3674680456370796</v>
      </c>
      <c r="J61" s="58">
        <f t="shared" si="13"/>
        <v>2.6357059168341922E-3</v>
      </c>
      <c r="K61" s="58">
        <f t="shared" si="14"/>
        <v>2.6357059168341905E-3</v>
      </c>
      <c r="L61" s="58">
        <f t="shared" si="15"/>
        <v>0.10034824005900783</v>
      </c>
      <c r="M61" s="58">
        <f t="shared" si="17"/>
        <v>1.1382305688069383</v>
      </c>
      <c r="N61" s="59">
        <f t="shared" si="18"/>
        <v>1.0378823287479304</v>
      </c>
      <c r="O61" s="1"/>
      <c r="P61" s="5"/>
      <c r="Q61" s="11"/>
      <c r="R61" s="11"/>
      <c r="S61" s="11"/>
      <c r="T61" s="11"/>
      <c r="U61" s="11"/>
      <c r="V61" s="11"/>
      <c r="W61" s="11"/>
      <c r="X61" s="11"/>
    </row>
    <row r="62" spans="1:24" x14ac:dyDescent="0.25">
      <c r="A62" s="1"/>
      <c r="B62" s="4"/>
      <c r="C62" s="57">
        <v>42</v>
      </c>
      <c r="D62" s="57">
        <v>6.4990173179999999</v>
      </c>
      <c r="E62" s="57">
        <v>0.42107899999999998</v>
      </c>
      <c r="F62" s="58">
        <f t="shared" si="10"/>
        <v>3155130.4353794884</v>
      </c>
      <c r="G62" s="58">
        <f t="shared" si="11"/>
        <v>14.964540395536945</v>
      </c>
      <c r="H62" s="58">
        <f t="shared" si="12"/>
        <v>14.66274056213566</v>
      </c>
      <c r="I62" s="58">
        <f t="shared" si="19"/>
        <v>6.3679473157145017</v>
      </c>
      <c r="J62" s="58">
        <f t="shared" si="13"/>
        <v>1.1060290706780952E-3</v>
      </c>
      <c r="K62" s="58">
        <f t="shared" si="14"/>
        <v>1.1060290706780967E-3</v>
      </c>
      <c r="L62" s="58">
        <f t="shared" si="15"/>
        <v>1.7179345499120518E-2</v>
      </c>
      <c r="M62" s="58">
        <f t="shared" si="17"/>
        <v>1.0560384312034536</v>
      </c>
      <c r="N62" s="59">
        <f t="shared" si="18"/>
        <v>1.0388590857043332</v>
      </c>
      <c r="O62" s="1"/>
      <c r="P62" s="5"/>
      <c r="Q62" s="11"/>
      <c r="R62" s="11"/>
      <c r="S62" s="11"/>
      <c r="T62" s="11"/>
      <c r="U62" s="11"/>
      <c r="V62" s="11"/>
      <c r="W62" s="11"/>
      <c r="X62" s="11"/>
    </row>
    <row r="63" spans="1:24" x14ac:dyDescent="0.25">
      <c r="A63" s="1"/>
      <c r="B63" s="4"/>
      <c r="C63" s="57">
        <v>48</v>
      </c>
      <c r="D63" s="57">
        <v>6.8687928109999996</v>
      </c>
      <c r="E63" s="57">
        <v>0.46417199999999997</v>
      </c>
      <c r="F63" s="58">
        <f t="shared" si="10"/>
        <v>7392525.1549793612</v>
      </c>
      <c r="G63" s="58">
        <f t="shared" si="11"/>
        <v>15.815979933473269</v>
      </c>
      <c r="H63" s="58">
        <f t="shared" si="12"/>
        <v>14.662950620687754</v>
      </c>
      <c r="I63" s="58">
        <f t="shared" si="19"/>
        <v>6.3680385429845527</v>
      </c>
      <c r="J63" s="58">
        <f t="shared" si="13"/>
        <v>4.1093416576233107E-3</v>
      </c>
      <c r="K63" s="58">
        <f t="shared" si="14"/>
        <v>4.1093416576233133E-3</v>
      </c>
      <c r="L63" s="58">
        <f t="shared" si="15"/>
        <v>0.25075483693568601</v>
      </c>
      <c r="M63" s="58">
        <f t="shared" si="17"/>
        <v>1.2897998967252076</v>
      </c>
      <c r="N63" s="59">
        <f t="shared" si="18"/>
        <v>1.0390450597895216</v>
      </c>
      <c r="O63" s="1"/>
      <c r="P63" s="5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A64" s="1"/>
      <c r="B64" s="4"/>
      <c r="C64" s="58"/>
      <c r="D64" s="60">
        <f>AVERAGE(D46:D53)</f>
        <v>5.3487029457500004</v>
      </c>
      <c r="E64" s="60"/>
      <c r="F64" s="58"/>
      <c r="G64" s="58"/>
      <c r="H64" s="58"/>
      <c r="I64" s="58"/>
      <c r="J64" s="58">
        <f>SUM(J46:J63)</f>
        <v>-5.1681358205740869E-3</v>
      </c>
      <c r="K64" s="58">
        <f>SUM(K46:K63)</f>
        <v>4.5878051736478041E-2</v>
      </c>
      <c r="L64" s="58">
        <f>AVERAGE(L46:L63)</f>
        <v>9.5477219421557014E-2</v>
      </c>
      <c r="M64" s="58">
        <f>SUM(M46:M63)</f>
        <v>35.897746550855807</v>
      </c>
      <c r="N64" s="59">
        <f>SUM(N46:N63)</f>
        <v>34.179156601267785</v>
      </c>
      <c r="O64" s="1"/>
      <c r="P64" s="5"/>
      <c r="Q64" s="11"/>
      <c r="R64" s="11"/>
      <c r="S64" s="11"/>
      <c r="T64" s="11"/>
      <c r="U64" s="11"/>
      <c r="V64" s="11"/>
      <c r="W64" s="11"/>
      <c r="X64" s="11"/>
    </row>
    <row r="65" spans="1:24" x14ac:dyDescent="0.25">
      <c r="A65" s="1"/>
      <c r="B65" s="4"/>
      <c r="C65" s="5"/>
      <c r="D65" s="5"/>
      <c r="E65" s="29"/>
      <c r="F65" s="5"/>
      <c r="G65" s="5"/>
      <c r="H65" s="5"/>
      <c r="I65" s="40" t="s">
        <v>43</v>
      </c>
      <c r="J65" s="40">
        <f>10^J64</f>
        <v>0.98817045333234554</v>
      </c>
      <c r="K65" s="40">
        <f>10^K64</f>
        <v>1.1114196010014448</v>
      </c>
      <c r="L65" s="5"/>
      <c r="M65" s="5"/>
      <c r="N65" s="6"/>
      <c r="O65" s="1"/>
      <c r="P65" s="5"/>
      <c r="Q65" s="11"/>
      <c r="R65" s="11"/>
      <c r="S65" s="11"/>
      <c r="T65" s="11"/>
      <c r="U65" s="11"/>
      <c r="V65" s="11"/>
      <c r="W65" s="11"/>
      <c r="X65" s="11"/>
    </row>
    <row r="66" spans="1:24" x14ac:dyDescent="0.25">
      <c r="A66" s="35" t="s">
        <v>35</v>
      </c>
      <c r="B66" s="36">
        <v>8</v>
      </c>
      <c r="C66" s="24"/>
      <c r="D66" s="29"/>
      <c r="E66" s="29"/>
      <c r="F66" s="24"/>
      <c r="G66" s="24"/>
      <c r="H66" s="24"/>
      <c r="I66" s="24"/>
      <c r="J66" s="24"/>
      <c r="K66" s="24"/>
      <c r="L66" s="24">
        <f>(SQRT(M64/(B66-1)))/(SQRT(B66))</f>
        <v>0.80064423335720047</v>
      </c>
      <c r="M66" s="29"/>
      <c r="N66" s="25" t="s">
        <v>37</v>
      </c>
      <c r="O66" s="1"/>
      <c r="P66" s="5"/>
      <c r="Q66" s="11"/>
      <c r="R66" s="11"/>
      <c r="S66" s="11"/>
      <c r="T66" s="11"/>
      <c r="U66" s="11"/>
      <c r="V66" s="11"/>
      <c r="W66" s="11"/>
      <c r="X66" s="11"/>
    </row>
    <row r="67" spans="1:24" x14ac:dyDescent="0.25">
      <c r="A67" s="1"/>
      <c r="B67" s="23"/>
      <c r="C67" s="24"/>
      <c r="D67" s="29"/>
      <c r="E67" s="29"/>
      <c r="F67" s="24"/>
      <c r="G67" s="24"/>
      <c r="H67" s="24"/>
      <c r="I67" s="24"/>
      <c r="J67" s="24"/>
      <c r="K67" s="24"/>
      <c r="L67" s="24">
        <f>N64/M64</f>
        <v>0.95212540856420269</v>
      </c>
      <c r="M67" s="29"/>
      <c r="N67" s="25" t="s">
        <v>22</v>
      </c>
      <c r="O67" s="1"/>
      <c r="P67" s="5"/>
      <c r="Q67" s="11"/>
      <c r="R67" s="11"/>
      <c r="S67" s="11"/>
      <c r="T67" s="11"/>
      <c r="U67" s="11"/>
      <c r="V67" s="11"/>
      <c r="W67" s="11"/>
      <c r="X67" s="11"/>
    </row>
    <row r="68" spans="1:24" x14ac:dyDescent="0.25">
      <c r="A68" s="1"/>
      <c r="B68" s="23"/>
      <c r="C68" s="24"/>
      <c r="D68" s="29"/>
      <c r="E68" s="24"/>
      <c r="F68" s="24"/>
      <c r="G68" s="24"/>
      <c r="H68" s="24"/>
      <c r="I68" s="24"/>
      <c r="J68" s="24"/>
      <c r="K68" s="24"/>
      <c r="L68" s="24">
        <f>L64*100/D64</f>
        <v>1.785053692267988</v>
      </c>
      <c r="M68" s="29"/>
      <c r="N68" s="6" t="s">
        <v>40</v>
      </c>
      <c r="O68" s="18"/>
      <c r="P68" s="1"/>
    </row>
    <row r="69" spans="1:24" ht="15.75" thickBot="1" x14ac:dyDescent="0.3">
      <c r="A69" s="1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>
        <f>SQRT(L64)</f>
        <v>0.30899388249859738</v>
      </c>
      <c r="M69" s="27"/>
      <c r="N69" s="28" t="s">
        <v>18</v>
      </c>
      <c r="O69" s="1"/>
      <c r="P69" s="5"/>
      <c r="Q69" s="11"/>
      <c r="R69" s="11"/>
      <c r="S69" s="11"/>
      <c r="T69" s="11"/>
      <c r="U69" s="11"/>
      <c r="V69" s="11"/>
      <c r="W69" s="11"/>
      <c r="X69" s="11"/>
    </row>
    <row r="70" spans="1:24" x14ac:dyDescent="0.25">
      <c r="A70" s="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1"/>
      <c r="P70" s="5"/>
      <c r="Q70" s="11"/>
      <c r="R70" s="11"/>
      <c r="S70" s="11"/>
      <c r="T70" s="11"/>
      <c r="U70" s="11"/>
      <c r="V70" s="11"/>
      <c r="W70" s="11"/>
      <c r="X70" s="11"/>
    </row>
    <row r="71" spans="1:24" x14ac:dyDescent="0.25">
      <c r="A71" s="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1"/>
      <c r="P71" s="5"/>
      <c r="Q71" s="11"/>
      <c r="R71" s="11"/>
      <c r="S71" s="11"/>
      <c r="T71" s="11"/>
      <c r="U71" s="11"/>
      <c r="V71" s="11"/>
      <c r="W71" s="11"/>
      <c r="X71" s="11"/>
    </row>
    <row r="72" spans="1:24" x14ac:dyDescent="0.25">
      <c r="A72" s="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1"/>
      <c r="P72" s="5"/>
      <c r="Q72" s="11"/>
      <c r="R72" s="11"/>
      <c r="S72" s="11"/>
      <c r="T72" s="11"/>
      <c r="U72" s="11"/>
      <c r="V72" s="11"/>
      <c r="W72" s="11"/>
      <c r="X72" s="11"/>
    </row>
    <row r="73" spans="1:24" x14ac:dyDescent="0.25">
      <c r="A73" s="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1"/>
      <c r="P73" s="5"/>
      <c r="Q73" s="11"/>
      <c r="R73" s="11"/>
      <c r="S73" s="11"/>
      <c r="T73" s="11"/>
      <c r="U73" s="11"/>
      <c r="V73" s="11"/>
      <c r="W73" s="11"/>
      <c r="X73" s="11"/>
    </row>
    <row r="74" spans="1:24" x14ac:dyDescent="0.25">
      <c r="A74" s="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1"/>
      <c r="P74" s="5"/>
      <c r="Q74" s="11"/>
      <c r="R74" s="11"/>
      <c r="S74" s="11"/>
      <c r="T74" s="11"/>
      <c r="U74" s="11"/>
      <c r="V74" s="11"/>
      <c r="W74" s="11"/>
      <c r="X74" s="11"/>
    </row>
    <row r="75" spans="1:24" x14ac:dyDescent="0.25">
      <c r="A75" s="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1"/>
      <c r="P75" s="5"/>
      <c r="Q75" s="11"/>
      <c r="R75" s="11"/>
      <c r="S75" s="11"/>
      <c r="T75" s="11"/>
      <c r="U75" s="11"/>
      <c r="V75" s="11"/>
      <c r="W75" s="11"/>
      <c r="X75" s="11"/>
    </row>
    <row r="76" spans="1:24" x14ac:dyDescent="0.25">
      <c r="A76" s="1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1"/>
      <c r="P76" s="5"/>
      <c r="Q76" s="11"/>
      <c r="R76" s="11"/>
      <c r="S76" s="11"/>
      <c r="T76" s="11"/>
      <c r="U76" s="11"/>
      <c r="V76" s="11"/>
      <c r="W76" s="11"/>
      <c r="X76" s="11"/>
    </row>
    <row r="77" spans="1:24" x14ac:dyDescent="0.25">
      <c r="A77" s="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1"/>
      <c r="P77" s="5"/>
      <c r="Q77" s="11"/>
      <c r="R77" s="11"/>
      <c r="S77" s="11"/>
      <c r="T77" s="11"/>
      <c r="U77" s="11"/>
      <c r="V77" s="11"/>
      <c r="W77" s="11"/>
      <c r="X77" s="11"/>
    </row>
    <row r="78" spans="1:24" x14ac:dyDescent="0.25">
      <c r="A78" s="1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1"/>
      <c r="P78" s="5"/>
      <c r="Q78" s="11"/>
      <c r="R78" s="11"/>
      <c r="S78" s="11"/>
      <c r="T78" s="11"/>
      <c r="U78" s="11"/>
      <c r="V78" s="11"/>
      <c r="W78" s="11"/>
      <c r="X78" s="11"/>
    </row>
    <row r="79" spans="1:24" x14ac:dyDescent="0.25">
      <c r="A79" s="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1"/>
      <c r="P79" s="5"/>
      <c r="Q79" s="11"/>
      <c r="R79" s="11"/>
      <c r="S79" s="11"/>
      <c r="T79" s="11"/>
      <c r="U79" s="11"/>
      <c r="V79" s="11"/>
      <c r="W79" s="11"/>
      <c r="X79" s="11"/>
    </row>
    <row r="80" spans="1:24" x14ac:dyDescent="0.25">
      <c r="A80" s="1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1"/>
      <c r="P80" s="5"/>
      <c r="Q80" s="11"/>
      <c r="R80" s="11"/>
      <c r="S80" s="11"/>
      <c r="T80" s="11"/>
      <c r="U80" s="11"/>
      <c r="V80" s="11"/>
      <c r="W80" s="11"/>
      <c r="X80" s="11"/>
    </row>
    <row r="81" spans="1:24" x14ac:dyDescent="0.25">
      <c r="A81" s="1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1"/>
      <c r="P81" s="5"/>
      <c r="Q81" s="11"/>
      <c r="R81" s="11"/>
      <c r="S81" s="11"/>
      <c r="T81" s="11"/>
      <c r="U81" s="11"/>
      <c r="V81" s="11"/>
      <c r="W81" s="11"/>
      <c r="X81" s="11"/>
    </row>
    <row r="82" spans="1:24" x14ac:dyDescent="0.25">
      <c r="A82" s="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1"/>
      <c r="P82" s="5"/>
      <c r="Q82" s="11"/>
      <c r="R82" s="11"/>
      <c r="S82" s="11"/>
      <c r="T82" s="11"/>
      <c r="U82" s="11"/>
      <c r="V82" s="11"/>
      <c r="W82" s="11"/>
      <c r="X82" s="11"/>
    </row>
    <row r="83" spans="1:24" x14ac:dyDescent="0.25">
      <c r="A83" s="1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1"/>
      <c r="P83" s="5"/>
      <c r="Q83" s="11"/>
      <c r="R83" s="11"/>
      <c r="S83" s="11"/>
      <c r="T83" s="11"/>
      <c r="U83" s="11"/>
      <c r="V83" s="11"/>
      <c r="W83" s="11"/>
      <c r="X83" s="11"/>
    </row>
    <row r="84" spans="1:24" x14ac:dyDescent="0.25">
      <c r="A84" s="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1"/>
      <c r="P84" s="5"/>
      <c r="Q84" s="11"/>
      <c r="R84" s="11"/>
      <c r="S84" s="11"/>
      <c r="T84" s="11"/>
      <c r="U84" s="11"/>
      <c r="V84" s="11"/>
      <c r="W84" s="11"/>
      <c r="X84" s="11"/>
    </row>
    <row r="85" spans="1:24" x14ac:dyDescent="0.25">
      <c r="A85" s="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1"/>
      <c r="P85" s="5"/>
      <c r="Q85" s="11"/>
      <c r="R85" s="11"/>
      <c r="S85" s="11"/>
      <c r="T85" s="11"/>
      <c r="U85" s="11"/>
      <c r="V85" s="11"/>
      <c r="W85" s="11"/>
      <c r="X85" s="11"/>
    </row>
    <row r="86" spans="1:24" x14ac:dyDescent="0.25">
      <c r="A86" s="1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1"/>
      <c r="P86" s="5"/>
      <c r="Q86" s="11"/>
      <c r="R86" s="11"/>
      <c r="S86" s="11"/>
      <c r="T86" s="11"/>
      <c r="U86" s="11"/>
      <c r="V86" s="11"/>
      <c r="W86" s="11"/>
      <c r="X86" s="11"/>
    </row>
    <row r="87" spans="1:24" x14ac:dyDescent="0.25">
      <c r="A87" s="1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1"/>
      <c r="P87" s="5"/>
      <c r="Q87" s="11"/>
      <c r="R87" s="11"/>
      <c r="S87" s="11"/>
      <c r="T87" s="11"/>
      <c r="U87" s="11"/>
      <c r="V87" s="11"/>
      <c r="W87" s="11"/>
      <c r="X87" s="11"/>
    </row>
    <row r="88" spans="1:24" x14ac:dyDescent="0.25">
      <c r="A88" s="1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1"/>
      <c r="P88" s="5"/>
      <c r="Q88" s="11"/>
      <c r="R88" s="11"/>
      <c r="S88" s="11"/>
      <c r="T88" s="11"/>
      <c r="U88" s="11"/>
      <c r="V88" s="11"/>
      <c r="W88" s="11"/>
      <c r="X88" s="11"/>
    </row>
    <row r="89" spans="1:24" x14ac:dyDescent="0.25">
      <c r="A89" s="1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1"/>
      <c r="P89" s="5"/>
      <c r="Q89" s="11"/>
      <c r="R89" s="11"/>
      <c r="S89" s="11"/>
      <c r="T89" s="11"/>
      <c r="U89" s="11"/>
      <c r="V89" s="11"/>
      <c r="W89" s="11"/>
      <c r="X89" s="11"/>
    </row>
    <row r="90" spans="1:24" x14ac:dyDescent="0.25">
      <c r="A90" s="1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1"/>
      <c r="P90" s="5"/>
      <c r="Q90" s="11"/>
      <c r="R90" s="11"/>
      <c r="S90" s="11"/>
      <c r="T90" s="11"/>
      <c r="U90" s="11"/>
      <c r="V90" s="11"/>
      <c r="W90" s="11"/>
      <c r="X90" s="11"/>
    </row>
    <row r="91" spans="1:24" x14ac:dyDescent="0.25">
      <c r="A91" s="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1"/>
      <c r="P91" s="5"/>
      <c r="Q91" s="11"/>
      <c r="R91" s="11"/>
      <c r="S91" s="11"/>
      <c r="T91" s="11"/>
      <c r="U91" s="11"/>
      <c r="V91" s="11"/>
      <c r="W91" s="11"/>
      <c r="X91" s="11"/>
    </row>
    <row r="92" spans="1:24" x14ac:dyDescent="0.25">
      <c r="A92" s="1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1"/>
      <c r="P92" s="5"/>
      <c r="Q92" s="11"/>
      <c r="R92" s="11"/>
      <c r="S92" s="11"/>
      <c r="T92" s="11"/>
      <c r="U92" s="11"/>
      <c r="V92" s="11"/>
      <c r="W92" s="11"/>
      <c r="X92" s="11"/>
    </row>
    <row r="93" spans="1:24" x14ac:dyDescent="0.25">
      <c r="A93" s="1"/>
      <c r="B93" s="24"/>
      <c r="C93" s="24"/>
      <c r="D93" s="24"/>
      <c r="E93" s="5"/>
      <c r="F93" s="24"/>
      <c r="G93" s="24"/>
      <c r="H93" s="24"/>
      <c r="I93" s="24"/>
      <c r="J93" s="24"/>
      <c r="K93" s="24"/>
      <c r="L93" s="24"/>
      <c r="M93" s="24"/>
      <c r="N93" s="24"/>
      <c r="O93" s="1"/>
      <c r="P93" s="5"/>
      <c r="Q93" s="11"/>
      <c r="R93" s="11"/>
      <c r="S93" s="11"/>
      <c r="T93" s="11"/>
      <c r="U93" s="11"/>
      <c r="V93" s="11"/>
      <c r="W93" s="11"/>
      <c r="X93" s="11"/>
    </row>
    <row r="94" spans="1:24" ht="15.75" thickBot="1" x14ac:dyDescent="0.3">
      <c r="A94" s="1"/>
      <c r="B94" s="1"/>
      <c r="C94" s="1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1"/>
      <c r="Q94" s="5"/>
      <c r="R94" s="5"/>
      <c r="S94" s="5"/>
      <c r="T94" s="5"/>
      <c r="U94" s="5"/>
      <c r="V94" s="11"/>
      <c r="W94" s="11"/>
      <c r="X94" s="11"/>
    </row>
    <row r="95" spans="1:24" x14ac:dyDescent="0.25">
      <c r="A95" s="1"/>
      <c r="B95" s="22" t="s">
        <v>59</v>
      </c>
      <c r="C95" s="2" t="s">
        <v>1</v>
      </c>
      <c r="D95" s="2" t="s">
        <v>2</v>
      </c>
      <c r="E95" s="2"/>
      <c r="F95" s="2" t="s">
        <v>7</v>
      </c>
      <c r="G95" s="2" t="s">
        <v>5</v>
      </c>
      <c r="H95" s="2" t="s">
        <v>6</v>
      </c>
      <c r="I95" s="2" t="s">
        <v>17</v>
      </c>
      <c r="J95" s="2" t="s">
        <v>39</v>
      </c>
      <c r="K95" s="2" t="s">
        <v>38</v>
      </c>
      <c r="L95" s="2" t="s">
        <v>36</v>
      </c>
      <c r="M95" s="2" t="s">
        <v>21</v>
      </c>
      <c r="N95" s="3" t="s">
        <v>20</v>
      </c>
      <c r="O95" s="1"/>
      <c r="P95" s="11"/>
      <c r="Q95" s="8"/>
      <c r="R95" s="15" t="s">
        <v>14</v>
      </c>
      <c r="S95" s="12" t="s">
        <v>8</v>
      </c>
      <c r="T95" s="12" t="s">
        <v>9</v>
      </c>
      <c r="U95" s="3" t="s">
        <v>10</v>
      </c>
      <c r="V95" s="11"/>
      <c r="W95" s="11"/>
      <c r="X95" s="11"/>
    </row>
    <row r="96" spans="1:24" ht="15.75" thickBot="1" x14ac:dyDescent="0.3">
      <c r="A96" s="1" t="s">
        <v>54</v>
      </c>
      <c r="B96" s="4"/>
      <c r="C96" s="53">
        <v>0</v>
      </c>
      <c r="D96" s="53">
        <v>2.11</v>
      </c>
      <c r="E96" s="53">
        <v>0.14000000000000001</v>
      </c>
      <c r="F96" s="5">
        <f t="shared" ref="F96:F113" si="20">10^D96</f>
        <v>128.82495516931343</v>
      </c>
      <c r="G96" s="5">
        <f t="shared" ref="G96:G113" si="21">LN(10^D96)</f>
        <v>4.8584545462174367</v>
      </c>
      <c r="H96" s="5">
        <f t="shared" ref="H96:H113" si="22">($R$97)/(1+$R$98*EXP(-$R$99*C96))</f>
        <v>5.6184082821093497</v>
      </c>
      <c r="I96" s="5">
        <f>LOG(EXP(H96))</f>
        <v>2.4400437139996192</v>
      </c>
      <c r="J96" s="5">
        <f t="shared" ref="J96:J113" si="23">LOG(D96/I96)/$B$22</f>
        <v>-7.8893939507626507E-3</v>
      </c>
      <c r="K96" s="5">
        <f t="shared" ref="K96:K113" si="24">ABS(LOG(I96/D96)/$B$22)</f>
        <v>7.8893939507626489E-3</v>
      </c>
      <c r="L96" s="5">
        <f t="shared" ref="L96:L113" si="25">(D96-I96)^2</f>
        <v>0.1089288531506625</v>
      </c>
      <c r="M96" s="5">
        <f>N96+L96</f>
        <v>3.3627862681219658</v>
      </c>
      <c r="N96" s="6">
        <f t="shared" ref="N96:N113" si="26">(I96-$D$114)^2</f>
        <v>3.2538574149713031</v>
      </c>
      <c r="O96" s="1"/>
      <c r="P96" s="5"/>
      <c r="Q96" s="9"/>
      <c r="R96" s="16"/>
      <c r="S96" s="14"/>
      <c r="T96" s="14"/>
      <c r="U96" s="6"/>
      <c r="V96" s="11"/>
      <c r="W96" s="11"/>
      <c r="X96" s="11"/>
    </row>
    <row r="97" spans="1:24" x14ac:dyDescent="0.25">
      <c r="A97" s="1"/>
      <c r="B97" s="4"/>
      <c r="C97" s="53">
        <v>12</v>
      </c>
      <c r="D97" s="53">
        <v>3.91</v>
      </c>
      <c r="E97" s="53">
        <v>0.14000000000000001</v>
      </c>
      <c r="F97" s="5">
        <f t="shared" si="20"/>
        <v>8128.3051616410066</v>
      </c>
      <c r="G97" s="5">
        <f t="shared" si="21"/>
        <v>9.0031077136067204</v>
      </c>
      <c r="H97" s="5">
        <f t="shared" si="22"/>
        <v>9.5132809587674032</v>
      </c>
      <c r="I97" s="5">
        <f>LOG(EXP(H97))</f>
        <v>4.1315654251879605</v>
      </c>
      <c r="J97" s="5">
        <f t="shared" si="23"/>
        <v>-2.9922346248221691E-3</v>
      </c>
      <c r="K97" s="5">
        <f t="shared" si="24"/>
        <v>2.9922346248221739E-3</v>
      </c>
      <c r="L97" s="5">
        <f t="shared" si="25"/>
        <v>4.9091237638721683E-2</v>
      </c>
      <c r="M97" s="5">
        <f t="shared" ref="M97:M104" si="27">N97+L97</f>
        <v>6.1707798136495635E-2</v>
      </c>
      <c r="N97" s="6">
        <f t="shared" si="26"/>
        <v>1.2616560497773951E-2</v>
      </c>
      <c r="O97" s="1"/>
      <c r="P97" s="5"/>
      <c r="Q97" s="9" t="s">
        <v>11</v>
      </c>
      <c r="R97" s="15">
        <v>10.4199</v>
      </c>
      <c r="S97" s="31">
        <v>0.22270000000000001</v>
      </c>
      <c r="T97" s="31">
        <v>46.781599999999997</v>
      </c>
      <c r="U97" s="3" t="s">
        <v>15</v>
      </c>
      <c r="V97" s="11"/>
      <c r="W97" s="11"/>
      <c r="X97" s="11"/>
    </row>
    <row r="98" spans="1:24" x14ac:dyDescent="0.25">
      <c r="A98" s="1"/>
      <c r="B98" s="4"/>
      <c r="C98" s="53">
        <v>24</v>
      </c>
      <c r="D98" s="53">
        <v>4.3</v>
      </c>
      <c r="E98" s="53">
        <v>0.09</v>
      </c>
      <c r="F98" s="5">
        <f t="shared" si="20"/>
        <v>19952.623149688792</v>
      </c>
      <c r="G98" s="5">
        <f t="shared" si="21"/>
        <v>9.9011158998743962</v>
      </c>
      <c r="H98" s="5">
        <f t="shared" si="22"/>
        <v>10.310328242092043</v>
      </c>
      <c r="I98" s="5">
        <f t="shared" ref="I98:I104" si="28">LOG(EXP(H98))</f>
        <v>4.4777186621518288</v>
      </c>
      <c r="J98" s="5">
        <f t="shared" si="23"/>
        <v>-2.1985434410298748E-3</v>
      </c>
      <c r="K98" s="5">
        <f t="shared" si="24"/>
        <v>2.1985434410298752E-3</v>
      </c>
      <c r="L98" s="5">
        <f t="shared" si="25"/>
        <v>3.1583922877035923E-2</v>
      </c>
      <c r="M98" s="5">
        <f t="shared" si="27"/>
        <v>8.6260285741233428E-2</v>
      </c>
      <c r="N98" s="6">
        <f t="shared" si="26"/>
        <v>5.4676362864197497E-2</v>
      </c>
      <c r="O98" s="1"/>
      <c r="P98" s="5"/>
      <c r="Q98" s="9" t="s">
        <v>12</v>
      </c>
      <c r="R98" s="16">
        <v>0.85460000000000003</v>
      </c>
      <c r="S98" s="30">
        <v>0.19020000000000001</v>
      </c>
      <c r="T98" s="30">
        <v>4.4943</v>
      </c>
      <c r="U98" s="6">
        <v>4.0000000000000002E-4</v>
      </c>
      <c r="V98" s="11"/>
      <c r="W98" s="11"/>
      <c r="X98" s="11"/>
    </row>
    <row r="99" spans="1:24" ht="15.75" thickBot="1" x14ac:dyDescent="0.3">
      <c r="A99" s="1"/>
      <c r="B99" s="4"/>
      <c r="C99" s="53">
        <v>36</v>
      </c>
      <c r="D99" s="53">
        <v>4.13</v>
      </c>
      <c r="E99" s="53">
        <v>0.46</v>
      </c>
      <c r="F99" s="5">
        <f t="shared" si="20"/>
        <v>13489.628825916556</v>
      </c>
      <c r="G99" s="5">
        <f t="shared" si="21"/>
        <v>9.5096764340654101</v>
      </c>
      <c r="H99" s="5">
        <f t="shared" si="22"/>
        <v>10.407565915140131</v>
      </c>
      <c r="I99" s="5">
        <f t="shared" si="28"/>
        <v>4.5199484469897264</v>
      </c>
      <c r="J99" s="5">
        <f t="shared" si="23"/>
        <v>-4.8979287208226223E-3</v>
      </c>
      <c r="K99" s="5">
        <f t="shared" si="24"/>
        <v>4.8979287208226257E-3</v>
      </c>
      <c r="L99" s="5">
        <f t="shared" si="25"/>
        <v>0.15205979130969957</v>
      </c>
      <c r="M99" s="5">
        <f t="shared" si="27"/>
        <v>0.22826867092852882</v>
      </c>
      <c r="N99" s="6">
        <f t="shared" si="26"/>
        <v>7.6208879618829245E-2</v>
      </c>
      <c r="O99" s="1"/>
      <c r="P99" s="5"/>
      <c r="Q99" s="10" t="s">
        <v>24</v>
      </c>
      <c r="R99" s="17">
        <v>0.18279999999999999</v>
      </c>
      <c r="S99" s="13">
        <v>6.1899999999999997E-2</v>
      </c>
      <c r="T99" s="13">
        <v>2.9529999999999998</v>
      </c>
      <c r="U99" s="7">
        <v>9.9000000000000008E-3</v>
      </c>
      <c r="V99" s="11"/>
      <c r="W99" s="11"/>
      <c r="X99" s="11"/>
    </row>
    <row r="100" spans="1:24" x14ac:dyDescent="0.25">
      <c r="A100" s="1"/>
      <c r="B100" s="4"/>
      <c r="C100" s="53">
        <v>48</v>
      </c>
      <c r="D100" s="53">
        <v>4.03</v>
      </c>
      <c r="E100" s="53">
        <v>0.25</v>
      </c>
      <c r="F100" s="5">
        <f t="shared" si="20"/>
        <v>10715.193052376071</v>
      </c>
      <c r="G100" s="5">
        <f t="shared" si="21"/>
        <v>9.2794179247660047</v>
      </c>
      <c r="H100" s="5">
        <f t="shared" si="22"/>
        <v>10.418523121728601</v>
      </c>
      <c r="I100" s="5">
        <f t="shared" si="28"/>
        <v>4.5247071013481728</v>
      </c>
      <c r="J100" s="5">
        <f t="shared" si="23"/>
        <v>-6.285678131220585E-3</v>
      </c>
      <c r="K100" s="5">
        <f t="shared" si="24"/>
        <v>6.2856781312205833E-3</v>
      </c>
      <c r="L100" s="5">
        <f t="shared" si="25"/>
        <v>0.24473511612431104</v>
      </c>
      <c r="M100" s="5">
        <f t="shared" si="27"/>
        <v>0.32359398457313809</v>
      </c>
      <c r="N100" s="6">
        <f t="shared" si="26"/>
        <v>7.8858868448827044E-2</v>
      </c>
      <c r="O100" s="1"/>
      <c r="P100" s="5"/>
      <c r="Q100" s="5"/>
      <c r="R100" s="5"/>
      <c r="S100" s="5"/>
      <c r="T100" s="5"/>
      <c r="U100" s="5"/>
      <c r="V100" s="11"/>
      <c r="W100" s="11"/>
      <c r="X100" s="11"/>
    </row>
    <row r="101" spans="1:24" x14ac:dyDescent="0.25">
      <c r="A101" s="1"/>
      <c r="B101" s="4"/>
      <c r="C101" s="53">
        <v>60</v>
      </c>
      <c r="D101" s="53">
        <v>4.17</v>
      </c>
      <c r="E101" s="53">
        <v>0.35</v>
      </c>
      <c r="F101" s="5">
        <f t="shared" si="20"/>
        <v>14791.083881682089</v>
      </c>
      <c r="G101" s="5">
        <f t="shared" si="21"/>
        <v>9.6017798377851715</v>
      </c>
      <c r="H101" s="5">
        <f t="shared" si="22"/>
        <v>10.419746439979406</v>
      </c>
      <c r="I101" s="5">
        <f t="shared" si="28"/>
        <v>4.5252383817141091</v>
      </c>
      <c r="J101" s="5">
        <f t="shared" si="23"/>
        <v>-4.4381758813237457E-3</v>
      </c>
      <c r="K101" s="5">
        <f t="shared" si="24"/>
        <v>4.4381758813237474E-3</v>
      </c>
      <c r="L101" s="5">
        <f t="shared" si="25"/>
        <v>0.12619430784285912</v>
      </c>
      <c r="M101" s="5">
        <f t="shared" si="27"/>
        <v>0.20535184495586728</v>
      </c>
      <c r="N101" s="6">
        <f t="shared" si="26"/>
        <v>7.9157537113008172E-2</v>
      </c>
      <c r="O101" s="1"/>
      <c r="P101" s="5"/>
      <c r="Q101" s="11"/>
      <c r="R101" s="11"/>
      <c r="S101" s="11"/>
      <c r="T101" s="11"/>
      <c r="U101" s="11"/>
      <c r="V101" s="11"/>
      <c r="W101" s="11"/>
      <c r="X101" s="11"/>
    </row>
    <row r="102" spans="1:24" x14ac:dyDescent="0.25">
      <c r="A102" s="1"/>
      <c r="B102" s="4"/>
      <c r="C102" s="53">
        <v>72</v>
      </c>
      <c r="D102" s="53">
        <v>4.0999999999999996</v>
      </c>
      <c r="E102" s="53">
        <v>0.38</v>
      </c>
      <c r="F102" s="5">
        <f t="shared" si="20"/>
        <v>12589.254117941671</v>
      </c>
      <c r="G102" s="5">
        <f t="shared" si="21"/>
        <v>9.4405988812755872</v>
      </c>
      <c r="H102" s="5">
        <f t="shared" si="22"/>
        <v>10.4198828755957</v>
      </c>
      <c r="I102" s="5">
        <f t="shared" si="28"/>
        <v>4.5252976349494007</v>
      </c>
      <c r="J102" s="5">
        <f t="shared" si="23"/>
        <v>-5.3579114870839165E-3</v>
      </c>
      <c r="K102" s="5">
        <f t="shared" si="24"/>
        <v>5.3579114870839191E-3</v>
      </c>
      <c r="L102" s="5">
        <f t="shared" si="25"/>
        <v>0.18087807829355404</v>
      </c>
      <c r="M102" s="5">
        <f t="shared" si="27"/>
        <v>0.26006896065290319</v>
      </c>
      <c r="N102" s="6">
        <f t="shared" si="26"/>
        <v>7.919088235934918E-2</v>
      </c>
      <c r="O102" s="1"/>
      <c r="P102" s="5"/>
      <c r="Q102" s="11"/>
      <c r="R102" s="11"/>
      <c r="S102" s="11"/>
      <c r="T102" s="11"/>
      <c r="U102" s="11"/>
      <c r="V102" s="11"/>
      <c r="W102" s="11"/>
      <c r="X102" s="11"/>
    </row>
    <row r="103" spans="1:24" x14ac:dyDescent="0.25">
      <c r="A103" s="1"/>
      <c r="B103" s="4"/>
      <c r="C103" s="53">
        <v>84</v>
      </c>
      <c r="D103" s="53">
        <v>4.54</v>
      </c>
      <c r="E103" s="53">
        <v>0.57999999999999996</v>
      </c>
      <c r="F103" s="5">
        <f t="shared" si="20"/>
        <v>34673.685045253202</v>
      </c>
      <c r="G103" s="5">
        <f t="shared" si="21"/>
        <v>10.453736322192968</v>
      </c>
      <c r="H103" s="5">
        <f t="shared" si="22"/>
        <v>10.419898090376586</v>
      </c>
      <c r="I103" s="5">
        <f t="shared" si="28"/>
        <v>4.5253042426447827</v>
      </c>
      <c r="J103" s="5">
        <f t="shared" si="23"/>
        <v>1.7600876227486268E-4</v>
      </c>
      <c r="K103" s="5">
        <f t="shared" si="24"/>
        <v>1.7600876227486821E-4</v>
      </c>
      <c r="L103" s="5">
        <f t="shared" si="25"/>
        <v>2.159652842434243E-4</v>
      </c>
      <c r="M103" s="5">
        <f t="shared" si="27"/>
        <v>7.941056661379782E-2</v>
      </c>
      <c r="N103" s="6">
        <f t="shared" si="26"/>
        <v>7.9194601329554401E-2</v>
      </c>
      <c r="O103" s="1"/>
      <c r="P103" s="5"/>
      <c r="Q103" s="11"/>
      <c r="R103" s="11"/>
      <c r="S103" s="11"/>
      <c r="T103" s="11"/>
      <c r="U103" s="11"/>
      <c r="V103" s="11"/>
      <c r="W103" s="11"/>
      <c r="X103" s="11"/>
    </row>
    <row r="104" spans="1:24" x14ac:dyDescent="0.25">
      <c r="A104" s="1"/>
      <c r="B104" s="4"/>
      <c r="C104" s="53">
        <v>96</v>
      </c>
      <c r="D104" s="53">
        <v>4.28</v>
      </c>
      <c r="E104" s="53">
        <v>0.2</v>
      </c>
      <c r="F104" s="5">
        <f t="shared" si="20"/>
        <v>19054.607179632505</v>
      </c>
      <c r="G104" s="5">
        <f t="shared" si="21"/>
        <v>9.8550641980145173</v>
      </c>
      <c r="H104" s="5">
        <f t="shared" si="22"/>
        <v>10.419899787049127</v>
      </c>
      <c r="I104" s="5">
        <f t="shared" si="28"/>
        <v>4.5253049795003051</v>
      </c>
      <c r="J104" s="5">
        <f t="shared" si="23"/>
        <v>-3.0255105577399956E-3</v>
      </c>
      <c r="K104" s="5">
        <f t="shared" si="24"/>
        <v>3.0255105577399999E-3</v>
      </c>
      <c r="L104" s="5">
        <f t="shared" si="25"/>
        <v>6.0174532967644974E-2</v>
      </c>
      <c r="M104" s="5">
        <f t="shared" si="27"/>
        <v>0.13936954902265733</v>
      </c>
      <c r="N104" s="6">
        <f t="shared" si="26"/>
        <v>7.9195016055012349E-2</v>
      </c>
      <c r="O104" s="1"/>
      <c r="P104" s="5"/>
      <c r="Q104" s="11"/>
      <c r="R104" s="11"/>
      <c r="S104" s="11"/>
      <c r="T104" s="11"/>
      <c r="U104" s="11"/>
      <c r="V104" s="11"/>
      <c r="W104" s="11"/>
      <c r="X104" s="11"/>
    </row>
    <row r="105" spans="1:24" x14ac:dyDescent="0.25">
      <c r="A105" s="1" t="s">
        <v>54</v>
      </c>
      <c r="B105" s="4"/>
      <c r="C105" s="53">
        <v>0</v>
      </c>
      <c r="D105" s="53">
        <v>2.77</v>
      </c>
      <c r="E105" s="53">
        <v>0.14000000000000001</v>
      </c>
      <c r="F105" s="5">
        <f t="shared" si="20"/>
        <v>588.84365535558959</v>
      </c>
      <c r="G105" s="5">
        <f t="shared" si="21"/>
        <v>6.3781607075935076</v>
      </c>
      <c r="H105" s="5">
        <f t="shared" si="22"/>
        <v>5.6184082821093497</v>
      </c>
      <c r="I105" s="5">
        <f>LOG(EXP(H105))</f>
        <v>2.4400437139996192</v>
      </c>
      <c r="J105" s="5">
        <f t="shared" si="23"/>
        <v>6.8852702700818325E-3</v>
      </c>
      <c r="K105" s="5">
        <f t="shared" si="24"/>
        <v>6.8852702700818351E-3</v>
      </c>
      <c r="L105" s="5">
        <f t="shared" si="25"/>
        <v>0.10887115067116512</v>
      </c>
      <c r="M105" s="5">
        <f>N105+L105</f>
        <v>3.3627285656424681</v>
      </c>
      <c r="N105" s="6">
        <f t="shared" si="26"/>
        <v>3.2538574149713031</v>
      </c>
      <c r="O105" s="1"/>
      <c r="P105" s="5"/>
      <c r="V105" s="11"/>
      <c r="W105" s="11"/>
      <c r="X105" s="11"/>
    </row>
    <row r="106" spans="1:24" x14ac:dyDescent="0.25">
      <c r="A106" s="1"/>
      <c r="B106" s="4"/>
      <c r="C106" s="53">
        <v>12</v>
      </c>
      <c r="D106" s="53">
        <v>4.3499999999999996</v>
      </c>
      <c r="E106" s="53">
        <v>0.14000000000000001</v>
      </c>
      <c r="F106" s="5">
        <f t="shared" si="20"/>
        <v>22387.211385683382</v>
      </c>
      <c r="G106" s="5">
        <f t="shared" si="21"/>
        <v>10.016245154524098</v>
      </c>
      <c r="H106" s="5">
        <f t="shared" si="22"/>
        <v>9.5132809587674032</v>
      </c>
      <c r="I106" s="5">
        <f>LOG(EXP(H106))</f>
        <v>4.1315654251879605</v>
      </c>
      <c r="J106" s="5">
        <f t="shared" si="23"/>
        <v>2.7968278200241441E-3</v>
      </c>
      <c r="K106" s="5">
        <f t="shared" si="24"/>
        <v>2.7968278200241363E-3</v>
      </c>
      <c r="L106" s="5">
        <f t="shared" si="25"/>
        <v>4.7713663473316306E-2</v>
      </c>
      <c r="M106" s="5">
        <f t="shared" ref="M106:M113" si="29">N106+L106</f>
        <v>6.0330223971090259E-2</v>
      </c>
      <c r="N106" s="6">
        <f t="shared" si="26"/>
        <v>1.2616560497773951E-2</v>
      </c>
      <c r="O106" s="1"/>
      <c r="P106" s="5"/>
      <c r="V106" s="11"/>
      <c r="W106" s="11"/>
      <c r="X106" s="11"/>
    </row>
    <row r="107" spans="1:24" x14ac:dyDescent="0.25">
      <c r="A107" s="1"/>
      <c r="B107" s="4"/>
      <c r="C107" s="53">
        <v>24</v>
      </c>
      <c r="D107" s="53">
        <v>4.7</v>
      </c>
      <c r="E107" s="53">
        <v>0.09</v>
      </c>
      <c r="F107" s="5">
        <f t="shared" si="20"/>
        <v>50118.723362727294</v>
      </c>
      <c r="G107" s="5">
        <f t="shared" si="21"/>
        <v>10.822149937072016</v>
      </c>
      <c r="H107" s="5">
        <f t="shared" si="22"/>
        <v>10.310328242092043</v>
      </c>
      <c r="I107" s="5">
        <f t="shared" ref="I107:I113" si="30">LOG(EXP(H107))</f>
        <v>4.4777186621518288</v>
      </c>
      <c r="J107" s="5">
        <f t="shared" si="23"/>
        <v>2.6301318534865011E-3</v>
      </c>
      <c r="K107" s="5">
        <f t="shared" si="24"/>
        <v>2.6301318534864998E-3</v>
      </c>
      <c r="L107" s="5">
        <f t="shared" si="25"/>
        <v>4.9408993155572914E-2</v>
      </c>
      <c r="M107" s="5">
        <f t="shared" si="29"/>
        <v>0.10408535601977041</v>
      </c>
      <c r="N107" s="6">
        <f t="shared" si="26"/>
        <v>5.4676362864197497E-2</v>
      </c>
      <c r="O107" s="1"/>
      <c r="P107" s="5"/>
      <c r="V107" s="11"/>
      <c r="W107" s="11"/>
      <c r="X107" s="11"/>
    </row>
    <row r="108" spans="1:24" x14ac:dyDescent="0.25">
      <c r="A108" s="1"/>
      <c r="B108" s="4"/>
      <c r="C108" s="53">
        <v>36</v>
      </c>
      <c r="D108" s="53">
        <v>4.7699999999999996</v>
      </c>
      <c r="E108" s="53">
        <v>0.46</v>
      </c>
      <c r="F108" s="5">
        <f t="shared" si="20"/>
        <v>58884.365535558936</v>
      </c>
      <c r="G108" s="5">
        <f t="shared" si="21"/>
        <v>10.983330893581599</v>
      </c>
      <c r="H108" s="5">
        <f t="shared" si="22"/>
        <v>10.407565915140131</v>
      </c>
      <c r="I108" s="5">
        <f t="shared" si="30"/>
        <v>4.5199484469897264</v>
      </c>
      <c r="J108" s="5">
        <f t="shared" si="23"/>
        <v>2.9231122021414831E-3</v>
      </c>
      <c r="K108" s="5">
        <f t="shared" si="24"/>
        <v>2.9231122021414887E-3</v>
      </c>
      <c r="L108" s="5">
        <f t="shared" si="25"/>
        <v>6.2525779162849446E-2</v>
      </c>
      <c r="M108" s="5">
        <f t="shared" si="29"/>
        <v>0.13873465878167868</v>
      </c>
      <c r="N108" s="6">
        <f t="shared" si="26"/>
        <v>7.6208879618829245E-2</v>
      </c>
      <c r="O108" s="1"/>
      <c r="P108" s="5"/>
      <c r="V108" s="11"/>
      <c r="W108" s="11"/>
      <c r="X108" s="11"/>
    </row>
    <row r="109" spans="1:24" x14ac:dyDescent="0.25">
      <c r="A109" s="1"/>
      <c r="B109" s="4"/>
      <c r="C109" s="53">
        <v>48</v>
      </c>
      <c r="D109" s="53">
        <v>4.7</v>
      </c>
      <c r="E109" s="53">
        <v>0.25</v>
      </c>
      <c r="F109" s="5">
        <f t="shared" si="20"/>
        <v>50118.723362727294</v>
      </c>
      <c r="G109" s="5">
        <f t="shared" si="21"/>
        <v>10.822149937072016</v>
      </c>
      <c r="H109" s="5">
        <f t="shared" si="22"/>
        <v>10.418523121728601</v>
      </c>
      <c r="I109" s="5">
        <f t="shared" si="30"/>
        <v>4.5247071013481728</v>
      </c>
      <c r="J109" s="5">
        <f t="shared" si="23"/>
        <v>2.0634233431054134E-3</v>
      </c>
      <c r="K109" s="5">
        <f t="shared" si="24"/>
        <v>2.0634233431054212E-3</v>
      </c>
      <c r="L109" s="5">
        <f t="shared" si="25"/>
        <v>3.0727600317759833E-2</v>
      </c>
      <c r="M109" s="5">
        <f t="shared" si="29"/>
        <v>0.10958646876658687</v>
      </c>
      <c r="N109" s="6">
        <f t="shared" si="26"/>
        <v>7.8858868448827044E-2</v>
      </c>
      <c r="O109" s="1"/>
      <c r="P109" s="5"/>
      <c r="V109" s="11"/>
      <c r="W109" s="11"/>
      <c r="X109" s="11"/>
    </row>
    <row r="110" spans="1:24" x14ac:dyDescent="0.25">
      <c r="A110" s="1"/>
      <c r="B110" s="4"/>
      <c r="C110" s="53">
        <v>60</v>
      </c>
      <c r="D110" s="53">
        <v>4.8099999999999996</v>
      </c>
      <c r="E110" s="53">
        <v>0.35</v>
      </c>
      <c r="F110" s="5">
        <f t="shared" si="20"/>
        <v>64565.422903465565</v>
      </c>
      <c r="G110" s="5">
        <f t="shared" si="21"/>
        <v>11.07543429730136</v>
      </c>
      <c r="H110" s="5">
        <f t="shared" si="22"/>
        <v>10.419746439979406</v>
      </c>
      <c r="I110" s="5">
        <f t="shared" si="30"/>
        <v>4.5252383817141091</v>
      </c>
      <c r="J110" s="5">
        <f t="shared" si="23"/>
        <v>3.3129517936855315E-3</v>
      </c>
      <c r="K110" s="5">
        <f t="shared" si="24"/>
        <v>3.3129517936855328E-3</v>
      </c>
      <c r="L110" s="5">
        <f t="shared" si="25"/>
        <v>8.1089179248799229E-2</v>
      </c>
      <c r="M110" s="5">
        <f t="shared" si="29"/>
        <v>0.1602467163618074</v>
      </c>
      <c r="N110" s="6">
        <f t="shared" si="26"/>
        <v>7.9157537113008172E-2</v>
      </c>
      <c r="O110" s="1"/>
      <c r="P110" s="5"/>
      <c r="Q110" s="11"/>
      <c r="R110" s="11"/>
      <c r="S110" s="11"/>
      <c r="T110" s="11"/>
      <c r="U110" s="11"/>
      <c r="V110" s="11"/>
      <c r="W110" s="11"/>
      <c r="X110" s="11"/>
    </row>
    <row r="111" spans="1:24" x14ac:dyDescent="0.25">
      <c r="A111" s="1"/>
      <c r="B111" s="4"/>
      <c r="C111" s="53">
        <v>72</v>
      </c>
      <c r="D111" s="53">
        <v>4.8099999999999996</v>
      </c>
      <c r="E111" s="53">
        <v>0.38</v>
      </c>
      <c r="F111" s="5">
        <f t="shared" si="20"/>
        <v>64565.422903465565</v>
      </c>
      <c r="G111" s="5">
        <f t="shared" si="21"/>
        <v>11.07543429730136</v>
      </c>
      <c r="H111" s="5">
        <f t="shared" si="22"/>
        <v>10.4198828755957</v>
      </c>
      <c r="I111" s="5">
        <f t="shared" si="30"/>
        <v>4.5252976349494007</v>
      </c>
      <c r="J111" s="5">
        <f t="shared" si="23"/>
        <v>3.3122409696781214E-3</v>
      </c>
      <c r="K111" s="5">
        <f t="shared" si="24"/>
        <v>3.3122409696781179E-3</v>
      </c>
      <c r="L111" s="5">
        <f t="shared" si="25"/>
        <v>8.1055436665404462E-2</v>
      </c>
      <c r="M111" s="5">
        <f t="shared" si="29"/>
        <v>0.16024631902475364</v>
      </c>
      <c r="N111" s="6">
        <f t="shared" si="26"/>
        <v>7.919088235934918E-2</v>
      </c>
      <c r="O111" s="1"/>
      <c r="P111" s="5"/>
      <c r="Q111" s="11"/>
      <c r="R111" s="11"/>
      <c r="S111" s="11"/>
      <c r="T111" s="11"/>
      <c r="U111" s="11"/>
      <c r="V111" s="11"/>
      <c r="W111" s="11"/>
      <c r="X111" s="11"/>
    </row>
    <row r="112" spans="1:24" x14ac:dyDescent="0.25">
      <c r="A112" s="1"/>
      <c r="B112" s="4"/>
      <c r="C112" s="53">
        <v>84</v>
      </c>
      <c r="D112" s="53">
        <v>4.84</v>
      </c>
      <c r="E112" s="53">
        <v>0.57999999999999996</v>
      </c>
      <c r="F112" s="5">
        <f t="shared" si="20"/>
        <v>69183.097091893651</v>
      </c>
      <c r="G112" s="5">
        <f t="shared" si="21"/>
        <v>11.144511850091181</v>
      </c>
      <c r="H112" s="5">
        <f t="shared" si="22"/>
        <v>10.419898090376586</v>
      </c>
      <c r="I112" s="5">
        <f t="shared" si="30"/>
        <v>4.5253042426447827</v>
      </c>
      <c r="J112" s="5">
        <f t="shared" si="23"/>
        <v>3.6496973606884339E-3</v>
      </c>
      <c r="K112" s="5">
        <f t="shared" si="24"/>
        <v>3.6496973606884356E-3</v>
      </c>
      <c r="L112" s="5">
        <f t="shared" si="25"/>
        <v>9.9033419697373712E-2</v>
      </c>
      <c r="M112" s="5">
        <f t="shared" si="29"/>
        <v>0.17822802102692811</v>
      </c>
      <c r="N112" s="6">
        <f t="shared" si="26"/>
        <v>7.9194601329554401E-2</v>
      </c>
      <c r="O112" s="1"/>
      <c r="P112" s="5"/>
      <c r="Q112" s="11"/>
      <c r="R112" s="11"/>
      <c r="S112" s="11"/>
      <c r="T112" s="11"/>
      <c r="U112" s="11"/>
      <c r="V112" s="11"/>
      <c r="W112" s="11"/>
      <c r="X112" s="11"/>
    </row>
    <row r="113" spans="1:24" x14ac:dyDescent="0.25">
      <c r="A113" s="1"/>
      <c r="B113" s="4"/>
      <c r="C113" s="53">
        <v>96</v>
      </c>
      <c r="D113" s="53">
        <v>5.07</v>
      </c>
      <c r="E113" s="53">
        <v>0.2</v>
      </c>
      <c r="F113" s="5">
        <f t="shared" si="20"/>
        <v>117489.75549395311</v>
      </c>
      <c r="G113" s="5">
        <f t="shared" si="21"/>
        <v>11.674106421479813</v>
      </c>
      <c r="H113" s="5">
        <f t="shared" si="22"/>
        <v>10.419899787049127</v>
      </c>
      <c r="I113" s="5">
        <f t="shared" si="30"/>
        <v>4.5253049795003051</v>
      </c>
      <c r="J113" s="5">
        <f t="shared" si="23"/>
        <v>6.1700132322804919E-3</v>
      </c>
      <c r="K113" s="5">
        <f t="shared" si="24"/>
        <v>6.170013232280498E-3</v>
      </c>
      <c r="L113" s="5">
        <f t="shared" si="25"/>
        <v>0.29669266535716338</v>
      </c>
      <c r="M113" s="5">
        <f t="shared" si="29"/>
        <v>0.37588768141217571</v>
      </c>
      <c r="N113" s="6">
        <f t="shared" si="26"/>
        <v>7.9195016055012349E-2</v>
      </c>
      <c r="O113" s="1"/>
      <c r="P113" s="5"/>
      <c r="Q113" s="11"/>
      <c r="R113" s="11"/>
      <c r="S113" s="11"/>
      <c r="T113" s="11"/>
      <c r="U113" s="11"/>
      <c r="V113" s="11"/>
      <c r="W113" s="11"/>
      <c r="X113" s="11"/>
    </row>
    <row r="114" spans="1:24" x14ac:dyDescent="0.25">
      <c r="A114" s="1"/>
      <c r="B114" s="4"/>
      <c r="C114" s="5"/>
      <c r="D114" s="24">
        <f>AVERAGE(D96:D113)</f>
        <v>4.2438888888888897</v>
      </c>
      <c r="E114" s="29"/>
      <c r="F114" s="5"/>
      <c r="G114" s="5"/>
      <c r="H114" s="5"/>
      <c r="I114" s="5"/>
      <c r="J114" s="5">
        <f>SUM(J96:J113)</f>
        <v>-3.1656991873587458E-3</v>
      </c>
      <c r="K114" s="5">
        <f>SUM(K101:K113)</f>
        <v>4.6741275533594501E-2</v>
      </c>
      <c r="L114" s="5">
        <f>AVERAGE(L96:L113)</f>
        <v>0.10060998295767427</v>
      </c>
      <c r="M114" s="5">
        <f>SUM(M96:M113)</f>
        <v>9.3968919397538482</v>
      </c>
      <c r="N114" s="6">
        <f>SUM(N96:N113)</f>
        <v>7.5859122465157087</v>
      </c>
      <c r="O114" s="1"/>
      <c r="P114" s="5"/>
      <c r="Q114" s="11"/>
      <c r="R114" s="11"/>
      <c r="S114" s="11"/>
      <c r="T114" s="11"/>
      <c r="U114" s="11"/>
      <c r="V114" s="11"/>
      <c r="W114" s="11"/>
      <c r="X114" s="11"/>
    </row>
    <row r="115" spans="1:24" x14ac:dyDescent="0.25">
      <c r="A115" s="1"/>
      <c r="B115" s="23"/>
      <c r="C115" s="24"/>
      <c r="D115" s="29"/>
      <c r="E115" s="29"/>
      <c r="F115" s="24"/>
      <c r="G115" s="24"/>
      <c r="H115" s="24"/>
      <c r="I115" s="40" t="s">
        <v>43</v>
      </c>
      <c r="J115" s="40">
        <f>10^J114</f>
        <v>0.99273721069564702</v>
      </c>
      <c r="K115" s="40">
        <f>10^K114</f>
        <v>1.1136309069193235</v>
      </c>
      <c r="L115" s="24"/>
      <c r="M115" s="29"/>
      <c r="N115" s="25"/>
      <c r="O115" s="1"/>
      <c r="P115" s="5"/>
      <c r="Q115" s="11"/>
      <c r="R115" s="11"/>
      <c r="S115" s="11"/>
      <c r="T115" s="11"/>
      <c r="U115" s="11"/>
      <c r="V115" s="11"/>
      <c r="W115" s="11"/>
      <c r="X115" s="11"/>
    </row>
    <row r="116" spans="1:24" x14ac:dyDescent="0.25">
      <c r="A116" s="35" t="s">
        <v>35</v>
      </c>
      <c r="B116" s="36">
        <v>13</v>
      </c>
      <c r="C116" s="24"/>
      <c r="D116" s="29"/>
      <c r="E116" s="29"/>
      <c r="F116" s="24"/>
      <c r="G116" s="24"/>
      <c r="H116" s="24"/>
      <c r="I116" s="24"/>
      <c r="J116" s="24"/>
      <c r="K116" s="24"/>
      <c r="L116" s="24">
        <f>(SQRT(M114/(B116-1)))/(SQRT(B116))</f>
        <v>0.24543122619848906</v>
      </c>
      <c r="M116" s="29"/>
      <c r="N116" s="25" t="s">
        <v>37</v>
      </c>
      <c r="O116" s="1"/>
      <c r="P116" s="1"/>
    </row>
    <row r="117" spans="1:24" x14ac:dyDescent="0.25">
      <c r="B117" s="23"/>
      <c r="C117" s="24"/>
      <c r="D117" s="29"/>
      <c r="E117" s="29"/>
      <c r="F117" s="24"/>
      <c r="G117" s="24"/>
      <c r="H117" s="24"/>
      <c r="I117" s="24"/>
      <c r="J117" s="24"/>
      <c r="K117" s="24"/>
      <c r="L117" s="24">
        <f>N114/M114</f>
        <v>0.80727886360204559</v>
      </c>
      <c r="M117" s="29"/>
      <c r="N117" s="25" t="s">
        <v>22</v>
      </c>
    </row>
    <row r="118" spans="1:24" x14ac:dyDescent="0.25">
      <c r="A118" s="1"/>
      <c r="B118" s="23"/>
      <c r="C118" s="24"/>
      <c r="D118" s="29"/>
      <c r="E118" s="24"/>
      <c r="F118" s="24"/>
      <c r="G118" s="24"/>
      <c r="H118" s="24"/>
      <c r="I118" s="24"/>
      <c r="J118" s="24"/>
      <c r="K118" s="24"/>
      <c r="L118" s="24">
        <f>L114*100/D114</f>
        <v>2.370702570019815</v>
      </c>
      <c r="M118" s="29"/>
      <c r="N118" s="6" t="s">
        <v>40</v>
      </c>
      <c r="O118" s="18"/>
      <c r="P118" s="1"/>
    </row>
    <row r="119" spans="1:24" ht="15.75" thickBot="1" x14ac:dyDescent="0.3">
      <c r="B119" s="26"/>
      <c r="C119" s="27"/>
      <c r="D119" s="27"/>
      <c r="E119" s="47"/>
      <c r="F119" s="27"/>
      <c r="G119" s="27"/>
      <c r="H119" s="27"/>
      <c r="I119" s="27"/>
      <c r="J119" s="27"/>
      <c r="K119" s="27"/>
      <c r="L119" s="27">
        <f>SQRT(L114)</f>
        <v>0.31719076745339592</v>
      </c>
      <c r="M119" s="27"/>
      <c r="N119" s="28" t="s">
        <v>18</v>
      </c>
    </row>
    <row r="143" spans="2:21" ht="15.75" thickBot="1" x14ac:dyDescent="0.3"/>
    <row r="144" spans="2:21" x14ac:dyDescent="0.25">
      <c r="B144" s="22" t="s">
        <v>3</v>
      </c>
      <c r="C144" s="2" t="s">
        <v>1</v>
      </c>
      <c r="D144" s="2" t="s">
        <v>2</v>
      </c>
      <c r="E144" s="2"/>
      <c r="F144" s="2" t="s">
        <v>7</v>
      </c>
      <c r="G144" s="2" t="s">
        <v>5</v>
      </c>
      <c r="H144" s="2" t="s">
        <v>6</v>
      </c>
      <c r="I144" s="2" t="s">
        <v>17</v>
      </c>
      <c r="J144" s="2" t="s">
        <v>39</v>
      </c>
      <c r="K144" s="2" t="s">
        <v>38</v>
      </c>
      <c r="L144" s="2" t="s">
        <v>36</v>
      </c>
      <c r="M144" s="2" t="s">
        <v>21</v>
      </c>
      <c r="N144" s="3" t="s">
        <v>20</v>
      </c>
      <c r="Q144" s="8"/>
      <c r="R144" s="15" t="s">
        <v>14</v>
      </c>
      <c r="S144" s="12" t="s">
        <v>8</v>
      </c>
      <c r="T144" s="12" t="s">
        <v>9</v>
      </c>
      <c r="U144" s="3" t="s">
        <v>10</v>
      </c>
    </row>
    <row r="145" spans="2:25" ht="15.75" thickBot="1" x14ac:dyDescent="0.3">
      <c r="B145" s="4"/>
      <c r="C145" s="54">
        <v>0</v>
      </c>
      <c r="D145" s="54">
        <v>2.3479101760000001</v>
      </c>
      <c r="E145" s="54">
        <v>0.47383799999999998</v>
      </c>
      <c r="F145" s="5">
        <f t="shared" ref="F145:F160" si="31">10^D145</f>
        <v>222.79742954749918</v>
      </c>
      <c r="G145" s="5">
        <f t="shared" ref="G145:G160" si="32">LN(10^D145)</f>
        <v>5.406262970946627</v>
      </c>
      <c r="H145" s="5">
        <f t="shared" ref="H145:H160" si="33">($R$146)/(1+$R$147*EXP(-$R$148*C145))</f>
        <v>5.4596058046350446</v>
      </c>
      <c r="I145" s="5">
        <f>LOG(EXP(H145))</f>
        <v>2.3710766743199629</v>
      </c>
      <c r="J145" s="5">
        <f t="shared" ref="J145:J160" si="34">LOG(D145/I145)/$B$22</f>
        <v>-5.3301500570253975E-4</v>
      </c>
      <c r="K145" s="5">
        <f t="shared" ref="K145:K160" si="35">ABS(LOG(I145/D145)/$B$22)</f>
        <v>5.3301500570253487E-4</v>
      </c>
      <c r="L145" s="5">
        <f t="shared" ref="L145:L160" si="36">(D145-I145)^2</f>
        <v>5.3668664440884245E-4</v>
      </c>
      <c r="M145" s="5">
        <f>N145+L145</f>
        <v>3.5079622776829766</v>
      </c>
      <c r="N145" s="6">
        <f t="shared" ref="N145:N161" si="37">(I145-$D$114)^2</f>
        <v>3.5074255910385679</v>
      </c>
      <c r="Q145" s="9"/>
      <c r="R145" s="16"/>
      <c r="S145" s="14"/>
      <c r="T145" s="14"/>
      <c r="U145" s="6"/>
    </row>
    <row r="146" spans="2:25" x14ac:dyDescent="0.25">
      <c r="B146" s="4"/>
      <c r="C146" s="54">
        <v>2</v>
      </c>
      <c r="D146" s="54">
        <v>3.3690375889999999</v>
      </c>
      <c r="E146" s="54">
        <v>0.138686</v>
      </c>
      <c r="F146" s="5">
        <f t="shared" si="31"/>
        <v>2339.0396781591012</v>
      </c>
      <c r="G146" s="5">
        <f t="shared" si="32"/>
        <v>7.7574957301680012</v>
      </c>
      <c r="H146" s="5">
        <f t="shared" si="33"/>
        <v>7.2368533537755564</v>
      </c>
      <c r="I146" s="5">
        <f t="shared" ref="I146:I160" si="38">LOG(EXP(H146))</f>
        <v>3.1429254778877658</v>
      </c>
      <c r="J146" s="5">
        <f t="shared" si="34"/>
        <v>3.7714716200581396E-3</v>
      </c>
      <c r="K146" s="5">
        <f t="shared" si="35"/>
        <v>3.7714716200581383E-3</v>
      </c>
      <c r="L146" s="5">
        <f t="shared" si="36"/>
        <v>5.1126686791631334E-2</v>
      </c>
      <c r="M146" s="5">
        <f t="shared" ref="M146:M153" si="39">N146+L146</f>
        <v>1.2632471191548611</v>
      </c>
      <c r="N146" s="6">
        <f t="shared" si="37"/>
        <v>1.2121204323632297</v>
      </c>
      <c r="Q146" s="9" t="s">
        <v>11</v>
      </c>
      <c r="R146" s="15">
        <v>10.082800000000001</v>
      </c>
      <c r="S146" s="31">
        <v>0.2288</v>
      </c>
      <c r="T146" s="31">
        <v>44.066200000000002</v>
      </c>
      <c r="U146" s="3" t="s">
        <v>15</v>
      </c>
    </row>
    <row r="147" spans="2:25" x14ac:dyDescent="0.25">
      <c r="B147" s="4"/>
      <c r="C147" s="54">
        <v>4</v>
      </c>
      <c r="D147" s="54">
        <v>3.6166205169999999</v>
      </c>
      <c r="E147" s="54">
        <v>0.365929</v>
      </c>
      <c r="F147" s="5">
        <f t="shared" si="31"/>
        <v>4136.3808325864356</v>
      </c>
      <c r="G147" s="5">
        <f t="shared" si="32"/>
        <v>8.3275764894606183</v>
      </c>
      <c r="H147" s="5">
        <f t="shared" si="33"/>
        <v>8.5257404536433956</v>
      </c>
      <c r="I147" s="5">
        <f t="shared" si="38"/>
        <v>3.7026820331566537</v>
      </c>
      <c r="J147" s="5">
        <f t="shared" si="34"/>
        <v>-1.2766846268389429E-3</v>
      </c>
      <c r="K147" s="5">
        <f t="shared" si="35"/>
        <v>1.276684626838942E-3</v>
      </c>
      <c r="L147" s="5">
        <f t="shared" si="36"/>
        <v>7.4065845631819836E-3</v>
      </c>
      <c r="M147" s="5">
        <f t="shared" si="39"/>
        <v>0.30031144525475534</v>
      </c>
      <c r="N147" s="6">
        <f t="shared" si="37"/>
        <v>0.29290486069157334</v>
      </c>
      <c r="Q147" s="9" t="s">
        <v>12</v>
      </c>
      <c r="R147" s="16">
        <v>0.8468</v>
      </c>
      <c r="S147" s="30">
        <v>0.1043</v>
      </c>
      <c r="T147" s="30">
        <v>8.1206999999999994</v>
      </c>
      <c r="U147" s="6" t="s">
        <v>15</v>
      </c>
    </row>
    <row r="148" spans="2:25" ht="15.75" thickBot="1" x14ac:dyDescent="0.3">
      <c r="B148" s="4"/>
      <c r="C148" s="54">
        <v>6</v>
      </c>
      <c r="D148" s="54">
        <v>4.0206809940000001</v>
      </c>
      <c r="E148" s="54">
        <v>0.40972199999999998</v>
      </c>
      <c r="F148" s="5">
        <f t="shared" si="31"/>
        <v>10487.717824421827</v>
      </c>
      <c r="G148" s="5">
        <f t="shared" si="32"/>
        <v>9.2579601204688835</v>
      </c>
      <c r="H148" s="5">
        <f t="shared" si="33"/>
        <v>9.2944937226067275</v>
      </c>
      <c r="I148" s="5">
        <f t="shared" si="38"/>
        <v>4.0365473358125152</v>
      </c>
      <c r="J148" s="5">
        <f t="shared" si="34"/>
        <v>-2.138040937259878E-4</v>
      </c>
      <c r="K148" s="5">
        <f t="shared" si="35"/>
        <v>2.1380409372599376E-4</v>
      </c>
      <c r="L148" s="5">
        <f t="shared" si="36"/>
        <v>2.5174080251156547E-4</v>
      </c>
      <c r="M148" s="5">
        <f t="shared" si="39"/>
        <v>4.3242260434634576E-2</v>
      </c>
      <c r="N148" s="6">
        <f t="shared" si="37"/>
        <v>4.2990519632123012E-2</v>
      </c>
      <c r="Q148" s="10" t="s">
        <v>24</v>
      </c>
      <c r="R148" s="17">
        <v>0.38350000000000001</v>
      </c>
      <c r="S148" s="13">
        <v>6.8500000000000005E-2</v>
      </c>
      <c r="T148" s="13">
        <v>5.5982000000000003</v>
      </c>
      <c r="U148" s="7" t="s">
        <v>15</v>
      </c>
    </row>
    <row r="149" spans="2:25" x14ac:dyDescent="0.25">
      <c r="B149" s="4"/>
      <c r="C149" s="54">
        <v>8</v>
      </c>
      <c r="D149" s="54">
        <v>4.5517890479999998</v>
      </c>
      <c r="E149" s="54">
        <v>0.22645699999999999</v>
      </c>
      <c r="F149" s="5">
        <f t="shared" si="31"/>
        <v>35627.803470316125</v>
      </c>
      <c r="G149" s="5">
        <f t="shared" si="32"/>
        <v>10.480881608378359</v>
      </c>
      <c r="H149" s="5">
        <f t="shared" si="33"/>
        <v>9.7007072667995864</v>
      </c>
      <c r="I149" s="5">
        <f t="shared" si="38"/>
        <v>4.2129636365298362</v>
      </c>
      <c r="J149" s="5">
        <f t="shared" si="34"/>
        <v>4.1993019917431216E-3</v>
      </c>
      <c r="K149" s="5">
        <f t="shared" si="35"/>
        <v>4.1993019917431207E-3</v>
      </c>
      <c r="L149" s="5">
        <f t="shared" si="36"/>
        <v>0.11480265945792571</v>
      </c>
      <c r="M149" s="5">
        <f t="shared" si="39"/>
        <v>0.11575903069139686</v>
      </c>
      <c r="N149" s="6">
        <f t="shared" si="37"/>
        <v>9.5637123347114554E-4</v>
      </c>
      <c r="Q149" s="5"/>
      <c r="R149" s="5"/>
      <c r="S149" s="5"/>
      <c r="T149" s="5"/>
      <c r="U149" s="5"/>
    </row>
    <row r="150" spans="2:25" x14ac:dyDescent="0.25">
      <c r="B150" s="4"/>
      <c r="C150" s="54">
        <v>10</v>
      </c>
      <c r="D150" s="54">
        <v>4.5675928360000002</v>
      </c>
      <c r="E150" s="54">
        <v>0.34393299999999999</v>
      </c>
      <c r="F150" s="5">
        <f t="shared" si="31"/>
        <v>36948.161733850342</v>
      </c>
      <c r="G150" s="5">
        <f t="shared" si="32"/>
        <v>10.517271175039998</v>
      </c>
      <c r="H150" s="5">
        <f t="shared" si="33"/>
        <v>9.9016783664741421</v>
      </c>
      <c r="I150" s="5">
        <f t="shared" si="38"/>
        <v>4.3002442761405248</v>
      </c>
      <c r="J150" s="5">
        <f t="shared" si="34"/>
        <v>3.2742820829032952E-3</v>
      </c>
      <c r="K150" s="5">
        <f t="shared" si="35"/>
        <v>3.2742820829033E-3</v>
      </c>
      <c r="L150" s="5">
        <f t="shared" si="36"/>
        <v>7.1475252458935476E-2</v>
      </c>
      <c r="M150" s="5">
        <f t="shared" si="39"/>
        <v>7.4651182131217242E-2</v>
      </c>
      <c r="N150" s="6">
        <f t="shared" si="37"/>
        <v>3.1759296722817599E-3</v>
      </c>
      <c r="Q150" s="11"/>
      <c r="R150" s="11"/>
      <c r="S150" s="11"/>
      <c r="T150" s="11"/>
      <c r="U150" s="11"/>
    </row>
    <row r="151" spans="2:25" x14ac:dyDescent="0.25">
      <c r="B151" s="4"/>
      <c r="C151" s="54">
        <v>12</v>
      </c>
      <c r="D151" s="54">
        <v>4.5508039269999996</v>
      </c>
      <c r="E151" s="54">
        <v>0.37606800000000001</v>
      </c>
      <c r="F151" s="5">
        <f t="shared" si="31"/>
        <v>35547.079624093523</v>
      </c>
      <c r="G151" s="5">
        <f t="shared" si="32"/>
        <v>10.478613283448963</v>
      </c>
      <c r="H151" s="5">
        <f t="shared" si="33"/>
        <v>9.9978692233882587</v>
      </c>
      <c r="I151" s="5">
        <f t="shared" si="38"/>
        <v>4.3420194345078702</v>
      </c>
      <c r="J151" s="5">
        <f t="shared" si="34"/>
        <v>2.5495451487603134E-3</v>
      </c>
      <c r="K151" s="5">
        <f t="shared" si="35"/>
        <v>2.5495451487603177E-3</v>
      </c>
      <c r="L151" s="5">
        <f t="shared" si="36"/>
        <v>4.3590964305196031E-2</v>
      </c>
      <c r="M151" s="5">
        <f t="shared" si="39"/>
        <v>5.3220568288674844E-2</v>
      </c>
      <c r="N151" s="6">
        <f t="shared" si="37"/>
        <v>9.629603983478811E-3</v>
      </c>
      <c r="Q151" s="11"/>
      <c r="R151" s="11"/>
      <c r="S151" s="11"/>
      <c r="T151" s="11"/>
      <c r="U151" s="11"/>
    </row>
    <row r="152" spans="2:25" x14ac:dyDescent="0.25">
      <c r="B152" s="4"/>
      <c r="C152" s="54">
        <v>14</v>
      </c>
      <c r="D152" s="54">
        <v>4.2598654280000003</v>
      </c>
      <c r="E152" s="54">
        <v>0.753274</v>
      </c>
      <c r="F152" s="5">
        <f t="shared" si="31"/>
        <v>18191.370871179228</v>
      </c>
      <c r="G152" s="5">
        <f t="shared" si="32"/>
        <v>9.8087026326735014</v>
      </c>
      <c r="H152" s="5">
        <f t="shared" si="33"/>
        <v>10.043179041196122</v>
      </c>
      <c r="I152" s="5">
        <f t="shared" si="38"/>
        <v>4.3616972383578672</v>
      </c>
      <c r="J152" s="5">
        <f t="shared" si="34"/>
        <v>-1.2824545782689815E-3</v>
      </c>
      <c r="K152" s="5">
        <f t="shared" si="35"/>
        <v>1.2824545782689791E-3</v>
      </c>
      <c r="L152" s="5">
        <f t="shared" si="36"/>
        <v>1.0369717600760551E-2</v>
      </c>
      <c r="M152" s="5">
        <f t="shared" si="39"/>
        <v>2.4248524805365268E-2</v>
      </c>
      <c r="N152" s="6">
        <f t="shared" si="37"/>
        <v>1.3878807204604719E-2</v>
      </c>
      <c r="Q152" s="11"/>
      <c r="R152" s="11"/>
      <c r="S152" s="11"/>
      <c r="T152" s="11"/>
      <c r="U152" s="11"/>
    </row>
    <row r="153" spans="2:25" x14ac:dyDescent="0.25">
      <c r="B153" s="4"/>
      <c r="C153" s="55">
        <v>0</v>
      </c>
      <c r="D153" s="54">
        <v>2.3252574990000001</v>
      </c>
      <c r="E153" s="54">
        <v>0.286721</v>
      </c>
      <c r="F153" s="5">
        <f t="shared" si="31"/>
        <v>211.47425272901802</v>
      </c>
      <c r="G153" s="5">
        <f t="shared" si="32"/>
        <v>5.3541032545700178</v>
      </c>
      <c r="H153" s="5">
        <f t="shared" si="33"/>
        <v>5.4596058046350446</v>
      </c>
      <c r="I153" s="5">
        <f t="shared" si="38"/>
        <v>2.3710766743199629</v>
      </c>
      <c r="J153" s="5">
        <f t="shared" si="34"/>
        <v>-1.0593180597217909E-3</v>
      </c>
      <c r="K153" s="5">
        <f t="shared" si="35"/>
        <v>1.059318059721786E-3</v>
      </c>
      <c r="L153" s="5">
        <f t="shared" si="36"/>
        <v>2.0993968270014902E-3</v>
      </c>
      <c r="M153" s="5">
        <f t="shared" si="39"/>
        <v>3.5095249878655692</v>
      </c>
      <c r="N153" s="6">
        <f t="shared" si="37"/>
        <v>3.5074255910385679</v>
      </c>
    </row>
    <row r="154" spans="2:25" x14ac:dyDescent="0.25">
      <c r="B154" s="4"/>
      <c r="C154" s="54">
        <v>2</v>
      </c>
      <c r="D154" s="54">
        <v>3.20070027</v>
      </c>
      <c r="E154" s="54">
        <v>0.108766</v>
      </c>
      <c r="F154" s="5">
        <f t="shared" si="31"/>
        <v>1587.4507852103898</v>
      </c>
      <c r="G154" s="5">
        <f t="shared" si="32"/>
        <v>7.3698847288440179</v>
      </c>
      <c r="H154" s="5">
        <f t="shared" si="33"/>
        <v>7.2368533537755564</v>
      </c>
      <c r="I154" s="5">
        <f t="shared" si="38"/>
        <v>3.1429254778877658</v>
      </c>
      <c r="J154" s="5">
        <f t="shared" si="34"/>
        <v>9.8886536617247668E-4</v>
      </c>
      <c r="K154" s="5">
        <f t="shared" si="35"/>
        <v>9.888653661724795E-4</v>
      </c>
      <c r="L154" s="5">
        <f t="shared" si="36"/>
        <v>3.3379266036118837E-3</v>
      </c>
      <c r="M154" s="5">
        <f>N154+L154</f>
        <v>1.2154583589668417</v>
      </c>
      <c r="N154" s="6">
        <f t="shared" si="37"/>
        <v>1.2121204323632297</v>
      </c>
    </row>
    <row r="155" spans="2:25" x14ac:dyDescent="0.25">
      <c r="B155" s="4"/>
      <c r="C155" s="54">
        <v>4</v>
      </c>
      <c r="D155" s="54">
        <v>3.4513079090000001</v>
      </c>
      <c r="E155" s="54">
        <v>0.28694599999999998</v>
      </c>
      <c r="F155" s="5">
        <f t="shared" si="31"/>
        <v>2826.8834873197497</v>
      </c>
      <c r="G155" s="5">
        <f t="shared" si="32"/>
        <v>7.9469301425958516</v>
      </c>
      <c r="H155" s="5">
        <f t="shared" si="33"/>
        <v>8.5257404536433956</v>
      </c>
      <c r="I155" s="5">
        <f t="shared" si="38"/>
        <v>3.7026820331566537</v>
      </c>
      <c r="J155" s="5">
        <f t="shared" si="34"/>
        <v>-3.8165890066679023E-3</v>
      </c>
      <c r="K155" s="5">
        <f t="shared" si="35"/>
        <v>3.8165890066679063E-3</v>
      </c>
      <c r="L155" s="5">
        <f t="shared" si="36"/>
        <v>6.318895029552471E-2</v>
      </c>
      <c r="M155" s="5">
        <f t="shared" ref="M155:M161" si="40">N155+L155</f>
        <v>0.35609381098709803</v>
      </c>
      <c r="N155" s="6">
        <f t="shared" si="37"/>
        <v>0.29290486069157334</v>
      </c>
    </row>
    <row r="156" spans="2:25" x14ac:dyDescent="0.25">
      <c r="B156" s="4"/>
      <c r="C156" s="54">
        <v>6</v>
      </c>
      <c r="D156" s="54">
        <v>3.8490393709999999</v>
      </c>
      <c r="E156" s="54">
        <v>0.27650200000000003</v>
      </c>
      <c r="F156" s="5">
        <f t="shared" si="31"/>
        <v>7063.815884381901</v>
      </c>
      <c r="G156" s="5">
        <f t="shared" si="32"/>
        <v>8.8627406780117788</v>
      </c>
      <c r="H156" s="5">
        <f t="shared" si="33"/>
        <v>9.2944937226067275</v>
      </c>
      <c r="I156" s="5">
        <f t="shared" si="38"/>
        <v>4.0365473358125152</v>
      </c>
      <c r="J156" s="5">
        <f t="shared" si="34"/>
        <v>-2.5822120392934959E-3</v>
      </c>
      <c r="K156" s="5">
        <f t="shared" si="35"/>
        <v>2.5822120392934994E-3</v>
      </c>
      <c r="L156" s="5">
        <f t="shared" si="36"/>
        <v>3.515923686813148E-2</v>
      </c>
      <c r="M156" s="5">
        <f t="shared" si="40"/>
        <v>7.8149756500254491E-2</v>
      </c>
      <c r="N156" s="6">
        <f t="shared" si="37"/>
        <v>4.2990519632123012E-2</v>
      </c>
    </row>
    <row r="157" spans="2:25" x14ac:dyDescent="0.25">
      <c r="B157" s="4"/>
      <c r="C157" s="54">
        <v>8</v>
      </c>
      <c r="D157" s="54">
        <v>4.2713048000000002</v>
      </c>
      <c r="E157" s="54">
        <v>0.216478</v>
      </c>
      <c r="F157" s="5">
        <f t="shared" si="31"/>
        <v>18676.900280033555</v>
      </c>
      <c r="G157" s="5">
        <f t="shared" si="32"/>
        <v>9.8350427601139145</v>
      </c>
      <c r="H157" s="5">
        <f t="shared" si="33"/>
        <v>9.7007072667995864</v>
      </c>
      <c r="I157" s="5">
        <f t="shared" si="38"/>
        <v>4.2129636365298362</v>
      </c>
      <c r="J157" s="5">
        <f t="shared" si="34"/>
        <v>7.4660664378850279E-4</v>
      </c>
      <c r="K157" s="5">
        <f t="shared" si="35"/>
        <v>7.4660664378850767E-4</v>
      </c>
      <c r="L157" s="5">
        <f t="shared" si="36"/>
        <v>3.4036913550524041E-3</v>
      </c>
      <c r="M157" s="5">
        <f t="shared" si="40"/>
        <v>4.3600625885235498E-3</v>
      </c>
      <c r="N157" s="6">
        <f t="shared" si="37"/>
        <v>9.5637123347114554E-4</v>
      </c>
    </row>
    <row r="158" spans="2:25" x14ac:dyDescent="0.25">
      <c r="B158" s="4"/>
      <c r="C158" s="54">
        <v>10</v>
      </c>
      <c r="D158" s="54">
        <v>4.2746090109999999</v>
      </c>
      <c r="E158" s="54">
        <v>0.329872</v>
      </c>
      <c r="F158" s="5">
        <f t="shared" si="31"/>
        <v>18819.540307677908</v>
      </c>
      <c r="G158" s="5">
        <f t="shared" si="32"/>
        <v>9.8426509871066212</v>
      </c>
      <c r="H158" s="5">
        <f t="shared" si="33"/>
        <v>9.9016783664741421</v>
      </c>
      <c r="I158" s="5">
        <f t="shared" si="38"/>
        <v>4.3002442761405248</v>
      </c>
      <c r="J158" s="5">
        <f t="shared" si="34"/>
        <v>-3.2459119090184419E-4</v>
      </c>
      <c r="K158" s="5">
        <f t="shared" si="35"/>
        <v>3.2459119090184191E-4</v>
      </c>
      <c r="L158" s="5">
        <f t="shared" si="36"/>
        <v>6.5716681882501337E-4</v>
      </c>
      <c r="M158" s="5">
        <f t="shared" si="40"/>
        <v>3.8330964911067731E-3</v>
      </c>
      <c r="N158" s="6">
        <f t="shared" si="37"/>
        <v>3.1759296722817599E-3</v>
      </c>
    </row>
    <row r="159" spans="2:25" x14ac:dyDescent="0.25">
      <c r="B159" s="4"/>
      <c r="C159" s="54">
        <v>12</v>
      </c>
      <c r="D159" s="54">
        <v>4.3034989039999996</v>
      </c>
      <c r="E159" s="54">
        <v>0.33036399999999999</v>
      </c>
      <c r="F159" s="5">
        <f t="shared" si="31"/>
        <v>20114.021221532024</v>
      </c>
      <c r="G159" s="5">
        <f t="shared" si="32"/>
        <v>9.9091724240666128</v>
      </c>
      <c r="H159" s="5">
        <f t="shared" si="33"/>
        <v>9.9978692233882587</v>
      </c>
      <c r="I159" s="5">
        <f t="shared" si="38"/>
        <v>4.3420194345078702</v>
      </c>
      <c r="J159" s="5">
        <f t="shared" si="34"/>
        <v>-4.8375828632922795E-4</v>
      </c>
      <c r="K159" s="5">
        <f t="shared" si="35"/>
        <v>4.8375828632922518E-4</v>
      </c>
      <c r="L159" s="5">
        <f t="shared" si="36"/>
        <v>1.4838312706077922E-3</v>
      </c>
      <c r="M159" s="5">
        <f t="shared" si="40"/>
        <v>1.1113435254086604E-2</v>
      </c>
      <c r="N159" s="6">
        <f t="shared" si="37"/>
        <v>9.629603983478811E-3</v>
      </c>
      <c r="S159" s="29"/>
      <c r="Y159" s="11"/>
    </row>
    <row r="160" spans="2:25" x14ac:dyDescent="0.25">
      <c r="B160" s="4"/>
      <c r="C160" s="54">
        <v>14</v>
      </c>
      <c r="D160" s="54">
        <v>3.979271298</v>
      </c>
      <c r="E160" s="54">
        <v>0.80123900000000003</v>
      </c>
      <c r="F160" s="5">
        <f t="shared" si="31"/>
        <v>9533.9154908945857</v>
      </c>
      <c r="G160" s="5">
        <f t="shared" si="32"/>
        <v>9.162610771753867</v>
      </c>
      <c r="H160" s="5">
        <f t="shared" si="33"/>
        <v>10.043179041196122</v>
      </c>
      <c r="I160" s="5">
        <f t="shared" si="38"/>
        <v>4.3616972383578672</v>
      </c>
      <c r="J160" s="5">
        <f t="shared" si="34"/>
        <v>-4.9814958612544903E-3</v>
      </c>
      <c r="K160" s="5">
        <f t="shared" si="35"/>
        <v>4.9814958612544912E-3</v>
      </c>
      <c r="L160" s="5">
        <f t="shared" si="36"/>
        <v>0.14624959985859895</v>
      </c>
      <c r="M160" s="5">
        <f t="shared" si="40"/>
        <v>0.16012840706320366</v>
      </c>
      <c r="N160" s="6">
        <f t="shared" si="37"/>
        <v>1.3878807204604719E-2</v>
      </c>
      <c r="S160" s="29"/>
      <c r="Y160" s="11"/>
    </row>
    <row r="161" spans="2:25" x14ac:dyDescent="0.25">
      <c r="B161" s="4"/>
      <c r="C161" s="5"/>
      <c r="D161" s="24">
        <f>AVERAGE(D145:D160)</f>
        <v>3.8087055985625002</v>
      </c>
      <c r="E161" s="29"/>
      <c r="F161" s="5"/>
      <c r="G161" s="5"/>
      <c r="H161" s="5"/>
      <c r="I161" s="5"/>
      <c r="J161" s="5">
        <f>SUM(J145:J160)</f>
        <v>-1.023849895279357E-3</v>
      </c>
      <c r="K161" s="5">
        <f>SUM(K150:K160)</f>
        <v>2.2089718264062332E-2</v>
      </c>
      <c r="L161" s="5">
        <f>AVERAGE(L145:L160)</f>
        <v>3.4696255782619076E-2</v>
      </c>
      <c r="M161" s="5">
        <f>SUM(M145:M160)</f>
        <v>10.721304324160565</v>
      </c>
      <c r="N161" s="6">
        <f>SUM(N145:N160)</f>
        <v>10.16616423163866</v>
      </c>
      <c r="S161" s="29"/>
      <c r="Y161" s="11"/>
    </row>
    <row r="162" spans="2:25" x14ac:dyDescent="0.25">
      <c r="B162" s="23"/>
      <c r="C162" s="24"/>
      <c r="D162" s="29"/>
      <c r="E162" s="29"/>
      <c r="F162" s="24"/>
      <c r="G162" s="24"/>
      <c r="H162" s="24"/>
      <c r="I162" s="40" t="s">
        <v>43</v>
      </c>
      <c r="J162" s="40">
        <f>10^J161</f>
        <v>0.99764527521787005</v>
      </c>
      <c r="K162" s="40">
        <f>10^K161</f>
        <v>1.052179214697905</v>
      </c>
      <c r="L162" s="24"/>
      <c r="M162" s="29"/>
      <c r="N162" s="25"/>
      <c r="S162" s="29"/>
      <c r="Y162" s="11"/>
    </row>
    <row r="163" spans="2:25" x14ac:dyDescent="0.25">
      <c r="B163" s="36">
        <v>13</v>
      </c>
      <c r="C163" s="24"/>
      <c r="D163" s="29"/>
      <c r="E163" s="29"/>
      <c r="F163" s="24"/>
      <c r="G163" s="24"/>
      <c r="H163" s="24"/>
      <c r="I163" s="24"/>
      <c r="J163" s="24"/>
      <c r="K163" s="24"/>
      <c r="L163" s="24">
        <f>(SQRT(M161/(B163-1)))/(SQRT(B163))</f>
        <v>0.2621570326545905</v>
      </c>
      <c r="M163" s="29"/>
      <c r="N163" s="25" t="s">
        <v>37</v>
      </c>
      <c r="S163" s="29"/>
      <c r="Y163" s="11"/>
    </row>
    <row r="164" spans="2:25" x14ac:dyDescent="0.25">
      <c r="B164" s="23"/>
      <c r="C164" s="24"/>
      <c r="D164" s="29"/>
      <c r="E164" s="29"/>
      <c r="F164" s="24"/>
      <c r="G164" s="24"/>
      <c r="H164" s="24"/>
      <c r="I164" s="24"/>
      <c r="J164" s="24"/>
      <c r="K164" s="24"/>
      <c r="L164" s="24">
        <f>N161/M161</f>
        <v>0.94822084368308701</v>
      </c>
      <c r="M164" s="29"/>
      <c r="N164" s="25" t="s">
        <v>22</v>
      </c>
      <c r="S164" s="29"/>
      <c r="Y164" s="11"/>
    </row>
    <row r="165" spans="2:25" x14ac:dyDescent="0.25">
      <c r="B165" s="23"/>
      <c r="C165" s="24"/>
      <c r="D165" s="29"/>
      <c r="E165" s="24"/>
      <c r="F165" s="24"/>
      <c r="G165" s="24"/>
      <c r="H165" s="24"/>
      <c r="I165" s="24"/>
      <c r="J165" s="24"/>
      <c r="K165" s="24"/>
      <c r="L165" s="24">
        <f>L161*100/D161</f>
        <v>0.91097237328383429</v>
      </c>
      <c r="M165" s="29"/>
      <c r="N165" s="6" t="s">
        <v>40</v>
      </c>
      <c r="S165" s="29"/>
      <c r="Y165" s="11"/>
    </row>
    <row r="166" spans="2:25" ht="15.75" thickBot="1" x14ac:dyDescent="0.3">
      <c r="B166" s="26"/>
      <c r="C166" s="27"/>
      <c r="D166" s="27"/>
      <c r="E166" s="47"/>
      <c r="F166" s="27"/>
      <c r="G166" s="27"/>
      <c r="H166" s="27"/>
      <c r="I166" s="27"/>
      <c r="J166" s="27"/>
      <c r="K166" s="27"/>
      <c r="L166" s="27">
        <f>SQRT(L161)</f>
        <v>0.18626930982483153</v>
      </c>
      <c r="M166" s="27"/>
      <c r="N166" s="28" t="s">
        <v>18</v>
      </c>
      <c r="S166" s="29"/>
      <c r="Y166" s="11"/>
    </row>
    <row r="167" spans="2:25" x14ac:dyDescent="0.25">
      <c r="S167" s="29"/>
      <c r="Y167" s="11"/>
    </row>
    <row r="168" spans="2:25" x14ac:dyDescent="0.25">
      <c r="S168" s="29"/>
      <c r="Y168" s="11"/>
    </row>
    <row r="169" spans="2:25" x14ac:dyDescent="0.25">
      <c r="S169" s="29"/>
      <c r="Y169" s="11"/>
    </row>
    <row r="170" spans="2:25" x14ac:dyDescent="0.25">
      <c r="S170" s="29"/>
      <c r="Y170" s="11"/>
    </row>
    <row r="171" spans="2:25" x14ac:dyDescent="0.25">
      <c r="S171" s="29"/>
      <c r="Y171" s="11"/>
    </row>
    <row r="172" spans="2:25" x14ac:dyDescent="0.25">
      <c r="S172" s="29"/>
      <c r="Y172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"/>
  <sheetViews>
    <sheetView topLeftCell="A112" zoomScale="55" zoomScaleNormal="55" workbookViewId="0">
      <selection activeCell="Q104" sqref="Q104:U120"/>
    </sheetView>
  </sheetViews>
  <sheetFormatPr defaultRowHeight="15" x14ac:dyDescent="0.25"/>
  <cols>
    <col min="7" max="7" width="18.28515625" customWidth="1"/>
    <col min="8" max="8" width="22.7109375" customWidth="1"/>
    <col min="9" max="11" width="18.85546875" customWidth="1"/>
    <col min="12" max="13" width="21.7109375" customWidth="1"/>
    <col min="14" max="14" width="23.28515625" customWidth="1"/>
    <col min="18" max="18" width="11.57031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0" t="s">
        <v>55</v>
      </c>
      <c r="C3" s="2" t="s">
        <v>1</v>
      </c>
      <c r="D3" s="2" t="s">
        <v>2</v>
      </c>
      <c r="E3" s="2"/>
      <c r="F3" s="2" t="s">
        <v>7</v>
      </c>
      <c r="G3" s="2" t="s">
        <v>32</v>
      </c>
      <c r="H3" s="2" t="s">
        <v>16</v>
      </c>
      <c r="I3" s="2" t="s">
        <v>17</v>
      </c>
      <c r="J3" s="2" t="s">
        <v>39</v>
      </c>
      <c r="K3" s="2" t="s">
        <v>38</v>
      </c>
      <c r="L3" s="2" t="s">
        <v>36</v>
      </c>
      <c r="M3" s="2" t="s">
        <v>21</v>
      </c>
      <c r="N3" s="3" t="s">
        <v>20</v>
      </c>
      <c r="O3" s="1"/>
      <c r="P3" s="1"/>
      <c r="Q3" s="8"/>
      <c r="R3" s="15" t="s">
        <v>14</v>
      </c>
      <c r="S3" s="12" t="s">
        <v>8</v>
      </c>
      <c r="T3" s="12" t="s">
        <v>9</v>
      </c>
      <c r="U3" s="3" t="s">
        <v>10</v>
      </c>
    </row>
    <row r="4" spans="1:22" ht="15.75" thickBot="1" x14ac:dyDescent="0.3">
      <c r="A4" s="1"/>
      <c r="B4" s="4"/>
      <c r="C4" s="53">
        <v>0</v>
      </c>
      <c r="D4" s="53">
        <v>1.731069822</v>
      </c>
      <c r="E4" s="53">
        <v>0.104711</v>
      </c>
      <c r="F4" s="5">
        <f t="shared" ref="F4:F19" si="0">10^D4</f>
        <v>53.835632769615813</v>
      </c>
      <c r="G4" s="5">
        <f t="shared" ref="G4:G19" si="1">LN(10^D4)</f>
        <v>3.9859355670690566</v>
      </c>
      <c r="H4" s="5">
        <f>$R$8+$R$5*(EXP(-1*EXP((-1/$R$6)*(C4-$R$7))))</f>
        <v>4.2197608647737068</v>
      </c>
      <c r="I4" s="5">
        <f>LOG(EXP(H4))</f>
        <v>1.8326188585225149</v>
      </c>
      <c r="J4" s="5">
        <f t="shared" ref="J4:J19" si="2">LOG(D4/I4)/$B$22</f>
        <v>-3.0946957535962667E-3</v>
      </c>
      <c r="K4" s="5">
        <f t="shared" ref="K4:K19" si="3">ABS(LOG(I4/D4)/$B$22)</f>
        <v>3.0946957535962659E-3</v>
      </c>
      <c r="L4" s="5">
        <f t="shared" ref="L4:L19" si="4">(D4-I4)^2</f>
        <v>1.0312206818651066E-2</v>
      </c>
      <c r="M4" s="5">
        <f>N4+L4</f>
        <v>43.297038547986006</v>
      </c>
      <c r="N4" s="6">
        <f t="shared" ref="N4:N19" si="5">(I4-$D$16)^2</f>
        <v>43.286726341167352</v>
      </c>
      <c r="O4" s="1"/>
      <c r="P4" s="1"/>
      <c r="Q4" s="9"/>
      <c r="R4" s="16"/>
      <c r="S4" s="14"/>
      <c r="T4" s="14"/>
      <c r="U4" s="6"/>
      <c r="V4" s="5"/>
    </row>
    <row r="5" spans="1:22" x14ac:dyDescent="0.25">
      <c r="A5" s="1"/>
      <c r="B5" s="4"/>
      <c r="C5" s="53">
        <v>4</v>
      </c>
      <c r="D5" s="53">
        <v>4.1901056209999998</v>
      </c>
      <c r="E5" s="53">
        <v>0.21951499999999999</v>
      </c>
      <c r="F5" s="5">
        <f t="shared" si="0"/>
        <v>15491.933389973394</v>
      </c>
      <c r="G5" s="5">
        <f t="shared" si="1"/>
        <v>9.6480747409851588</v>
      </c>
      <c r="H5" s="5">
        <f t="shared" ref="H5:H19" si="6">$R$8+$R$5*(EXP(-1*EXP((-1/$R$6)*(C5-$R$7))))</f>
        <v>10.527290659344029</v>
      </c>
      <c r="I5" s="5">
        <f t="shared" ref="I5:I19" si="7">LOG(EXP(H5))</f>
        <v>4.571944242744757</v>
      </c>
      <c r="J5" s="5">
        <f t="shared" si="2"/>
        <v>-4.7344943546368031E-3</v>
      </c>
      <c r="K5" s="5">
        <f t="shared" si="3"/>
        <v>4.7344943546368022E-3</v>
      </c>
      <c r="L5" s="5">
        <f t="shared" si="4"/>
        <v>0.14580073305593572</v>
      </c>
      <c r="M5" s="5">
        <f t="shared" ref="M5:M19" si="8">N5+L5</f>
        <v>14.890936052597148</v>
      </c>
      <c r="N5" s="6">
        <f t="shared" si="5"/>
        <v>14.745135319541212</v>
      </c>
      <c r="O5" s="1"/>
      <c r="P5" s="1"/>
      <c r="Q5" s="9" t="s">
        <v>11</v>
      </c>
      <c r="R5" s="15">
        <v>19.7669</v>
      </c>
      <c r="S5" s="12">
        <v>4.4946000000000002</v>
      </c>
      <c r="T5" s="12">
        <v>4.3978999999999999</v>
      </c>
      <c r="U5" s="3">
        <v>8.9999999999999998E-4</v>
      </c>
      <c r="V5" s="5"/>
    </row>
    <row r="6" spans="1:22" x14ac:dyDescent="0.25">
      <c r="A6" s="1"/>
      <c r="B6" s="4"/>
      <c r="C6" s="53">
        <v>8</v>
      </c>
      <c r="D6" s="53">
        <v>6.3204368019999997</v>
      </c>
      <c r="E6" s="53">
        <v>0.70938500000000004</v>
      </c>
      <c r="F6" s="5">
        <f t="shared" si="0"/>
        <v>2091398.5472085206</v>
      </c>
      <c r="G6" s="5">
        <f t="shared" si="1"/>
        <v>14.55334356149616</v>
      </c>
      <c r="H6" s="5">
        <f t="shared" si="6"/>
        <v>15.151254663900488</v>
      </c>
      <c r="I6" s="5">
        <f t="shared" si="7"/>
        <v>6.5801062944428903</v>
      </c>
      <c r="J6" s="5">
        <f t="shared" si="2"/>
        <v>-2.1857270057528064E-3</v>
      </c>
      <c r="K6" s="5">
        <f t="shared" si="3"/>
        <v>2.1857270057528064E-3</v>
      </c>
      <c r="L6" s="5">
        <f t="shared" si="4"/>
        <v>6.7428245305548432E-2</v>
      </c>
      <c r="M6" s="5">
        <f t="shared" si="8"/>
        <v>3.4228368443666142</v>
      </c>
      <c r="N6" s="6">
        <f t="shared" si="5"/>
        <v>3.3554085990610658</v>
      </c>
      <c r="O6" s="1"/>
      <c r="P6" s="1"/>
      <c r="Q6" s="9" t="s">
        <v>12</v>
      </c>
      <c r="R6" s="16">
        <v>4.4606000000000003</v>
      </c>
      <c r="S6" s="14">
        <v>0.74619999999999997</v>
      </c>
      <c r="T6" s="14">
        <v>5.9776999999999996</v>
      </c>
      <c r="U6" s="6" t="s">
        <v>15</v>
      </c>
      <c r="V6" s="11"/>
    </row>
    <row r="7" spans="1:22" x14ac:dyDescent="0.25">
      <c r="A7" s="1"/>
      <c r="B7" s="4"/>
      <c r="C7" s="53">
        <v>11</v>
      </c>
      <c r="D7" s="53">
        <v>7.28656346</v>
      </c>
      <c r="E7" s="53">
        <v>0.78587899999999999</v>
      </c>
      <c r="F7" s="5">
        <f t="shared" si="0"/>
        <v>19344765.076411255</v>
      </c>
      <c r="G7" s="5">
        <f t="shared" si="1"/>
        <v>16.777932402151116</v>
      </c>
      <c r="H7" s="5">
        <f t="shared" si="6"/>
        <v>17.119249533801092</v>
      </c>
      <c r="I7" s="5">
        <f t="shared" si="7"/>
        <v>7.4347956068546308</v>
      </c>
      <c r="J7" s="5">
        <f t="shared" si="2"/>
        <v>-1.0932852554023491E-3</v>
      </c>
      <c r="K7" s="5">
        <f t="shared" si="3"/>
        <v>1.093285255402346E-3</v>
      </c>
      <c r="L7" s="5">
        <f t="shared" si="4"/>
        <v>2.1972769361132839E-2</v>
      </c>
      <c r="M7" s="5">
        <f t="shared" si="8"/>
        <v>0.97667398343210698</v>
      </c>
      <c r="N7" s="6">
        <f t="shared" si="5"/>
        <v>0.95470121407097419</v>
      </c>
      <c r="O7" s="1"/>
      <c r="P7" s="1"/>
      <c r="Q7" s="9" t="s">
        <v>13</v>
      </c>
      <c r="R7" s="16">
        <v>1.7158</v>
      </c>
      <c r="S7" s="14">
        <v>1.843</v>
      </c>
      <c r="T7" s="14">
        <v>0.93100000000000005</v>
      </c>
      <c r="U7" s="6">
        <v>0.37019999999999997</v>
      </c>
      <c r="V7" s="11"/>
    </row>
    <row r="8" spans="1:22" ht="15.75" thickBot="1" x14ac:dyDescent="0.3">
      <c r="A8" s="1"/>
      <c r="B8" s="4"/>
      <c r="C8" s="53">
        <v>16</v>
      </c>
      <c r="D8" s="53">
        <v>7.8577170479999996</v>
      </c>
      <c r="E8" s="53">
        <v>0.33977000000000002</v>
      </c>
      <c r="F8" s="5">
        <f t="shared" si="0"/>
        <v>72063781.549019173</v>
      </c>
      <c r="G8" s="5">
        <f t="shared" si="1"/>
        <v>18.09306213968998</v>
      </c>
      <c r="H8" s="5">
        <f t="shared" si="6"/>
        <v>18.649939425008657</v>
      </c>
      <c r="I8" s="5">
        <f t="shared" si="7"/>
        <v>8.0995657801111651</v>
      </c>
      <c r="J8" s="5">
        <f t="shared" si="2"/>
        <v>-1.6456688504490446E-3</v>
      </c>
      <c r="K8" s="5">
        <f t="shared" si="3"/>
        <v>1.6456688504490485E-3</v>
      </c>
      <c r="L8" s="5">
        <f t="shared" si="4"/>
        <v>5.8490809223778313E-2</v>
      </c>
      <c r="M8" s="5">
        <f t="shared" si="8"/>
        <v>0.15603331541899451</v>
      </c>
      <c r="N8" s="6">
        <f t="shared" si="5"/>
        <v>9.7542506195216205E-2</v>
      </c>
      <c r="O8" s="1"/>
      <c r="P8" s="1"/>
      <c r="Q8" s="10" t="s">
        <v>19</v>
      </c>
      <c r="R8" s="17">
        <v>-0.32919999999999999</v>
      </c>
      <c r="S8" s="13">
        <v>4.3371000000000004</v>
      </c>
      <c r="T8" s="13">
        <v>-7.5899999999999995E-2</v>
      </c>
      <c r="U8" s="7">
        <v>0.94069999999999998</v>
      </c>
      <c r="V8" s="11"/>
    </row>
    <row r="9" spans="1:22" x14ac:dyDescent="0.25">
      <c r="A9" s="1"/>
      <c r="B9" s="4"/>
      <c r="C9" s="53">
        <v>20</v>
      </c>
      <c r="D9" s="53">
        <v>8.3543969140000005</v>
      </c>
      <c r="E9" s="53">
        <v>0.35564200000000001</v>
      </c>
      <c r="F9" s="5">
        <f t="shared" si="0"/>
        <v>226150167.63233295</v>
      </c>
      <c r="G9" s="5">
        <f t="shared" si="1"/>
        <v>19.236709795131862</v>
      </c>
      <c r="H9" s="5">
        <f t="shared" si="6"/>
        <v>19.112501313150783</v>
      </c>
      <c r="I9" s="5">
        <f t="shared" si="7"/>
        <v>8.3004538556700389</v>
      </c>
      <c r="J9" s="5">
        <f t="shared" si="2"/>
        <v>3.516581267204948E-4</v>
      </c>
      <c r="K9" s="5">
        <f t="shared" si="3"/>
        <v>3.5165812672049084E-4</v>
      </c>
      <c r="L9" s="5">
        <f t="shared" si="4"/>
        <v>2.9098535419896398E-3</v>
      </c>
      <c r="M9" s="5">
        <f t="shared" si="8"/>
        <v>1.5326471995198883E-2</v>
      </c>
      <c r="N9" s="6">
        <f t="shared" si="5"/>
        <v>1.2416618453209243E-2</v>
      </c>
      <c r="O9" s="1"/>
      <c r="P9" s="1"/>
      <c r="V9" s="5"/>
    </row>
    <row r="10" spans="1:22" x14ac:dyDescent="0.25">
      <c r="A10" s="1"/>
      <c r="B10" s="4"/>
      <c r="C10" s="53">
        <v>24</v>
      </c>
      <c r="D10" s="53">
        <v>8.171361611</v>
      </c>
      <c r="E10" s="53">
        <v>0.24330399999999999</v>
      </c>
      <c r="F10" s="5">
        <f t="shared" si="0"/>
        <v>148375300.31995511</v>
      </c>
      <c r="G10" s="5">
        <f t="shared" si="1"/>
        <v>18.815255434952412</v>
      </c>
      <c r="H10" s="5">
        <f t="shared" si="6"/>
        <v>19.304400632086409</v>
      </c>
      <c r="I10" s="5">
        <f t="shared" si="7"/>
        <v>8.3837946709647735</v>
      </c>
      <c r="J10" s="5">
        <f t="shared" si="2"/>
        <v>-1.3932754285912714E-3</v>
      </c>
      <c r="K10" s="5">
        <f t="shared" si="3"/>
        <v>1.393275428591271E-3</v>
      </c>
      <c r="L10" s="5">
        <f t="shared" si="4"/>
        <v>4.512780496599704E-2</v>
      </c>
      <c r="M10" s="5">
        <f t="shared" si="8"/>
        <v>4.5916800596728362E-2</v>
      </c>
      <c r="N10" s="6">
        <f t="shared" si="5"/>
        <v>7.8899563073132342E-4</v>
      </c>
      <c r="O10" s="1"/>
      <c r="P10" s="1"/>
      <c r="V10" s="5"/>
    </row>
    <row r="11" spans="1:22" x14ac:dyDescent="0.25">
      <c r="A11" s="1"/>
      <c r="B11" s="4"/>
      <c r="C11" s="53">
        <v>28</v>
      </c>
      <c r="D11" s="53">
        <v>8.3832013300000003</v>
      </c>
      <c r="E11" s="53">
        <v>0.38602199999999998</v>
      </c>
      <c r="F11" s="5">
        <f t="shared" si="0"/>
        <v>241658085.20549512</v>
      </c>
      <c r="G11" s="5">
        <f t="shared" si="1"/>
        <v>19.303034414025859</v>
      </c>
      <c r="H11" s="5">
        <f t="shared" si="6"/>
        <v>19.383218633162759</v>
      </c>
      <c r="I11" s="5">
        <f t="shared" si="7"/>
        <v>8.4180248939068782</v>
      </c>
      <c r="J11" s="5">
        <f t="shared" si="2"/>
        <v>-2.2503868319772338E-4</v>
      </c>
      <c r="K11" s="5">
        <f t="shared" si="3"/>
        <v>2.250386831977201E-4</v>
      </c>
      <c r="L11" s="5">
        <f t="shared" si="4"/>
        <v>1.2126806031764097E-3</v>
      </c>
      <c r="M11" s="5">
        <f t="shared" si="8"/>
        <v>1.2503944113313064E-3</v>
      </c>
      <c r="N11" s="6">
        <f t="shared" si="5"/>
        <v>3.7713808154896705E-5</v>
      </c>
      <c r="O11" s="1"/>
      <c r="P11" s="1"/>
      <c r="V11" s="11"/>
    </row>
    <row r="12" spans="1:22" x14ac:dyDescent="0.25">
      <c r="A12" s="1"/>
      <c r="B12" s="4"/>
      <c r="C12" s="53">
        <v>0</v>
      </c>
      <c r="D12" s="53">
        <v>1.920310309</v>
      </c>
      <c r="E12" s="53">
        <v>0.21542500000000001</v>
      </c>
      <c r="F12" s="5">
        <f t="shared" si="0"/>
        <v>83.235828939845916</v>
      </c>
      <c r="G12" s="5">
        <f t="shared" si="1"/>
        <v>4.4216778914261896</v>
      </c>
      <c r="H12" s="5">
        <f t="shared" si="6"/>
        <v>4.2197608647737068</v>
      </c>
      <c r="I12" s="5">
        <f t="shared" si="7"/>
        <v>1.8326188585225149</v>
      </c>
      <c r="J12" s="5">
        <f t="shared" si="2"/>
        <v>2.5374077550197995E-3</v>
      </c>
      <c r="K12" s="5">
        <f t="shared" si="3"/>
        <v>2.5374077550197965E-3</v>
      </c>
      <c r="L12" s="5">
        <f t="shared" si="4"/>
        <v>7.6897904868452136E-3</v>
      </c>
      <c r="M12" s="5">
        <f t="shared" si="8"/>
        <v>43.294416131654195</v>
      </c>
      <c r="N12" s="6">
        <f t="shared" si="5"/>
        <v>43.286726341167352</v>
      </c>
      <c r="O12" s="1"/>
      <c r="P12" s="1"/>
      <c r="V12" s="11"/>
    </row>
    <row r="13" spans="1:22" x14ac:dyDescent="0.25">
      <c r="A13" s="1"/>
      <c r="B13" s="4"/>
      <c r="C13" s="53">
        <v>4</v>
      </c>
      <c r="D13" s="53">
        <v>5.0393371340000002</v>
      </c>
      <c r="E13" s="53">
        <v>9.5812999999999995E-2</v>
      </c>
      <c r="F13" s="5">
        <f t="shared" si="0"/>
        <v>109480.59121167415</v>
      </c>
      <c r="G13" s="5">
        <f t="shared" si="1"/>
        <v>11.60350256331974</v>
      </c>
      <c r="H13" s="5">
        <f t="shared" si="6"/>
        <v>10.527290659344029</v>
      </c>
      <c r="I13" s="5">
        <f t="shared" si="7"/>
        <v>4.571944242744757</v>
      </c>
      <c r="J13" s="5">
        <f t="shared" si="2"/>
        <v>5.284061065484803E-3</v>
      </c>
      <c r="K13" s="5">
        <f t="shared" si="3"/>
        <v>5.2840610654848108E-3</v>
      </c>
      <c r="L13" s="5">
        <f t="shared" si="4"/>
        <v>0.2184561147959356</v>
      </c>
      <c r="M13" s="5">
        <f t="shared" si="8"/>
        <v>14.963591434337149</v>
      </c>
      <c r="N13" s="6">
        <f t="shared" si="5"/>
        <v>14.745135319541212</v>
      </c>
      <c r="O13" s="1"/>
      <c r="P13" s="1"/>
      <c r="V13" s="11"/>
    </row>
    <row r="14" spans="1:22" x14ac:dyDescent="0.25">
      <c r="A14" s="1"/>
      <c r="B14" s="4"/>
      <c r="C14" s="53">
        <v>8</v>
      </c>
      <c r="D14" s="53">
        <v>6.6355336070000002</v>
      </c>
      <c r="E14" s="53">
        <v>0.42135699999999998</v>
      </c>
      <c r="F14" s="5">
        <f t="shared" si="0"/>
        <v>4320495.9960891744</v>
      </c>
      <c r="G14" s="5">
        <f t="shared" si="1"/>
        <v>15.278880767539212</v>
      </c>
      <c r="H14" s="5">
        <f t="shared" si="6"/>
        <v>15.151254663900488</v>
      </c>
      <c r="I14" s="5">
        <f t="shared" si="7"/>
        <v>6.5801062944428903</v>
      </c>
      <c r="J14" s="5">
        <f t="shared" si="2"/>
        <v>4.5536798281985456E-4</v>
      </c>
      <c r="K14" s="5">
        <f t="shared" si="3"/>
        <v>4.5536798281985548E-4</v>
      </c>
      <c r="L14" s="5">
        <f t="shared" si="4"/>
        <v>3.072186977303549E-3</v>
      </c>
      <c r="M14" s="5">
        <f t="shared" si="8"/>
        <v>3.3584807860383692</v>
      </c>
      <c r="N14" s="6">
        <f t="shared" si="5"/>
        <v>3.3554085990610658</v>
      </c>
      <c r="O14" s="1"/>
      <c r="P14" s="1"/>
      <c r="V14" s="11"/>
    </row>
    <row r="15" spans="1:22" x14ac:dyDescent="0.25">
      <c r="A15" s="1"/>
      <c r="B15" s="4"/>
      <c r="C15" s="53">
        <v>11</v>
      </c>
      <c r="D15" s="53">
        <v>7.6769544720000003</v>
      </c>
      <c r="E15" s="53">
        <v>0.41533399999999998</v>
      </c>
      <c r="F15" s="5">
        <f t="shared" si="0"/>
        <v>47528539.816748597</v>
      </c>
      <c r="G15" s="5">
        <f t="shared" si="1"/>
        <v>17.676840926821178</v>
      </c>
      <c r="H15" s="5">
        <f t="shared" si="6"/>
        <v>17.119249533801092</v>
      </c>
      <c r="I15" s="5">
        <f t="shared" si="7"/>
        <v>7.4347956068546308</v>
      </c>
      <c r="J15" s="5">
        <f t="shared" si="2"/>
        <v>1.739991424298995E-3</v>
      </c>
      <c r="K15" s="5">
        <f t="shared" si="3"/>
        <v>1.7399914242989944E-3</v>
      </c>
      <c r="L15" s="5">
        <f t="shared" si="4"/>
        <v>5.8640915968493225E-2</v>
      </c>
      <c r="M15" s="5">
        <f t="shared" si="8"/>
        <v>1.0133421300394674</v>
      </c>
      <c r="N15" s="6">
        <f t="shared" si="5"/>
        <v>0.95470121407097419</v>
      </c>
      <c r="O15" s="1"/>
      <c r="P15" s="1"/>
    </row>
    <row r="16" spans="1:22" x14ac:dyDescent="0.25">
      <c r="A16" s="1"/>
      <c r="B16" s="4"/>
      <c r="C16" s="53">
        <v>16</v>
      </c>
      <c r="D16" s="53">
        <v>8.4118837370000001</v>
      </c>
      <c r="E16" s="53">
        <v>0.41879699999999997</v>
      </c>
      <c r="F16" s="5">
        <f t="shared" si="0"/>
        <v>258156899.80286703</v>
      </c>
      <c r="G16" s="5">
        <f t="shared" si="1"/>
        <v>19.369078096815247</v>
      </c>
      <c r="H16" s="5">
        <f t="shared" si="6"/>
        <v>18.649939425008657</v>
      </c>
      <c r="I16" s="5">
        <f t="shared" si="7"/>
        <v>8.0995657801111651</v>
      </c>
      <c r="J16" s="5">
        <f t="shared" si="2"/>
        <v>2.053940586352112E-3</v>
      </c>
      <c r="K16" s="5">
        <f t="shared" si="3"/>
        <v>2.0539405863521129E-3</v>
      </c>
      <c r="L16" s="5">
        <f t="shared" si="4"/>
        <v>9.7542506195216205E-2</v>
      </c>
      <c r="M16" s="5">
        <f t="shared" si="8"/>
        <v>0.19508501239043241</v>
      </c>
      <c r="N16" s="6">
        <f t="shared" si="5"/>
        <v>9.7542506195216205E-2</v>
      </c>
      <c r="O16" s="1"/>
      <c r="P16" s="1"/>
    </row>
    <row r="17" spans="1:17" x14ac:dyDescent="0.25">
      <c r="A17" s="1"/>
      <c r="B17" s="4"/>
      <c r="C17" s="53">
        <v>20</v>
      </c>
      <c r="D17" s="53">
        <v>8.5223674729999992</v>
      </c>
      <c r="E17" s="53">
        <v>0.21551500000000001</v>
      </c>
      <c r="F17" s="5">
        <f t="shared" si="0"/>
        <v>332941148.25111097</v>
      </c>
      <c r="G17" s="5">
        <f t="shared" si="1"/>
        <v>19.623476300347136</v>
      </c>
      <c r="H17" s="5">
        <f t="shared" si="6"/>
        <v>19.112501313150783</v>
      </c>
      <c r="I17" s="5">
        <f t="shared" si="7"/>
        <v>8.3004538556700389</v>
      </c>
      <c r="J17" s="5">
        <f t="shared" si="2"/>
        <v>1.4323021126528802E-3</v>
      </c>
      <c r="K17" s="5">
        <f t="shared" si="3"/>
        <v>1.4323021126528795E-3</v>
      </c>
      <c r="L17" s="5">
        <f t="shared" si="4"/>
        <v>4.9245653556468053E-2</v>
      </c>
      <c r="M17" s="5">
        <f t="shared" si="8"/>
        <v>6.1662272009677298E-2</v>
      </c>
      <c r="N17" s="6">
        <f t="shared" si="5"/>
        <v>1.2416618453209243E-2</v>
      </c>
      <c r="O17" s="1"/>
      <c r="P17" s="1"/>
    </row>
    <row r="18" spans="1:17" x14ac:dyDescent="0.25">
      <c r="A18" s="1"/>
      <c r="B18" s="4"/>
      <c r="C18" s="53">
        <v>24</v>
      </c>
      <c r="D18" s="53">
        <v>8.3119982239999999</v>
      </c>
      <c r="E18" s="53">
        <v>0.19914499999999999</v>
      </c>
      <c r="F18" s="5">
        <f t="shared" si="0"/>
        <v>205115379.08383116</v>
      </c>
      <c r="G18" s="5">
        <f t="shared" si="1"/>
        <v>19.139083203575385</v>
      </c>
      <c r="H18" s="5">
        <f t="shared" si="6"/>
        <v>19.304400632086409</v>
      </c>
      <c r="I18" s="5">
        <f t="shared" si="7"/>
        <v>8.3837946709647735</v>
      </c>
      <c r="J18" s="5">
        <f t="shared" si="2"/>
        <v>-4.6689895378612044E-4</v>
      </c>
      <c r="K18" s="5">
        <f t="shared" si="3"/>
        <v>4.6689895378612488E-4</v>
      </c>
      <c r="L18" s="5">
        <f t="shared" si="4"/>
        <v>5.1547297967655496E-3</v>
      </c>
      <c r="M18" s="5">
        <f t="shared" si="8"/>
        <v>5.9437254274968734E-3</v>
      </c>
      <c r="N18" s="6">
        <f t="shared" si="5"/>
        <v>7.8899563073132342E-4</v>
      </c>
      <c r="O18" s="1"/>
      <c r="P18" s="1"/>
    </row>
    <row r="19" spans="1:17" x14ac:dyDescent="0.25">
      <c r="A19" s="1"/>
      <c r="B19" s="4"/>
      <c r="C19" s="53">
        <v>28</v>
      </c>
      <c r="D19" s="53">
        <v>8.429326069</v>
      </c>
      <c r="E19" s="53">
        <v>0.24004</v>
      </c>
      <c r="F19" s="5">
        <f t="shared" si="0"/>
        <v>268736136.3672958</v>
      </c>
      <c r="G19" s="5">
        <f t="shared" si="1"/>
        <v>19.409240550465501</v>
      </c>
      <c r="H19" s="5">
        <f t="shared" si="6"/>
        <v>19.383218633162759</v>
      </c>
      <c r="I19" s="5">
        <f t="shared" si="7"/>
        <v>8.4180248939068782</v>
      </c>
      <c r="J19" s="5">
        <f t="shared" si="2"/>
        <v>7.2831015524772082E-5</v>
      </c>
      <c r="K19" s="5">
        <f t="shared" si="3"/>
        <v>7.283101552476887E-5</v>
      </c>
      <c r="L19" s="5">
        <f t="shared" si="4"/>
        <v>1.2771655848539619E-4</v>
      </c>
      <c r="M19" s="5">
        <f t="shared" si="8"/>
        <v>1.6543036664029288E-4</v>
      </c>
      <c r="N19" s="6">
        <f t="shared" si="5"/>
        <v>3.7713808154896705E-5</v>
      </c>
      <c r="O19" s="1"/>
      <c r="P19" s="1"/>
    </row>
    <row r="20" spans="1:17" x14ac:dyDescent="0.25">
      <c r="A20" s="1"/>
      <c r="B20" s="4"/>
      <c r="C20" s="5"/>
      <c r="D20" s="24">
        <f>AVERAGE(D4:D19)</f>
        <v>6.7026602270625011</v>
      </c>
      <c r="E20" s="24"/>
      <c r="F20" s="5"/>
      <c r="G20" s="5"/>
      <c r="H20" s="5"/>
      <c r="I20" s="5"/>
      <c r="J20" s="5">
        <f>SUM(J4:J19)</f>
        <v>-9.1152421653867201E-4</v>
      </c>
      <c r="K20" s="5">
        <f>SUM(K4:K19)</f>
        <v>2.8766644354286094E-2</v>
      </c>
      <c r="L20" s="5">
        <f>AVERAGE(L4:L19)</f>
        <v>4.9574044825732647E-2</v>
      </c>
      <c r="M20" s="5">
        <f>SUM(M4:M19)</f>
        <v>125.69869933306757</v>
      </c>
      <c r="N20" s="6">
        <f>SUM(N4:N19)</f>
        <v>124.90551461585584</v>
      </c>
      <c r="O20" s="1"/>
      <c r="P20" s="1"/>
    </row>
    <row r="21" spans="1:17" x14ac:dyDescent="0.25">
      <c r="A21" s="1"/>
      <c r="B21" s="23"/>
      <c r="C21" s="24"/>
      <c r="D21" s="29"/>
      <c r="E21" s="29"/>
      <c r="F21" s="24"/>
      <c r="G21" s="24"/>
      <c r="H21" s="24"/>
      <c r="I21" s="40" t="s">
        <v>44</v>
      </c>
      <c r="J21" s="40">
        <f>10^J20</f>
        <v>0.99790333899791162</v>
      </c>
      <c r="K21" s="40">
        <f>10^K20</f>
        <v>1.0684806076367221</v>
      </c>
      <c r="L21" s="24"/>
      <c r="M21" s="29"/>
      <c r="N21" s="25"/>
      <c r="O21" s="1"/>
      <c r="P21" s="1"/>
    </row>
    <row r="22" spans="1:17" x14ac:dyDescent="0.25">
      <c r="A22" s="35" t="s">
        <v>35</v>
      </c>
      <c r="B22" s="36">
        <v>8</v>
      </c>
      <c r="C22" s="24"/>
      <c r="D22" s="29"/>
      <c r="E22" s="29"/>
      <c r="F22" s="24"/>
      <c r="G22" s="24"/>
      <c r="H22" s="24"/>
      <c r="I22" s="24"/>
      <c r="J22" s="24"/>
      <c r="K22" s="24"/>
      <c r="L22" s="24">
        <f>(SQRT(M20/(B22-1)))/(SQRT(B22))</f>
        <v>1.4982054702034815</v>
      </c>
      <c r="M22" s="29"/>
      <c r="N22" s="25" t="s">
        <v>23</v>
      </c>
      <c r="O22" s="1"/>
      <c r="P22" s="1"/>
    </row>
    <row r="23" spans="1:17" x14ac:dyDescent="0.25">
      <c r="A23" s="1"/>
      <c r="B23" s="23"/>
      <c r="C23" s="24"/>
      <c r="D23" s="29"/>
      <c r="E23" s="29"/>
      <c r="F23" s="24"/>
      <c r="G23" s="24"/>
      <c r="H23" s="24"/>
      <c r="I23" s="24"/>
      <c r="J23" s="24"/>
      <c r="K23" s="24"/>
      <c r="L23" s="24">
        <f>N20/M20</f>
        <v>0.9936897937574517</v>
      </c>
      <c r="M23" s="29"/>
      <c r="N23" s="25" t="s">
        <v>22</v>
      </c>
      <c r="O23" s="1"/>
      <c r="P23" s="1"/>
    </row>
    <row r="24" spans="1:17" x14ac:dyDescent="0.25">
      <c r="A24" s="1"/>
      <c r="B24" s="23"/>
      <c r="C24" s="24"/>
      <c r="D24" s="29"/>
      <c r="E24" s="29"/>
      <c r="F24" s="24"/>
      <c r="G24" s="24"/>
      <c r="H24" s="24"/>
      <c r="I24" s="24"/>
      <c r="J24" s="24"/>
      <c r="K24" s="24"/>
      <c r="L24" s="24">
        <f>L20*100/D20</f>
        <v>0.73961745256866318</v>
      </c>
      <c r="M24" s="29"/>
      <c r="N24" s="6" t="s">
        <v>40</v>
      </c>
      <c r="O24" s="1"/>
      <c r="P24" s="1"/>
    </row>
    <row r="25" spans="1:17" ht="15.75" thickBot="1" x14ac:dyDescent="0.3">
      <c r="A25" s="1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>
        <f>SQRT(L20)</f>
        <v>0.22265229580162124</v>
      </c>
      <c r="M25" s="27"/>
      <c r="N25" s="28" t="s">
        <v>18</v>
      </c>
      <c r="O25" s="1"/>
      <c r="P25" s="1"/>
    </row>
    <row r="26" spans="1:17" x14ac:dyDescent="0.25">
      <c r="O26" s="19"/>
      <c r="P26" s="1"/>
    </row>
    <row r="27" spans="1:17" x14ac:dyDescent="0.25">
      <c r="O27" s="19"/>
      <c r="P27" s="1"/>
    </row>
    <row r="28" spans="1:17" x14ac:dyDescent="0.25">
      <c r="O28" s="18"/>
      <c r="P28" s="1"/>
    </row>
    <row r="29" spans="1:17" x14ac:dyDescent="0.25">
      <c r="O29" s="1"/>
      <c r="P29" s="1"/>
    </row>
    <row r="30" spans="1:17" x14ac:dyDescent="0.25">
      <c r="O30" s="18"/>
      <c r="P30" s="1"/>
    </row>
    <row r="31" spans="1:1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</row>
    <row r="32" spans="1:17" x14ac:dyDescent="0.25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1"/>
      <c r="P32" s="1"/>
    </row>
    <row r="33" spans="1:21" x14ac:dyDescent="0.25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1"/>
      <c r="P33" s="1"/>
    </row>
    <row r="34" spans="1:21" x14ac:dyDescent="0.25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1"/>
      <c r="P34" s="1"/>
    </row>
    <row r="35" spans="1:21" x14ac:dyDescent="0.25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1"/>
      <c r="P35" s="1"/>
    </row>
    <row r="36" spans="1:21" x14ac:dyDescent="0.25">
      <c r="A36" s="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1"/>
      <c r="P36" s="1"/>
    </row>
    <row r="37" spans="1:21" x14ac:dyDescent="0.25">
      <c r="A37" s="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1"/>
      <c r="P37" s="1"/>
    </row>
    <row r="38" spans="1:21" x14ac:dyDescent="0.25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1"/>
      <c r="P38" s="1"/>
    </row>
    <row r="39" spans="1:21" x14ac:dyDescent="0.25">
      <c r="A39" s="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1"/>
      <c r="P39" s="1"/>
    </row>
    <row r="40" spans="1:21" x14ac:dyDescent="0.25">
      <c r="A40" s="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1"/>
      <c r="P40" s="1"/>
    </row>
    <row r="41" spans="1:21" x14ac:dyDescent="0.25">
      <c r="A41" s="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1"/>
      <c r="P41" s="1"/>
    </row>
    <row r="42" spans="1:21" x14ac:dyDescent="0.25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1"/>
      <c r="P42" s="1"/>
    </row>
    <row r="43" spans="1:21" x14ac:dyDescent="0.25">
      <c r="A43" s="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1"/>
      <c r="P43" s="1"/>
    </row>
    <row r="44" spans="1:21" x14ac:dyDescent="0.25">
      <c r="A44" s="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1"/>
      <c r="P44" s="1"/>
    </row>
    <row r="45" spans="1:21" x14ac:dyDescent="0.25">
      <c r="A45" s="1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1"/>
      <c r="P45" s="1"/>
    </row>
    <row r="46" spans="1:21" x14ac:dyDescent="0.25">
      <c r="A46" s="1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1"/>
      <c r="P46" s="1"/>
    </row>
    <row r="47" spans="1:21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1" x14ac:dyDescent="0.25">
      <c r="A48" s="1"/>
      <c r="B48" s="21" t="s">
        <v>58</v>
      </c>
      <c r="C48" s="2" t="s">
        <v>1</v>
      </c>
      <c r="D48" s="2" t="s">
        <v>2</v>
      </c>
      <c r="E48" s="2"/>
      <c r="F48" s="2" t="s">
        <v>7</v>
      </c>
      <c r="G48" s="2" t="s">
        <v>32</v>
      </c>
      <c r="H48" s="2" t="s">
        <v>16</v>
      </c>
      <c r="I48" s="2" t="s">
        <v>17</v>
      </c>
      <c r="J48" s="2" t="s">
        <v>39</v>
      </c>
      <c r="K48" s="2" t="s">
        <v>38</v>
      </c>
      <c r="L48" s="2" t="s">
        <v>36</v>
      </c>
      <c r="M48" s="2" t="s">
        <v>21</v>
      </c>
      <c r="N48" s="3" t="s">
        <v>20</v>
      </c>
      <c r="O48" s="1"/>
      <c r="P48" s="1"/>
      <c r="Q48" s="8"/>
      <c r="R48" s="15" t="s">
        <v>14</v>
      </c>
      <c r="S48" s="12" t="s">
        <v>8</v>
      </c>
      <c r="T48" s="12" t="s">
        <v>9</v>
      </c>
      <c r="U48" s="3" t="s">
        <v>10</v>
      </c>
    </row>
    <row r="49" spans="1:22" ht="15.75" thickBot="1" x14ac:dyDescent="0.3">
      <c r="A49" s="1"/>
      <c r="B49" s="4"/>
      <c r="C49" s="5">
        <v>0</v>
      </c>
      <c r="D49" s="5">
        <v>2.0523787539999998</v>
      </c>
      <c r="E49" s="53">
        <v>9.7292000000000003E-2</v>
      </c>
      <c r="F49" s="5">
        <f>10^D49</f>
        <v>112.81809288723814</v>
      </c>
      <c r="G49" s="5">
        <f>LN(10^D49)</f>
        <v>4.7257767241380932</v>
      </c>
      <c r="H49" s="5">
        <f>$R$53+$R$50*(EXP(-1*EXP((-1/$R$51)*(C49-$R$52))))</f>
        <v>4.8009451085172259</v>
      </c>
      <c r="I49" s="5">
        <f>LOG(EXP(H49))</f>
        <v>2.0850239685494398</v>
      </c>
      <c r="J49" s="5">
        <f t="shared" ref="J49:J66" si="9">LOG(D49/I49)/$B$22</f>
        <v>-8.5669269569321651E-4</v>
      </c>
      <c r="K49" s="5">
        <f t="shared" ref="K49:K66" si="10">ABS(LOG(I49/D49)/$B$22)</f>
        <v>8.5669269569321022E-4</v>
      </c>
      <c r="L49" s="5">
        <f>(D49-I49)^2</f>
        <v>1.0657100329789708E-3</v>
      </c>
      <c r="M49" s="5">
        <f>N49+L49</f>
        <v>10.652666176253875</v>
      </c>
      <c r="N49" s="6">
        <f t="shared" ref="N49:N56" si="11">(I49-$D$67)^2</f>
        <v>10.651600466220897</v>
      </c>
      <c r="O49" s="1"/>
      <c r="P49" s="1"/>
      <c r="Q49" s="9"/>
      <c r="R49" s="16"/>
      <c r="S49" s="14"/>
      <c r="T49" s="14"/>
      <c r="U49" s="6"/>
    </row>
    <row r="50" spans="1:22" x14ac:dyDescent="0.25">
      <c r="A50" s="1"/>
      <c r="B50" s="4"/>
      <c r="C50" s="5">
        <v>6</v>
      </c>
      <c r="D50" s="5">
        <v>4.7719247730000003</v>
      </c>
      <c r="E50" s="57">
        <v>0.19089700000000001</v>
      </c>
      <c r="F50" s="5">
        <f t="shared" ref="F50:F56" si="12">10^D50</f>
        <v>59145.917477306379</v>
      </c>
      <c r="G50" s="5">
        <f t="shared" ref="G50:G56" si="13">LN(10^D50)</f>
        <v>10.987762847198796</v>
      </c>
      <c r="H50" s="5">
        <f t="shared" ref="H50:H66" si="14">$R$53+$R$50*(EXP(-1*EXP((-1/$R$51)*(C50-$R$52))))</f>
        <v>10.779962401306875</v>
      </c>
      <c r="I50" s="5">
        <f t="shared" ref="I50:I66" si="15">LOG(EXP(H50))</f>
        <v>4.6816781860121042</v>
      </c>
      <c r="J50" s="5">
        <f t="shared" si="9"/>
        <v>1.0365039012185757E-3</v>
      </c>
      <c r="K50" s="5">
        <f t="shared" si="10"/>
        <v>1.0365039012185787E-3</v>
      </c>
      <c r="L50" s="5">
        <f t="shared" ref="L50:L56" si="16">(D50-I50)^2</f>
        <v>8.1444464629639012E-3</v>
      </c>
      <c r="M50" s="5">
        <f t="shared" ref="M50:M66" si="17">N50+L50</f>
        <v>0.45306647656636206</v>
      </c>
      <c r="N50" s="6">
        <f t="shared" si="11"/>
        <v>0.44492203010339815</v>
      </c>
      <c r="O50" s="1"/>
      <c r="P50" s="1"/>
      <c r="Q50" s="9" t="s">
        <v>11</v>
      </c>
      <c r="R50" s="15">
        <v>6367.1423999999997</v>
      </c>
      <c r="S50" s="12">
        <v>5052733.6218999997</v>
      </c>
      <c r="T50" s="12">
        <v>1.2999999999999999E-3</v>
      </c>
      <c r="U50" s="3">
        <v>0.999</v>
      </c>
    </row>
    <row r="51" spans="1:22" x14ac:dyDescent="0.25">
      <c r="A51" s="1"/>
      <c r="B51" s="4"/>
      <c r="C51" s="5">
        <v>12</v>
      </c>
      <c r="D51" s="5">
        <v>5.2638557449999999</v>
      </c>
      <c r="E51" s="57">
        <v>0.14196900000000001</v>
      </c>
      <c r="F51" s="5">
        <f t="shared" si="12"/>
        <v>183592.84211523287</v>
      </c>
      <c r="G51" s="5">
        <f t="shared" si="13"/>
        <v>12.120475770108067</v>
      </c>
      <c r="H51" s="5">
        <f t="shared" si="14"/>
        <v>13.216241586605975</v>
      </c>
      <c r="I51" s="5">
        <f t="shared" si="15"/>
        <v>5.7397407925632526</v>
      </c>
      <c r="J51" s="5">
        <f t="shared" si="9"/>
        <v>-4.6985376296714175E-3</v>
      </c>
      <c r="K51" s="5">
        <f t="shared" si="10"/>
        <v>4.6985376296714192E-3</v>
      </c>
      <c r="L51" s="5">
        <f t="shared" si="16"/>
        <v>0.22646657849427937</v>
      </c>
      <c r="M51" s="5">
        <f t="shared" si="17"/>
        <v>0.37937717613462391</v>
      </c>
      <c r="N51" s="6">
        <f t="shared" si="11"/>
        <v>0.15291059764034454</v>
      </c>
      <c r="O51" s="1"/>
      <c r="P51" s="1"/>
      <c r="Q51" s="9" t="s">
        <v>12</v>
      </c>
      <c r="R51" s="16">
        <v>6.6782000000000004</v>
      </c>
      <c r="S51" s="14">
        <v>2.6549999999999998</v>
      </c>
      <c r="T51" s="14">
        <v>2.5152999999999999</v>
      </c>
      <c r="U51" s="6">
        <v>2.47E-2</v>
      </c>
    </row>
    <row r="52" spans="1:22" x14ac:dyDescent="0.25">
      <c r="A52" s="1"/>
      <c r="B52" s="4"/>
      <c r="C52" s="5">
        <v>18</v>
      </c>
      <c r="D52" s="5">
        <v>5.8333349969999997</v>
      </c>
      <c r="E52" s="57">
        <v>0.38352199999999997</v>
      </c>
      <c r="F52" s="5">
        <f t="shared" si="12"/>
        <v>681294.6789116991</v>
      </c>
      <c r="G52" s="5">
        <f t="shared" si="13"/>
        <v>13.431750206532667</v>
      </c>
      <c r="H52" s="5">
        <f t="shared" si="14"/>
        <v>14.20856679010376</v>
      </c>
      <c r="I52" s="5">
        <f t="shared" si="15"/>
        <v>6.1707021526958625</v>
      </c>
      <c r="J52" s="5">
        <f t="shared" si="9"/>
        <v>-3.0522083221497546E-3</v>
      </c>
      <c r="K52" s="5">
        <f t="shared" si="10"/>
        <v>3.0522083221497603E-3</v>
      </c>
      <c r="L52" s="5">
        <f t="shared" si="16"/>
        <v>0.11381659774231656</v>
      </c>
      <c r="M52" s="5">
        <f t="shared" si="17"/>
        <v>0.78949929396194285</v>
      </c>
      <c r="N52" s="6">
        <f t="shared" si="11"/>
        <v>0.67568269621962629</v>
      </c>
      <c r="O52" s="1"/>
      <c r="P52" s="1"/>
      <c r="Q52" s="9" t="s">
        <v>13</v>
      </c>
      <c r="R52" s="16">
        <v>-43.051900000000003</v>
      </c>
      <c r="S52" s="14">
        <v>5319.9564</v>
      </c>
      <c r="T52" s="14">
        <v>-8.0999999999999996E-3</v>
      </c>
      <c r="U52" s="6">
        <v>0.99370000000000003</v>
      </c>
    </row>
    <row r="53" spans="1:22" ht="15.75" thickBot="1" x14ac:dyDescent="0.3">
      <c r="A53" s="1"/>
      <c r="B53" s="4"/>
      <c r="C53" s="5">
        <v>24</v>
      </c>
      <c r="D53" s="5">
        <v>6.1995849749999996</v>
      </c>
      <c r="E53" s="57">
        <v>0.29651</v>
      </c>
      <c r="F53" s="5">
        <f t="shared" si="12"/>
        <v>1583379.3438352402</v>
      </c>
      <c r="G53" s="5">
        <f t="shared" si="13"/>
        <v>14.275071946184864</v>
      </c>
      <c r="H53" s="5">
        <f t="shared" si="14"/>
        <v>14.612688003874609</v>
      </c>
      <c r="I53" s="5">
        <f t="shared" si="15"/>
        <v>6.346209765856587</v>
      </c>
      <c r="J53" s="5">
        <f t="shared" si="9"/>
        <v>-1.2689757485269111E-3</v>
      </c>
      <c r="K53" s="5">
        <f t="shared" si="10"/>
        <v>1.2689757485269035E-3</v>
      </c>
      <c r="L53" s="5">
        <f t="shared" si="16"/>
        <v>2.1498829293738E-2</v>
      </c>
      <c r="M53" s="5">
        <f t="shared" si="17"/>
        <v>1.0165186854528923</v>
      </c>
      <c r="N53" s="6">
        <f t="shared" si="11"/>
        <v>0.99501985615915423</v>
      </c>
      <c r="O53" s="1"/>
      <c r="P53" s="1"/>
      <c r="Q53" s="10" t="s">
        <v>19</v>
      </c>
      <c r="R53" s="17">
        <v>-6352.2520999999997</v>
      </c>
      <c r="S53" s="13">
        <v>5052733.4878000002</v>
      </c>
      <c r="T53" s="13">
        <v>-1.2999999999999999E-3</v>
      </c>
      <c r="U53" s="7">
        <v>0.999</v>
      </c>
    </row>
    <row r="54" spans="1:22" x14ac:dyDescent="0.25">
      <c r="A54" s="1"/>
      <c r="B54" s="4"/>
      <c r="C54" s="5">
        <v>30</v>
      </c>
      <c r="D54" s="5">
        <v>6.012722793</v>
      </c>
      <c r="E54" s="57">
        <v>0.42579099999999998</v>
      </c>
      <c r="F54" s="5">
        <f t="shared" si="12"/>
        <v>1029728.6423507631</v>
      </c>
      <c r="G54" s="5">
        <f t="shared" si="13"/>
        <v>13.844805871467324</v>
      </c>
      <c r="H54" s="5">
        <f t="shared" si="14"/>
        <v>14.77725435492448</v>
      </c>
      <c r="I54" s="5">
        <f t="shared" si="15"/>
        <v>6.4176800240244987</v>
      </c>
      <c r="J54" s="5">
        <f t="shared" si="9"/>
        <v>-3.5383597713095414E-3</v>
      </c>
      <c r="K54" s="5">
        <f t="shared" si="10"/>
        <v>3.5383597713095427E-3</v>
      </c>
      <c r="L54" s="5">
        <f t="shared" si="16"/>
        <v>0.16399035895902916</v>
      </c>
      <c r="M54" s="5">
        <f t="shared" si="17"/>
        <v>1.3067023528353121</v>
      </c>
      <c r="N54" s="6">
        <f t="shared" si="11"/>
        <v>1.1427119938762829</v>
      </c>
      <c r="O54" s="1"/>
      <c r="P54" s="1"/>
    </row>
    <row r="55" spans="1:22" x14ac:dyDescent="0.25">
      <c r="A55" s="1"/>
      <c r="B55" s="4"/>
      <c r="C55" s="5">
        <v>36</v>
      </c>
      <c r="D55" s="5">
        <v>6.2475402979999997</v>
      </c>
      <c r="E55" s="57">
        <v>0.29510399999999998</v>
      </c>
      <c r="F55" s="5">
        <f t="shared" si="12"/>
        <v>1768236.2840140453</v>
      </c>
      <c r="G55" s="5">
        <f t="shared" si="13"/>
        <v>14.385493158054379</v>
      </c>
      <c r="H55" s="5">
        <f t="shared" si="14"/>
        <v>14.844267335175573</v>
      </c>
      <c r="I55" s="5">
        <f t="shared" si="15"/>
        <v>6.4467833915634403</v>
      </c>
      <c r="J55" s="5">
        <f t="shared" si="9"/>
        <v>-1.7042515368281717E-3</v>
      </c>
      <c r="K55" s="5">
        <f t="shared" si="10"/>
        <v>1.7042515368281752E-3</v>
      </c>
      <c r="L55" s="5">
        <f t="shared" si="16"/>
        <v>3.9697810332729948E-2</v>
      </c>
      <c r="M55" s="5">
        <f t="shared" si="17"/>
        <v>1.2454784758105728</v>
      </c>
      <c r="N55" s="6">
        <f t="shared" si="11"/>
        <v>1.2057806654778429</v>
      </c>
      <c r="O55" s="1"/>
      <c r="P55" s="1"/>
    </row>
    <row r="56" spans="1:22" x14ac:dyDescent="0.25">
      <c r="A56" s="1"/>
      <c r="B56" s="4"/>
      <c r="C56" s="5">
        <v>42</v>
      </c>
      <c r="D56" s="5">
        <v>6.4082812310000001</v>
      </c>
      <c r="E56" s="57">
        <v>0.30677300000000002</v>
      </c>
      <c r="F56" s="5">
        <f t="shared" si="12"/>
        <v>2560243.2570181591</v>
      </c>
      <c r="G56" s="5">
        <f t="shared" si="13"/>
        <v>14.755612834214133</v>
      </c>
      <c r="H56" s="5">
        <f t="shared" si="14"/>
        <v>14.871555362653453</v>
      </c>
      <c r="I56" s="5">
        <f t="shared" si="15"/>
        <v>6.4586344313191075</v>
      </c>
      <c r="J56" s="5">
        <f t="shared" si="9"/>
        <v>-4.2489259379271889E-4</v>
      </c>
      <c r="K56" s="5">
        <f t="shared" si="10"/>
        <v>4.2489259379271965E-4</v>
      </c>
      <c r="L56" s="5">
        <f t="shared" si="16"/>
        <v>2.5354447823761569E-3</v>
      </c>
      <c r="M56" s="5">
        <f t="shared" si="17"/>
        <v>1.2344833474400214</v>
      </c>
      <c r="N56" s="6">
        <f t="shared" si="11"/>
        <v>1.2319479026576452</v>
      </c>
      <c r="O56" s="1"/>
      <c r="P56" s="1"/>
    </row>
    <row r="57" spans="1:22" x14ac:dyDescent="0.25">
      <c r="A57" s="1"/>
      <c r="B57" s="4"/>
      <c r="C57" s="53">
        <v>48</v>
      </c>
      <c r="D57" s="53">
        <v>6.7704433679999996</v>
      </c>
      <c r="E57" s="57">
        <v>0.18940699999999999</v>
      </c>
      <c r="F57" s="5">
        <f t="shared" ref="F57:F66" si="18">10^D57</f>
        <v>5894451.0841222508</v>
      </c>
      <c r="G57" s="5">
        <f t="shared" ref="G57:G66" si="19">LN(10^D57)</f>
        <v>15.5895219721172</v>
      </c>
      <c r="H57" s="5">
        <f t="shared" si="14"/>
        <v>14.882667137895623</v>
      </c>
      <c r="I57" s="5">
        <f t="shared" si="15"/>
        <v>6.4634602139909312</v>
      </c>
      <c r="J57" s="5">
        <f t="shared" si="9"/>
        <v>2.5190037379822102E-3</v>
      </c>
      <c r="K57" s="5">
        <f t="shared" si="10"/>
        <v>2.519003737982215E-3</v>
      </c>
      <c r="L57" s="5">
        <f t="shared" ref="L57:L66" si="20">(D57-I57)^2</f>
        <v>9.4238656845355401E-2</v>
      </c>
      <c r="M57" s="5">
        <f t="shared" si="17"/>
        <v>3.8905928818604272</v>
      </c>
      <c r="N57" s="6">
        <f t="shared" ref="N57:N66" si="21">(I57-$D$16)^2</f>
        <v>3.7963542250150719</v>
      </c>
      <c r="O57" s="1"/>
      <c r="P57" s="1"/>
      <c r="V57" s="5"/>
    </row>
    <row r="58" spans="1:22" x14ac:dyDescent="0.25">
      <c r="A58" s="1"/>
      <c r="B58" s="4"/>
      <c r="C58" s="53">
        <v>0</v>
      </c>
      <c r="D58" s="53">
        <v>2.003103844</v>
      </c>
      <c r="E58" s="57">
        <v>0.18285899999999999</v>
      </c>
      <c r="F58" s="5">
        <f t="shared" si="18"/>
        <v>100.7172464714249</v>
      </c>
      <c r="G58" s="5">
        <f t="shared" si="19"/>
        <v>4.6123170509134708</v>
      </c>
      <c r="H58" s="5">
        <f t="shared" si="14"/>
        <v>4.8009451085172259</v>
      </c>
      <c r="I58" s="5">
        <f t="shared" si="15"/>
        <v>2.0850239685494398</v>
      </c>
      <c r="J58" s="5">
        <f t="shared" si="9"/>
        <v>-2.175948428591572E-3</v>
      </c>
      <c r="K58" s="5">
        <f t="shared" si="10"/>
        <v>2.1759484285915703E-3</v>
      </c>
      <c r="L58" s="5">
        <f t="shared" si="20"/>
        <v>6.7109068061957404E-3</v>
      </c>
      <c r="M58" s="5">
        <f t="shared" si="17"/>
        <v>40.035865436444482</v>
      </c>
      <c r="N58" s="6">
        <f t="shared" si="21"/>
        <v>40.029154529638284</v>
      </c>
      <c r="O58" s="1"/>
      <c r="P58" s="1"/>
    </row>
    <row r="59" spans="1:22" x14ac:dyDescent="0.25">
      <c r="A59" s="1"/>
      <c r="B59" s="4"/>
      <c r="C59" s="53">
        <v>6</v>
      </c>
      <c r="D59" s="53">
        <v>5.0320470689999999</v>
      </c>
      <c r="E59" s="57">
        <v>0.232068</v>
      </c>
      <c r="F59" s="5">
        <f t="shared" si="18"/>
        <v>107658.18876587879</v>
      </c>
      <c r="G59" s="5">
        <f t="shared" si="19"/>
        <v>11.58671656832378</v>
      </c>
      <c r="H59" s="5">
        <f t="shared" si="14"/>
        <v>10.779962401306875</v>
      </c>
      <c r="I59" s="5">
        <f t="shared" si="15"/>
        <v>4.6816781860121042</v>
      </c>
      <c r="J59" s="5">
        <f t="shared" si="9"/>
        <v>3.9178921715740181E-3</v>
      </c>
      <c r="K59" s="5">
        <f t="shared" si="10"/>
        <v>3.9178921715740172E-3</v>
      </c>
      <c r="L59" s="5">
        <f t="shared" si="20"/>
        <v>0.12275835416618575</v>
      </c>
      <c r="M59" s="5">
        <f t="shared" si="17"/>
        <v>14.037191806787098</v>
      </c>
      <c r="N59" s="6">
        <f t="shared" si="21"/>
        <v>13.914433452620912</v>
      </c>
      <c r="O59" s="1"/>
      <c r="P59" s="1"/>
    </row>
    <row r="60" spans="1:22" x14ac:dyDescent="0.25">
      <c r="A60" s="1"/>
      <c r="B60" s="4"/>
      <c r="C60" s="53">
        <v>12</v>
      </c>
      <c r="D60" s="53">
        <v>6.0392000210000001</v>
      </c>
      <c r="E60" s="57">
        <v>0.25769500000000001</v>
      </c>
      <c r="F60" s="5">
        <f t="shared" si="18"/>
        <v>1094460.3207369277</v>
      </c>
      <c r="G60" s="5">
        <f t="shared" si="19"/>
        <v>13.905771941963929</v>
      </c>
      <c r="H60" s="5">
        <f t="shared" si="14"/>
        <v>13.216241586605975</v>
      </c>
      <c r="I60" s="5">
        <f t="shared" si="15"/>
        <v>5.7397407925632526</v>
      </c>
      <c r="J60" s="5">
        <f t="shared" si="9"/>
        <v>2.7608917284701667E-3</v>
      </c>
      <c r="K60" s="5">
        <f t="shared" si="10"/>
        <v>2.7608917284701624E-3</v>
      </c>
      <c r="L60" s="5">
        <f t="shared" si="20"/>
        <v>8.9675829495932086E-2</v>
      </c>
      <c r="M60" s="5">
        <f t="shared" si="17"/>
        <v>7.2300237449990226</v>
      </c>
      <c r="N60" s="6">
        <f t="shared" si="21"/>
        <v>7.1403479155030904</v>
      </c>
      <c r="O60" s="1"/>
      <c r="P60" s="1"/>
    </row>
    <row r="61" spans="1:22" x14ac:dyDescent="0.25">
      <c r="A61" s="1"/>
      <c r="B61" s="4"/>
      <c r="C61" s="53">
        <v>18</v>
      </c>
      <c r="D61" s="53">
        <v>5.9639257529999998</v>
      </c>
      <c r="E61" s="57">
        <v>0.186893</v>
      </c>
      <c r="F61" s="5">
        <f t="shared" si="18"/>
        <v>920292.22511217871</v>
      </c>
      <c r="G61" s="5">
        <f t="shared" si="19"/>
        <v>13.73244653458109</v>
      </c>
      <c r="H61" s="5">
        <f t="shared" si="14"/>
        <v>14.20856679010376</v>
      </c>
      <c r="I61" s="5">
        <f t="shared" si="15"/>
        <v>6.1707021526958625</v>
      </c>
      <c r="J61" s="5">
        <f t="shared" si="9"/>
        <v>-1.8502945342578612E-3</v>
      </c>
      <c r="K61" s="5">
        <f t="shared" si="10"/>
        <v>1.8502945342578558E-3</v>
      </c>
      <c r="L61" s="5">
        <f t="shared" si="20"/>
        <v>4.2756479471183169E-2</v>
      </c>
      <c r="M61" s="5">
        <f t="shared" si="17"/>
        <v>5.0656513732951876</v>
      </c>
      <c r="N61" s="6">
        <f t="shared" si="21"/>
        <v>5.0228948938240041</v>
      </c>
      <c r="O61" s="1"/>
      <c r="P61" s="1"/>
    </row>
    <row r="62" spans="1:22" x14ac:dyDescent="0.25">
      <c r="A62" s="1"/>
      <c r="B62" s="4"/>
      <c r="C62" s="53">
        <v>24</v>
      </c>
      <c r="D62" s="53">
        <v>6.5507256710000004</v>
      </c>
      <c r="E62" s="57">
        <v>0.19458400000000001</v>
      </c>
      <c r="F62" s="5">
        <f t="shared" si="18"/>
        <v>3554067.4933799985</v>
      </c>
      <c r="G62" s="5">
        <f t="shared" si="19"/>
        <v>15.083603278338019</v>
      </c>
      <c r="H62" s="5">
        <f t="shared" si="14"/>
        <v>14.612688003874609</v>
      </c>
      <c r="I62" s="5">
        <f t="shared" si="15"/>
        <v>6.346209765856587</v>
      </c>
      <c r="J62" s="5">
        <f t="shared" si="9"/>
        <v>1.7218736911622345E-3</v>
      </c>
      <c r="K62" s="5">
        <f t="shared" si="10"/>
        <v>1.7218736911622347E-3</v>
      </c>
      <c r="L62" s="5">
        <f t="shared" si="20"/>
        <v>4.1826755456629644E-2</v>
      </c>
      <c r="M62" s="5">
        <f t="shared" si="17"/>
        <v>4.3088357105160284</v>
      </c>
      <c r="N62" s="6">
        <f t="shared" si="21"/>
        <v>4.2670089550593984</v>
      </c>
      <c r="O62" s="1"/>
      <c r="P62" s="1"/>
    </row>
    <row r="63" spans="1:22" x14ac:dyDescent="0.25">
      <c r="A63" s="1"/>
      <c r="B63" s="4"/>
      <c r="C63" s="53">
        <v>30</v>
      </c>
      <c r="D63" s="53">
        <v>6.4138057450000003</v>
      </c>
      <c r="E63" s="57">
        <v>0.55965100000000001</v>
      </c>
      <c r="F63" s="5">
        <f t="shared" si="18"/>
        <v>2593019.2745557097</v>
      </c>
      <c r="G63" s="5">
        <f t="shared" si="19"/>
        <v>14.768333497796572</v>
      </c>
      <c r="H63" s="5">
        <f t="shared" si="14"/>
        <v>14.77725435492448</v>
      </c>
      <c r="I63" s="5">
        <f t="shared" si="15"/>
        <v>6.4176800240244987</v>
      </c>
      <c r="J63" s="5">
        <f t="shared" si="9"/>
        <v>-3.2782214061401328E-5</v>
      </c>
      <c r="K63" s="5">
        <f t="shared" si="10"/>
        <v>3.2782214061394863E-5</v>
      </c>
      <c r="L63" s="5">
        <f t="shared" si="20"/>
        <v>1.5010037959667717E-5</v>
      </c>
      <c r="M63" s="5">
        <f t="shared" si="17"/>
        <v>3.9768634588832361</v>
      </c>
      <c r="N63" s="6">
        <f t="shared" si="21"/>
        <v>3.9768484488452764</v>
      </c>
      <c r="O63" s="1"/>
      <c r="P63" s="1"/>
    </row>
    <row r="64" spans="1:22" x14ac:dyDescent="0.25">
      <c r="A64" s="1"/>
      <c r="B64" s="4"/>
      <c r="C64" s="53">
        <v>36</v>
      </c>
      <c r="D64" s="53">
        <v>6.6842459490000001</v>
      </c>
      <c r="E64" s="57">
        <v>0.21376300000000001</v>
      </c>
      <c r="F64" s="5">
        <f t="shared" si="18"/>
        <v>4833324.4465358155</v>
      </c>
      <c r="G64" s="5">
        <f t="shared" si="19"/>
        <v>15.391045080073241</v>
      </c>
      <c r="H64" s="5">
        <f t="shared" si="14"/>
        <v>14.844267335175573</v>
      </c>
      <c r="I64" s="5">
        <f t="shared" si="15"/>
        <v>6.4467833915634403</v>
      </c>
      <c r="J64" s="5">
        <f t="shared" si="9"/>
        <v>1.9636678906724847E-3</v>
      </c>
      <c r="K64" s="5">
        <f t="shared" si="10"/>
        <v>1.9636678906724829E-3</v>
      </c>
      <c r="L64" s="5">
        <f t="shared" si="20"/>
        <v>5.6388466184311495E-2</v>
      </c>
      <c r="M64" s="5">
        <f t="shared" si="17"/>
        <v>3.9180078338191988</v>
      </c>
      <c r="N64" s="6">
        <f t="shared" si="21"/>
        <v>3.8616193676348871</v>
      </c>
      <c r="O64" s="1"/>
      <c r="P64" s="1"/>
    </row>
    <row r="65" spans="1:16" x14ac:dyDescent="0.25">
      <c r="A65" s="1"/>
      <c r="B65" s="4"/>
      <c r="C65" s="53">
        <v>42</v>
      </c>
      <c r="D65" s="53">
        <v>6.4990173179999999</v>
      </c>
      <c r="E65" s="57">
        <v>0.42107899999999998</v>
      </c>
      <c r="F65" s="5">
        <f t="shared" si="18"/>
        <v>3155130.4353794884</v>
      </c>
      <c r="G65" s="5">
        <f t="shared" si="19"/>
        <v>14.964540395536945</v>
      </c>
      <c r="H65" s="5">
        <f t="shared" si="14"/>
        <v>14.871555362653453</v>
      </c>
      <c r="I65" s="5">
        <f t="shared" si="15"/>
        <v>6.4586344313191075</v>
      </c>
      <c r="J65" s="5">
        <f t="shared" si="9"/>
        <v>3.3837384213968594E-4</v>
      </c>
      <c r="K65" s="5">
        <f t="shared" si="10"/>
        <v>3.3837384213968556E-4</v>
      </c>
      <c r="L65" s="5">
        <f t="shared" si="20"/>
        <v>1.6307775366817972E-3</v>
      </c>
      <c r="M65" s="5">
        <f t="shared" si="17"/>
        <v>3.8168136276795708</v>
      </c>
      <c r="N65" s="6">
        <f t="shared" si="21"/>
        <v>3.815182850142889</v>
      </c>
      <c r="O65" s="1"/>
      <c r="P65" s="1"/>
    </row>
    <row r="66" spans="1:16" x14ac:dyDescent="0.25">
      <c r="A66" s="1"/>
      <c r="B66" s="4"/>
      <c r="C66" s="53">
        <v>48</v>
      </c>
      <c r="D66" s="53">
        <v>6.8687928109999996</v>
      </c>
      <c r="E66" s="57">
        <v>0.46417199999999997</v>
      </c>
      <c r="F66" s="5">
        <f t="shared" si="18"/>
        <v>7392525.1549793612</v>
      </c>
      <c r="G66" s="5">
        <f t="shared" si="19"/>
        <v>15.815979933473269</v>
      </c>
      <c r="H66" s="5">
        <f t="shared" si="14"/>
        <v>14.882667137895623</v>
      </c>
      <c r="I66" s="5">
        <f t="shared" si="15"/>
        <v>6.4634602139909312</v>
      </c>
      <c r="J66" s="5">
        <f t="shared" si="9"/>
        <v>3.3019170943500678E-3</v>
      </c>
      <c r="K66" s="5">
        <f t="shared" si="10"/>
        <v>3.3019170943500696E-3</v>
      </c>
      <c r="L66" s="5">
        <f t="shared" si="20"/>
        <v>0.16429451419811586</v>
      </c>
      <c r="M66" s="5">
        <f t="shared" si="17"/>
        <v>3.9606487392131879</v>
      </c>
      <c r="N66" s="6">
        <f t="shared" si="21"/>
        <v>3.7963542250150719</v>
      </c>
      <c r="O66" s="1"/>
      <c r="P66" s="1"/>
    </row>
    <row r="67" spans="1:16" x14ac:dyDescent="0.25">
      <c r="A67" s="1"/>
      <c r="B67" s="4"/>
      <c r="C67" s="5"/>
      <c r="D67" s="24">
        <f>AVERAGE(D49:D56)</f>
        <v>5.3487029457500004</v>
      </c>
      <c r="E67" s="24"/>
      <c r="F67" s="5"/>
      <c r="G67" s="5"/>
      <c r="H67" s="5"/>
      <c r="I67" s="5"/>
      <c r="J67" s="5">
        <f>SUM(J49:J66)</f>
        <v>-2.0428194173131259E-3</v>
      </c>
      <c r="K67" s="5">
        <f>SUM(K49:K66)</f>
        <v>3.7163067532452007E-2</v>
      </c>
      <c r="L67" s="5">
        <f>AVERAGE(L49:L66)</f>
        <v>6.6528418127720146E-2</v>
      </c>
      <c r="M67" s="5">
        <f>SUM(M49:M66)</f>
        <v>107.318286597953</v>
      </c>
      <c r="N67" s="6">
        <f>SUM(N49:N66)</f>
        <v>106.12077507165405</v>
      </c>
      <c r="O67" s="1"/>
      <c r="P67" s="1"/>
    </row>
    <row r="68" spans="1:16" x14ac:dyDescent="0.25">
      <c r="A68" s="1"/>
      <c r="B68" s="4"/>
      <c r="C68" s="5"/>
      <c r="D68" s="5"/>
      <c r="E68" s="5"/>
      <c r="F68" s="5"/>
      <c r="G68" s="5"/>
      <c r="H68" s="5"/>
      <c r="I68" s="40" t="s">
        <v>44</v>
      </c>
      <c r="J68" s="40">
        <f>10^J67</f>
        <v>0.99530727984205525</v>
      </c>
      <c r="K68" s="40">
        <f>10^K67</f>
        <v>1.0893390381657051</v>
      </c>
      <c r="L68" s="5"/>
      <c r="M68" s="5"/>
      <c r="N68" s="6"/>
      <c r="O68" s="1"/>
      <c r="P68" s="1"/>
    </row>
    <row r="69" spans="1:16" x14ac:dyDescent="0.25">
      <c r="A69" s="35" t="s">
        <v>35</v>
      </c>
      <c r="B69" s="36">
        <v>8</v>
      </c>
      <c r="C69" s="24"/>
      <c r="D69" s="29"/>
      <c r="E69" s="29"/>
      <c r="F69" s="24"/>
      <c r="G69" s="24"/>
      <c r="H69" s="24"/>
      <c r="I69" s="24"/>
      <c r="J69" s="24"/>
      <c r="K69" s="24"/>
      <c r="L69" s="24">
        <f>(SQRT(M67/(B69-1)))/(SQRT(B69))</f>
        <v>1.3843402670454423</v>
      </c>
      <c r="M69" s="29"/>
      <c r="N69" s="25" t="s">
        <v>37</v>
      </c>
      <c r="O69" s="1"/>
      <c r="P69" s="1"/>
    </row>
    <row r="70" spans="1:16" x14ac:dyDescent="0.25">
      <c r="A70" s="1"/>
      <c r="B70" s="23"/>
      <c r="C70" s="24"/>
      <c r="D70" s="29"/>
      <c r="E70" s="29"/>
      <c r="F70" s="24"/>
      <c r="G70" s="24"/>
      <c r="H70" s="24"/>
      <c r="I70" s="24"/>
      <c r="J70" s="24"/>
      <c r="K70" s="24"/>
      <c r="L70" s="24">
        <f>N67/M67</f>
        <v>0.98884149603706217</v>
      </c>
      <c r="M70" s="29"/>
      <c r="N70" s="25" t="s">
        <v>22</v>
      </c>
      <c r="O70" s="1"/>
      <c r="P70" s="1"/>
    </row>
    <row r="71" spans="1:16" x14ac:dyDescent="0.25">
      <c r="A71" s="1"/>
      <c r="B71" s="23"/>
      <c r="C71" s="24"/>
      <c r="D71" s="29"/>
      <c r="E71" s="29"/>
      <c r="F71" s="24"/>
      <c r="G71" s="24"/>
      <c r="H71" s="24"/>
      <c r="I71" s="24"/>
      <c r="J71" s="24"/>
      <c r="K71" s="24"/>
      <c r="L71" s="24">
        <f>L67*100/D67</f>
        <v>1.2438233867630026</v>
      </c>
      <c r="M71" s="29"/>
      <c r="N71" s="6" t="s">
        <v>40</v>
      </c>
      <c r="O71" s="1"/>
      <c r="P71" s="1"/>
    </row>
    <row r="72" spans="1:16" ht="15.75" thickBot="1" x14ac:dyDescent="0.3">
      <c r="A72" s="1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>
        <f>SQRT(L67)</f>
        <v>0.25793103366543574</v>
      </c>
      <c r="M72" s="27"/>
      <c r="N72" s="28" t="s">
        <v>18</v>
      </c>
      <c r="O72" s="1"/>
      <c r="P72" s="1"/>
    </row>
    <row r="73" spans="1:16" x14ac:dyDescent="0.25">
      <c r="A73" s="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1"/>
      <c r="P73" s="1"/>
    </row>
    <row r="74" spans="1:16" x14ac:dyDescent="0.25">
      <c r="A74" s="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1"/>
      <c r="P74" s="1"/>
    </row>
    <row r="75" spans="1:16" x14ac:dyDescent="0.25">
      <c r="A75" s="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1"/>
      <c r="P75" s="1"/>
    </row>
    <row r="76" spans="1:16" x14ac:dyDescent="0.25">
      <c r="A76" s="1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1"/>
      <c r="P76" s="1"/>
    </row>
    <row r="77" spans="1:16" x14ac:dyDescent="0.25">
      <c r="A77" s="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1"/>
      <c r="P77" s="1"/>
    </row>
    <row r="78" spans="1:16" x14ac:dyDescent="0.25">
      <c r="A78" s="1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1"/>
      <c r="P78" s="1"/>
    </row>
    <row r="79" spans="1:16" x14ac:dyDescent="0.25">
      <c r="A79" s="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1"/>
      <c r="P79" s="1"/>
    </row>
    <row r="80" spans="1:16" x14ac:dyDescent="0.25">
      <c r="A80" s="1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1"/>
      <c r="P80" s="1"/>
    </row>
    <row r="81" spans="1:21" x14ac:dyDescent="0.25">
      <c r="A81" s="1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1"/>
      <c r="P81" s="1"/>
    </row>
    <row r="82" spans="1:21" x14ac:dyDescent="0.25">
      <c r="A82" s="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1"/>
      <c r="P82" s="1"/>
    </row>
    <row r="83" spans="1:21" x14ac:dyDescent="0.25">
      <c r="A83" s="1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1"/>
      <c r="P83" s="1"/>
    </row>
    <row r="84" spans="1:21" x14ac:dyDescent="0.25">
      <c r="A84" s="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1"/>
      <c r="P84" s="1"/>
    </row>
    <row r="85" spans="1:21" x14ac:dyDescent="0.25">
      <c r="A85" s="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1"/>
      <c r="P85" s="1"/>
    </row>
    <row r="86" spans="1:21" x14ac:dyDescent="0.25">
      <c r="A86" s="1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1"/>
      <c r="P86" s="1"/>
    </row>
    <row r="87" spans="1:21" x14ac:dyDescent="0.25">
      <c r="A87" s="1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1"/>
      <c r="P87" s="1"/>
    </row>
    <row r="88" spans="1:21" x14ac:dyDescent="0.25">
      <c r="A88" s="1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1"/>
      <c r="P88" s="1"/>
    </row>
    <row r="89" spans="1:21" x14ac:dyDescent="0.25">
      <c r="A89" s="1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1"/>
      <c r="P89" s="1"/>
    </row>
    <row r="90" spans="1:21" x14ac:dyDescent="0.25">
      <c r="A90" s="1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1"/>
      <c r="P90" s="1"/>
    </row>
    <row r="91" spans="1:21" x14ac:dyDescent="0.25">
      <c r="A91" s="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1"/>
      <c r="P91" s="1"/>
    </row>
    <row r="92" spans="1:21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21" x14ac:dyDescent="0.25">
      <c r="A93" s="1"/>
      <c r="B93" s="22" t="s">
        <v>59</v>
      </c>
      <c r="C93" s="2" t="s">
        <v>1</v>
      </c>
      <c r="D93" s="2" t="s">
        <v>2</v>
      </c>
      <c r="E93" s="2"/>
      <c r="F93" s="2" t="s">
        <v>7</v>
      </c>
      <c r="G93" s="2" t="s">
        <v>32</v>
      </c>
      <c r="H93" s="2" t="s">
        <v>16</v>
      </c>
      <c r="I93" s="2" t="s">
        <v>17</v>
      </c>
      <c r="J93" s="2" t="s">
        <v>39</v>
      </c>
      <c r="K93" s="2" t="s">
        <v>38</v>
      </c>
      <c r="L93" s="2" t="s">
        <v>36</v>
      </c>
      <c r="M93" s="2" t="s">
        <v>21</v>
      </c>
      <c r="N93" s="3" t="s">
        <v>20</v>
      </c>
      <c r="O93" s="1"/>
      <c r="Q93" s="8"/>
      <c r="R93" s="15" t="s">
        <v>14</v>
      </c>
      <c r="S93" s="12" t="s">
        <v>8</v>
      </c>
      <c r="T93" s="12" t="s">
        <v>9</v>
      </c>
      <c r="U93" s="3" t="s">
        <v>10</v>
      </c>
    </row>
    <row r="94" spans="1:21" ht="15.75" thickBot="1" x14ac:dyDescent="0.3">
      <c r="A94" s="1"/>
      <c r="B94" s="4"/>
      <c r="C94" s="5">
        <v>0</v>
      </c>
      <c r="D94" s="5">
        <v>2.11</v>
      </c>
      <c r="E94" s="53">
        <v>0.14000000000000001</v>
      </c>
      <c r="F94" s="5">
        <f>10^D94</f>
        <v>128.82495516931343</v>
      </c>
      <c r="G94" s="5">
        <f>LN(10^D94)</f>
        <v>4.8584545462174367</v>
      </c>
      <c r="H94" s="5">
        <f>$R$98+$R$95*(EXP(-1*EXP((-1/$R$96)*(C94-$R$97))))</f>
        <v>5.6188412619982415</v>
      </c>
      <c r="I94" s="5">
        <f>LOG(EXP(H94))</f>
        <v>2.4402317547761401</v>
      </c>
      <c r="J94" s="5">
        <f t="shared" ref="J94:J105" si="22">LOG(D94/I94)/$B$22</f>
        <v>-7.8935773760722885E-3</v>
      </c>
      <c r="K94" s="5">
        <f t="shared" ref="K94:K105" si="23">ABS(LOG(I94/D94)/$B$22)</f>
        <v>7.8935773760722885E-3</v>
      </c>
      <c r="L94" s="5">
        <f>(D94-I94)^2</f>
        <v>0.10905301186252879</v>
      </c>
      <c r="M94" s="5">
        <f>N94+L94</f>
        <v>3.3622320692983458</v>
      </c>
      <c r="N94" s="6">
        <f t="shared" ref="N94:N105" si="24">(I94-$D$112)^2</f>
        <v>3.2531790574358173</v>
      </c>
      <c r="O94" s="1"/>
      <c r="P94" s="1"/>
      <c r="Q94" s="9"/>
      <c r="R94" s="16"/>
      <c r="S94" s="14"/>
      <c r="T94" s="14"/>
      <c r="U94" s="6"/>
    </row>
    <row r="95" spans="1:21" x14ac:dyDescent="0.25">
      <c r="A95" s="1"/>
      <c r="B95" s="4"/>
      <c r="C95" s="5">
        <v>12</v>
      </c>
      <c r="D95" s="5">
        <v>3.91</v>
      </c>
      <c r="E95" s="53">
        <v>0.14000000000000001</v>
      </c>
      <c r="F95" s="5">
        <f t="shared" ref="F95:F111" si="25">10^D95</f>
        <v>8128.3051616410066</v>
      </c>
      <c r="G95" s="5">
        <f t="shared" ref="G95:G111" si="26">LN(10^D95)</f>
        <v>9.0031077136067204</v>
      </c>
      <c r="H95" s="5">
        <f>$R$98+$R$95*(EXP(-1*EXP((-1/$R$96)*(C95-$R$97))))</f>
        <v>9.5209414556512968</v>
      </c>
      <c r="I95" s="5">
        <f>LOG(EXP(H95))</f>
        <v>4.1348923367132722</v>
      </c>
      <c r="J95" s="5">
        <f t="shared" si="22"/>
        <v>-3.0359310736775666E-3</v>
      </c>
      <c r="K95" s="5">
        <f t="shared" si="23"/>
        <v>3.0359310736775614E-3</v>
      </c>
      <c r="L95" s="5">
        <f t="shared" ref="L95:L111" si="27">(D95-I95)^2</f>
        <v>5.057656311235572E-2</v>
      </c>
      <c r="M95" s="5">
        <f t="shared" ref="M95:M111" si="28">N95+L95</f>
        <v>6.2456811498527838E-2</v>
      </c>
      <c r="N95" s="6">
        <f t="shared" si="24"/>
        <v>1.1880248386172118E-2</v>
      </c>
      <c r="O95" s="1"/>
      <c r="P95" s="1"/>
      <c r="Q95" s="9" t="s">
        <v>11</v>
      </c>
      <c r="R95" s="15">
        <v>71.6417</v>
      </c>
      <c r="S95" s="12">
        <v>11362.3495</v>
      </c>
      <c r="T95" s="12">
        <v>6.3E-3</v>
      </c>
      <c r="U95" s="3">
        <v>0.99509999999999998</v>
      </c>
    </row>
    <row r="96" spans="1:21" x14ac:dyDescent="0.25">
      <c r="A96" s="1"/>
      <c r="B96" s="4"/>
      <c r="C96" s="5">
        <v>24</v>
      </c>
      <c r="D96" s="5">
        <v>4.3</v>
      </c>
      <c r="E96" s="53">
        <v>0.09</v>
      </c>
      <c r="F96" s="5">
        <f t="shared" si="25"/>
        <v>19952.623149688792</v>
      </c>
      <c r="G96" s="5">
        <f t="shared" si="26"/>
        <v>9.9011158998743962</v>
      </c>
      <c r="H96" s="5">
        <f t="shared" ref="H96:H111" si="29">$R$98+$R$95*(EXP(-1*EXP((-1/$R$96)*(C96-$R$97))))</f>
        <v>10.262601612476644</v>
      </c>
      <c r="I96" s="5">
        <f t="shared" ref="I96:I111" si="30">LOG(EXP(H96))</f>
        <v>4.4569912502700211</v>
      </c>
      <c r="J96" s="5">
        <f t="shared" si="22"/>
        <v>-1.9466657404277844E-3</v>
      </c>
      <c r="K96" s="5">
        <f t="shared" si="23"/>
        <v>1.9466657404277863E-3</v>
      </c>
      <c r="L96" s="5">
        <f t="shared" si="27"/>
        <v>2.4646252661344448E-2</v>
      </c>
      <c r="M96" s="5">
        <f t="shared" si="28"/>
        <v>7.0058869087558762E-2</v>
      </c>
      <c r="N96" s="6">
        <f t="shared" si="24"/>
        <v>4.541261642621431E-2</v>
      </c>
      <c r="O96" s="1"/>
      <c r="P96" s="1"/>
      <c r="Q96" s="9" t="s">
        <v>12</v>
      </c>
      <c r="R96" s="16">
        <v>7.0845000000000002</v>
      </c>
      <c r="S96" s="14">
        <v>19.050999999999998</v>
      </c>
      <c r="T96" s="14">
        <v>0.37190000000000001</v>
      </c>
      <c r="U96" s="6">
        <v>0.71560000000000001</v>
      </c>
    </row>
    <row r="97" spans="1:21" x14ac:dyDescent="0.25">
      <c r="A97" s="1"/>
      <c r="B97" s="4"/>
      <c r="C97" s="5">
        <v>36</v>
      </c>
      <c r="D97" s="5">
        <v>4.13</v>
      </c>
      <c r="E97" s="53">
        <v>0.46</v>
      </c>
      <c r="F97" s="5">
        <f t="shared" si="25"/>
        <v>13489.628825916556</v>
      </c>
      <c r="G97" s="5">
        <f t="shared" si="26"/>
        <v>9.5096764340654101</v>
      </c>
      <c r="H97" s="5">
        <f t="shared" si="29"/>
        <v>10.399771773975488</v>
      </c>
      <c r="I97" s="5">
        <f t="shared" si="30"/>
        <v>4.5165634944907467</v>
      </c>
      <c r="J97" s="5">
        <f t="shared" si="22"/>
        <v>-4.8572585410539002E-3</v>
      </c>
      <c r="K97" s="5">
        <f t="shared" si="23"/>
        <v>4.8572585410538932E-3</v>
      </c>
      <c r="L97" s="5">
        <f t="shared" si="27"/>
        <v>0.14943133527289762</v>
      </c>
      <c r="M97" s="5">
        <f t="shared" si="28"/>
        <v>0.22378277581302586</v>
      </c>
      <c r="N97" s="6">
        <f t="shared" si="24"/>
        <v>7.4351440540128252E-2</v>
      </c>
      <c r="O97" s="1"/>
      <c r="P97" s="1"/>
      <c r="Q97" s="9" t="s">
        <v>13</v>
      </c>
      <c r="R97" s="16">
        <v>-18.887499999999999</v>
      </c>
      <c r="S97" s="14">
        <v>1213.6221</v>
      </c>
      <c r="T97" s="14">
        <v>-1.5599999999999999E-2</v>
      </c>
      <c r="U97" s="6">
        <v>0.98780000000000001</v>
      </c>
    </row>
    <row r="98" spans="1:21" ht="15.75" thickBot="1" x14ac:dyDescent="0.3">
      <c r="A98" s="1"/>
      <c r="B98" s="4"/>
      <c r="C98" s="5">
        <v>48</v>
      </c>
      <c r="D98" s="5">
        <v>4.03</v>
      </c>
      <c r="E98" s="53">
        <v>0.25</v>
      </c>
      <c r="F98" s="5">
        <f t="shared" si="25"/>
        <v>10715.193052376071</v>
      </c>
      <c r="G98" s="5">
        <f t="shared" si="26"/>
        <v>9.2794179247660047</v>
      </c>
      <c r="H98" s="5">
        <f t="shared" si="29"/>
        <v>10.425014001348202</v>
      </c>
      <c r="I98" s="5">
        <f t="shared" si="30"/>
        <v>4.5275260545496634</v>
      </c>
      <c r="J98" s="5">
        <f t="shared" si="22"/>
        <v>-6.3194890107748647E-3</v>
      </c>
      <c r="K98" s="5">
        <f t="shared" si="23"/>
        <v>6.3194890107748595E-3</v>
      </c>
      <c r="L98" s="5">
        <f t="shared" si="27"/>
        <v>0.24753217495575439</v>
      </c>
      <c r="M98" s="5">
        <f t="shared" si="28"/>
        <v>0.32798221669983157</v>
      </c>
      <c r="N98" s="6">
        <f t="shared" si="24"/>
        <v>8.0450041744077175E-2</v>
      </c>
      <c r="O98" s="1"/>
      <c r="P98" s="1"/>
      <c r="Q98" s="10" t="s">
        <v>19</v>
      </c>
      <c r="R98" s="17">
        <v>-61.210999999999999</v>
      </c>
      <c r="S98" s="13">
        <v>11362.2405</v>
      </c>
      <c r="T98" s="13">
        <v>-5.4000000000000003E-3</v>
      </c>
      <c r="U98" s="7">
        <v>0.99580000000000002</v>
      </c>
    </row>
    <row r="99" spans="1:21" x14ac:dyDescent="0.25">
      <c r="A99" s="1"/>
      <c r="B99" s="4"/>
      <c r="C99" s="5">
        <v>60</v>
      </c>
      <c r="D99" s="5">
        <v>4.17</v>
      </c>
      <c r="E99" s="53">
        <v>0.35</v>
      </c>
      <c r="F99" s="5">
        <f t="shared" si="25"/>
        <v>14791.083881682089</v>
      </c>
      <c r="G99" s="5">
        <f t="shared" si="26"/>
        <v>9.6017798377851715</v>
      </c>
      <c r="H99" s="5">
        <f t="shared" si="29"/>
        <v>10.429654808100409</v>
      </c>
      <c r="I99" s="5">
        <f t="shared" si="30"/>
        <v>4.5295415313137264</v>
      </c>
      <c r="J99" s="5">
        <f t="shared" si="22"/>
        <v>-4.4897738849350773E-3</v>
      </c>
      <c r="K99" s="5">
        <f t="shared" si="23"/>
        <v>4.4897738849350851E-3</v>
      </c>
      <c r="L99" s="5">
        <f t="shared" si="27"/>
        <v>0.12927011273941935</v>
      </c>
      <c r="M99" s="5">
        <f t="shared" si="28"/>
        <v>0.21086754486371095</v>
      </c>
      <c r="N99" s="6">
        <f t="shared" si="24"/>
        <v>8.1597432124291602E-2</v>
      </c>
      <c r="O99" s="1"/>
      <c r="P99" s="1"/>
      <c r="Q99" s="1"/>
      <c r="R99" s="1"/>
      <c r="S99" s="1"/>
      <c r="T99" s="1"/>
      <c r="U99" s="1"/>
    </row>
    <row r="100" spans="1:21" x14ac:dyDescent="0.25">
      <c r="A100" s="1"/>
      <c r="B100" s="4"/>
      <c r="C100" s="5">
        <v>72</v>
      </c>
      <c r="D100" s="5">
        <v>4.0999999999999996</v>
      </c>
      <c r="E100" s="53">
        <v>0.38</v>
      </c>
      <c r="F100" s="5">
        <f t="shared" si="25"/>
        <v>12589.254117941671</v>
      </c>
      <c r="G100" s="5">
        <f t="shared" si="26"/>
        <v>9.4405988812755872</v>
      </c>
      <c r="H100" s="5">
        <f t="shared" si="29"/>
        <v>10.430507879443127</v>
      </c>
      <c r="I100" s="5">
        <f t="shared" si="30"/>
        <v>4.529912015490539</v>
      </c>
      <c r="J100" s="5">
        <f t="shared" si="22"/>
        <v>-5.4132387588214483E-3</v>
      </c>
      <c r="K100" s="5">
        <f t="shared" si="23"/>
        <v>5.41323875882145E-3</v>
      </c>
      <c r="L100" s="5">
        <f t="shared" si="27"/>
        <v>0.18482434106313775</v>
      </c>
      <c r="M100" s="5">
        <f t="shared" si="28"/>
        <v>0.26663357001412086</v>
      </c>
      <c r="N100" s="6">
        <f t="shared" si="24"/>
        <v>8.1809228950983109E-2</v>
      </c>
      <c r="O100" s="1"/>
      <c r="P100" s="1"/>
    </row>
    <row r="101" spans="1:21" x14ac:dyDescent="0.25">
      <c r="A101" s="1"/>
      <c r="B101" s="4"/>
      <c r="C101" s="5">
        <v>84</v>
      </c>
      <c r="D101" s="5">
        <v>4.54</v>
      </c>
      <c r="E101" s="53">
        <v>0.57999999999999996</v>
      </c>
      <c r="F101" s="5">
        <f t="shared" si="25"/>
        <v>34673.685045253202</v>
      </c>
      <c r="G101" s="5">
        <f t="shared" si="26"/>
        <v>10.453736322192968</v>
      </c>
      <c r="H101" s="5">
        <f t="shared" si="29"/>
        <v>10.430664685787335</v>
      </c>
      <c r="I101" s="5">
        <f t="shared" si="30"/>
        <v>4.5299801156205559</v>
      </c>
      <c r="J101" s="5">
        <f t="shared" si="22"/>
        <v>1.1994464734475856E-4</v>
      </c>
      <c r="K101" s="5">
        <f t="shared" si="23"/>
        <v>1.1994464734476257E-4</v>
      </c>
      <c r="L101" s="5">
        <f t="shared" si="27"/>
        <v>1.0039808297742831E-4</v>
      </c>
      <c r="M101" s="5">
        <f t="shared" si="28"/>
        <v>8.1948588095807073E-2</v>
      </c>
      <c r="N101" s="6">
        <f t="shared" si="24"/>
        <v>8.1848190012829641E-2</v>
      </c>
      <c r="O101" s="1"/>
      <c r="P101" s="1"/>
    </row>
    <row r="102" spans="1:21" x14ac:dyDescent="0.25">
      <c r="A102" s="1"/>
      <c r="B102" s="4"/>
      <c r="C102" s="5">
        <v>96</v>
      </c>
      <c r="D102" s="5">
        <v>4.28</v>
      </c>
      <c r="E102" s="53">
        <v>0.2</v>
      </c>
      <c r="F102" s="5">
        <f t="shared" si="25"/>
        <v>19054.607179632505</v>
      </c>
      <c r="G102" s="5">
        <f t="shared" si="26"/>
        <v>9.8550641980145173</v>
      </c>
      <c r="H102" s="5">
        <f t="shared" si="29"/>
        <v>10.430693508802378</v>
      </c>
      <c r="I102" s="5">
        <f t="shared" si="30"/>
        <v>4.5299926332969402</v>
      </c>
      <c r="J102" s="5">
        <f t="shared" si="22"/>
        <v>-3.081715843470445E-3</v>
      </c>
      <c r="K102" s="5">
        <f t="shared" si="23"/>
        <v>3.0817158434704498E-3</v>
      </c>
      <c r="L102" s="5">
        <f t="shared" si="27"/>
        <v>6.2496316702738308E-2</v>
      </c>
      <c r="M102" s="5">
        <f t="shared" si="28"/>
        <v>0.1443516692670454</v>
      </c>
      <c r="N102" s="6">
        <f t="shared" si="24"/>
        <v>8.1855352564307107E-2</v>
      </c>
      <c r="O102" s="1"/>
      <c r="P102" s="1"/>
    </row>
    <row r="103" spans="1:21" x14ac:dyDescent="0.25">
      <c r="A103" s="1"/>
      <c r="B103" s="4"/>
      <c r="C103" s="5">
        <v>0</v>
      </c>
      <c r="D103" s="5">
        <v>2.77</v>
      </c>
      <c r="E103" s="53">
        <v>0.14000000000000001</v>
      </c>
      <c r="F103" s="5">
        <f t="shared" si="25"/>
        <v>588.84365535558959</v>
      </c>
      <c r="G103" s="5">
        <f t="shared" si="26"/>
        <v>6.3781607075935076</v>
      </c>
      <c r="H103" s="5">
        <f t="shared" si="29"/>
        <v>5.6188412619982415</v>
      </c>
      <c r="I103" s="5">
        <f t="shared" si="30"/>
        <v>2.4402317547761401</v>
      </c>
      <c r="J103" s="5">
        <f t="shared" si="22"/>
        <v>6.8810868447722008E-3</v>
      </c>
      <c r="K103" s="5">
        <f t="shared" si="23"/>
        <v>6.8810868447722042E-3</v>
      </c>
      <c r="L103" s="5">
        <f t="shared" si="27"/>
        <v>0.10874709555802382</v>
      </c>
      <c r="M103" s="5">
        <f t="shared" si="28"/>
        <v>3.3619261529938411</v>
      </c>
      <c r="N103" s="6">
        <f t="shared" si="24"/>
        <v>3.2531790574358173</v>
      </c>
      <c r="O103" s="1"/>
      <c r="P103" s="1"/>
    </row>
    <row r="104" spans="1:21" x14ac:dyDescent="0.25">
      <c r="A104" s="1"/>
      <c r="B104" s="4"/>
      <c r="C104" s="5">
        <v>12</v>
      </c>
      <c r="D104" s="5">
        <v>4.3499999999999996</v>
      </c>
      <c r="E104" s="53">
        <v>0.14000000000000001</v>
      </c>
      <c r="F104" s="5">
        <f t="shared" si="25"/>
        <v>22387.211385683382</v>
      </c>
      <c r="G104" s="5">
        <f t="shared" si="26"/>
        <v>10.016245154524098</v>
      </c>
      <c r="H104" s="5">
        <f t="shared" si="29"/>
        <v>9.5209414556512968</v>
      </c>
      <c r="I104" s="5">
        <f t="shared" si="30"/>
        <v>4.1348923367132722</v>
      </c>
      <c r="J104" s="5">
        <f t="shared" si="22"/>
        <v>2.7531313711687418E-3</v>
      </c>
      <c r="K104" s="5">
        <f t="shared" si="23"/>
        <v>2.7531313711687427E-3</v>
      </c>
      <c r="L104" s="5">
        <f t="shared" si="27"/>
        <v>4.6271306804676123E-2</v>
      </c>
      <c r="M104" s="5">
        <f t="shared" si="28"/>
        <v>5.8151555190848241E-2</v>
      </c>
      <c r="N104" s="6">
        <f t="shared" si="24"/>
        <v>1.1880248386172118E-2</v>
      </c>
      <c r="O104" s="1"/>
      <c r="P104" s="1"/>
    </row>
    <row r="105" spans="1:21" x14ac:dyDescent="0.25">
      <c r="A105" s="1"/>
      <c r="B105" s="4"/>
      <c r="C105" s="5">
        <v>24</v>
      </c>
      <c r="D105" s="5">
        <v>4.7</v>
      </c>
      <c r="E105" s="53">
        <v>0.09</v>
      </c>
      <c r="F105" s="5">
        <f t="shared" si="25"/>
        <v>50118.723362727294</v>
      </c>
      <c r="G105" s="5">
        <f t="shared" si="26"/>
        <v>10.822149937072016</v>
      </c>
      <c r="H105" s="5">
        <f t="shared" si="29"/>
        <v>10.262601612476644</v>
      </c>
      <c r="I105" s="5">
        <f t="shared" si="30"/>
        <v>4.4569912502700211</v>
      </c>
      <c r="J105" s="5">
        <f t="shared" si="22"/>
        <v>2.8820095540885819E-3</v>
      </c>
      <c r="K105" s="5">
        <f t="shared" si="23"/>
        <v>2.8820095540885897E-3</v>
      </c>
      <c r="L105" s="5">
        <f t="shared" si="27"/>
        <v>5.9053252445327616E-2</v>
      </c>
      <c r="M105" s="5">
        <f t="shared" si="28"/>
        <v>0.10446586887154193</v>
      </c>
      <c r="N105" s="6">
        <f t="shared" si="24"/>
        <v>4.541261642621431E-2</v>
      </c>
      <c r="O105" s="1"/>
      <c r="P105" s="1"/>
    </row>
    <row r="106" spans="1:21" x14ac:dyDescent="0.25">
      <c r="A106" s="1"/>
      <c r="B106" s="4"/>
      <c r="C106" s="5">
        <v>36</v>
      </c>
      <c r="D106" s="5">
        <v>4.7699999999999996</v>
      </c>
      <c r="E106" s="53">
        <v>0.46</v>
      </c>
      <c r="F106" s="5">
        <f t="shared" si="25"/>
        <v>58884.365535558936</v>
      </c>
      <c r="G106" s="5">
        <f t="shared" si="26"/>
        <v>10.983330893581599</v>
      </c>
      <c r="H106" s="5">
        <f t="shared" si="29"/>
        <v>10.399771773975488</v>
      </c>
      <c r="I106" s="5">
        <f t="shared" si="30"/>
        <v>4.5165634944907467</v>
      </c>
      <c r="J106" s="5">
        <f t="shared" ref="J106:J111" si="31">LOG(D106/I106)/$B$22</f>
        <v>2.9637823819102125E-3</v>
      </c>
      <c r="K106" s="5">
        <f t="shared" ref="K106:K111" si="32">ABS(LOG(I106/D106)/$B$22)</f>
        <v>2.9637823819102086E-3</v>
      </c>
      <c r="L106" s="5">
        <f t="shared" si="27"/>
        <v>6.4230062324741571E-2</v>
      </c>
      <c r="M106" s="5">
        <f t="shared" si="28"/>
        <v>0.13858150286486981</v>
      </c>
      <c r="N106" s="6">
        <f t="shared" ref="N106:N111" si="33">(I106-$D$112)^2</f>
        <v>7.4351440540128252E-2</v>
      </c>
      <c r="O106" s="1"/>
      <c r="P106" s="1"/>
    </row>
    <row r="107" spans="1:21" x14ac:dyDescent="0.25">
      <c r="A107" s="1"/>
      <c r="B107" s="4"/>
      <c r="C107" s="5">
        <v>48</v>
      </c>
      <c r="D107" s="5">
        <v>4.7</v>
      </c>
      <c r="E107" s="53">
        <v>0.25</v>
      </c>
      <c r="F107" s="5">
        <f t="shared" si="25"/>
        <v>50118.723362727294</v>
      </c>
      <c r="G107" s="5">
        <f t="shared" si="26"/>
        <v>10.822149937072016</v>
      </c>
      <c r="H107" s="5">
        <f t="shared" si="29"/>
        <v>10.425014001348202</v>
      </c>
      <c r="I107" s="5">
        <f t="shared" si="30"/>
        <v>4.5275260545496634</v>
      </c>
      <c r="J107" s="5">
        <f t="shared" si="31"/>
        <v>2.0296124635511359E-3</v>
      </c>
      <c r="K107" s="5">
        <f t="shared" si="32"/>
        <v>2.0296124635511359E-3</v>
      </c>
      <c r="L107" s="5">
        <f t="shared" si="27"/>
        <v>2.9747261859205749E-2</v>
      </c>
      <c r="M107" s="5">
        <f t="shared" si="28"/>
        <v>0.11019730360328292</v>
      </c>
      <c r="N107" s="6">
        <f t="shared" si="33"/>
        <v>8.0450041744077175E-2</v>
      </c>
      <c r="O107" s="1"/>
      <c r="P107" s="1"/>
    </row>
    <row r="108" spans="1:21" x14ac:dyDescent="0.25">
      <c r="A108" s="1"/>
      <c r="B108" s="4"/>
      <c r="C108" s="5">
        <v>60</v>
      </c>
      <c r="D108" s="5">
        <v>4.8099999999999996</v>
      </c>
      <c r="E108" s="53">
        <v>0.35</v>
      </c>
      <c r="F108" s="5">
        <f t="shared" si="25"/>
        <v>64565.422903465565</v>
      </c>
      <c r="G108" s="5">
        <f t="shared" si="26"/>
        <v>11.07543429730136</v>
      </c>
      <c r="H108" s="5">
        <f t="shared" si="29"/>
        <v>10.429654808100409</v>
      </c>
      <c r="I108" s="5">
        <f t="shared" si="30"/>
        <v>4.5295415313137264</v>
      </c>
      <c r="J108" s="5">
        <f t="shared" si="31"/>
        <v>3.261353790074193E-3</v>
      </c>
      <c r="K108" s="5">
        <f t="shared" si="32"/>
        <v>3.2613537900741977E-3</v>
      </c>
      <c r="L108" s="5">
        <f t="shared" si="27"/>
        <v>7.8656952657849291E-2</v>
      </c>
      <c r="M108" s="5">
        <f t="shared" si="28"/>
        <v>0.16025438478214088</v>
      </c>
      <c r="N108" s="6">
        <f t="shared" si="33"/>
        <v>8.1597432124291602E-2</v>
      </c>
      <c r="O108" s="1"/>
      <c r="P108" s="1"/>
    </row>
    <row r="109" spans="1:21" x14ac:dyDescent="0.25">
      <c r="A109" s="1"/>
      <c r="B109" s="4"/>
      <c r="C109" s="5">
        <v>72</v>
      </c>
      <c r="D109" s="5">
        <v>4.8099999999999996</v>
      </c>
      <c r="E109" s="53">
        <v>0.38</v>
      </c>
      <c r="F109" s="5">
        <f t="shared" si="25"/>
        <v>64565.422903465565</v>
      </c>
      <c r="G109" s="5">
        <f t="shared" si="26"/>
        <v>11.07543429730136</v>
      </c>
      <c r="H109" s="5">
        <f t="shared" si="29"/>
        <v>10.430507879443127</v>
      </c>
      <c r="I109" s="5">
        <f t="shared" si="30"/>
        <v>4.529912015490539</v>
      </c>
      <c r="J109" s="5">
        <f t="shared" si="31"/>
        <v>3.2569136979405887E-3</v>
      </c>
      <c r="K109" s="5">
        <f t="shared" si="32"/>
        <v>3.2569136979405892E-3</v>
      </c>
      <c r="L109" s="5">
        <f t="shared" si="27"/>
        <v>7.8449279066571842E-2</v>
      </c>
      <c r="M109" s="5">
        <f t="shared" si="28"/>
        <v>0.16025850801755495</v>
      </c>
      <c r="N109" s="6">
        <f t="shared" si="33"/>
        <v>8.1809228950983109E-2</v>
      </c>
      <c r="O109" s="1"/>
      <c r="P109" s="1"/>
    </row>
    <row r="110" spans="1:21" x14ac:dyDescent="0.25">
      <c r="A110" s="1"/>
      <c r="B110" s="4"/>
      <c r="C110" s="5">
        <v>84</v>
      </c>
      <c r="D110" s="5">
        <v>4.84</v>
      </c>
      <c r="E110" s="53">
        <v>0.57999999999999996</v>
      </c>
      <c r="F110" s="5">
        <f t="shared" si="25"/>
        <v>69183.097091893651</v>
      </c>
      <c r="G110" s="5">
        <f t="shared" si="26"/>
        <v>11.144511850091181</v>
      </c>
      <c r="H110" s="5">
        <f t="shared" si="29"/>
        <v>10.430664685787335</v>
      </c>
      <c r="I110" s="5">
        <f t="shared" si="30"/>
        <v>4.5299801156205559</v>
      </c>
      <c r="J110" s="5">
        <f t="shared" si="31"/>
        <v>3.5936332457583236E-3</v>
      </c>
      <c r="K110" s="5">
        <f t="shared" si="32"/>
        <v>3.5936332457583279E-3</v>
      </c>
      <c r="L110" s="5">
        <f t="shared" si="27"/>
        <v>9.6112328710643791E-2</v>
      </c>
      <c r="M110" s="5">
        <f t="shared" si="28"/>
        <v>0.17796051872347343</v>
      </c>
      <c r="N110" s="6">
        <f t="shared" si="33"/>
        <v>8.1848190012829641E-2</v>
      </c>
      <c r="O110" s="1"/>
      <c r="P110" s="1"/>
    </row>
    <row r="111" spans="1:21" x14ac:dyDescent="0.25">
      <c r="A111" s="1"/>
      <c r="B111" s="4"/>
      <c r="C111" s="5">
        <v>96</v>
      </c>
      <c r="D111" s="5">
        <v>5.07</v>
      </c>
      <c r="E111" s="53">
        <v>0.2</v>
      </c>
      <c r="F111" s="5">
        <f t="shared" si="25"/>
        <v>117489.75549395311</v>
      </c>
      <c r="G111" s="5">
        <f t="shared" si="26"/>
        <v>11.674106421479813</v>
      </c>
      <c r="H111" s="5">
        <f t="shared" si="29"/>
        <v>10.430693508802378</v>
      </c>
      <c r="I111" s="5">
        <f t="shared" si="30"/>
        <v>4.5299926332969402</v>
      </c>
      <c r="J111" s="5">
        <f t="shared" si="31"/>
        <v>6.1138079465500438E-3</v>
      </c>
      <c r="K111" s="5">
        <f t="shared" si="32"/>
        <v>6.113807946550049E-3</v>
      </c>
      <c r="L111" s="5">
        <f t="shared" si="27"/>
        <v>0.29160795609357315</v>
      </c>
      <c r="M111" s="5">
        <f t="shared" si="28"/>
        <v>0.37346330865788024</v>
      </c>
      <c r="N111" s="6">
        <f t="shared" si="33"/>
        <v>8.1855352564307107E-2</v>
      </c>
      <c r="O111" s="1"/>
      <c r="P111" s="1"/>
    </row>
    <row r="112" spans="1:21" x14ac:dyDescent="0.25">
      <c r="A112" s="1"/>
      <c r="B112" s="4"/>
      <c r="C112" s="5"/>
      <c r="D112" s="24">
        <f>AVERAGE(D94:D111)</f>
        <v>4.2438888888888897</v>
      </c>
      <c r="E112" s="24"/>
      <c r="F112" s="5"/>
      <c r="G112" s="5"/>
      <c r="H112" s="5"/>
      <c r="I112" s="5"/>
      <c r="J112" s="5">
        <f>SUM(J99:J111)</f>
        <v>2.0870547455931809E-2</v>
      </c>
      <c r="K112" s="5">
        <f>SUM(K99:K111)</f>
        <v>4.6840004430385787E-2</v>
      </c>
      <c r="L112" s="5">
        <f>AVERAGE(L94:L111)</f>
        <v>0.10060033344298705</v>
      </c>
      <c r="M112" s="5">
        <f>SUM(M94:M111)</f>
        <v>9.395573218343408</v>
      </c>
      <c r="N112" s="6">
        <f>SUM(N94:N111)</f>
        <v>7.5847672163696416</v>
      </c>
      <c r="O112" s="1"/>
      <c r="P112" s="1"/>
    </row>
    <row r="113" spans="1:16" x14ac:dyDescent="0.25">
      <c r="A113" s="1"/>
      <c r="B113" s="23"/>
      <c r="C113" s="24"/>
      <c r="D113" s="29"/>
      <c r="E113" s="29"/>
      <c r="F113" s="24"/>
      <c r="G113" s="24"/>
      <c r="H113" s="24"/>
      <c r="I113" s="40" t="s">
        <v>44</v>
      </c>
      <c r="J113" s="40">
        <f>10^J112</f>
        <v>1.0492296323907637</v>
      </c>
      <c r="K113" s="40">
        <f>10^K112</f>
        <v>1.1138840992892083</v>
      </c>
      <c r="L113" s="24"/>
      <c r="M113" s="29"/>
      <c r="N113" s="25"/>
      <c r="O113" s="1"/>
      <c r="P113" s="1"/>
    </row>
    <row r="114" spans="1:16" x14ac:dyDescent="0.25">
      <c r="A114" s="35" t="s">
        <v>35</v>
      </c>
      <c r="B114" s="36">
        <v>13</v>
      </c>
      <c r="C114" s="24"/>
      <c r="D114" s="29"/>
      <c r="E114" s="29"/>
      <c r="F114" s="24"/>
      <c r="G114" s="24"/>
      <c r="H114" s="24"/>
      <c r="I114" s="24"/>
      <c r="J114" s="24"/>
      <c r="K114" s="24"/>
      <c r="L114" s="24">
        <f>(SQRT(M112/(B114-1)))/(SQRT(B114))</f>
        <v>0.24541400418663825</v>
      </c>
      <c r="M114" s="29"/>
      <c r="N114" s="25" t="s">
        <v>23</v>
      </c>
      <c r="O114" s="1"/>
      <c r="P114" s="1"/>
    </row>
    <row r="115" spans="1:16" x14ac:dyDescent="0.25">
      <c r="B115" s="23"/>
      <c r="C115" s="24"/>
      <c r="D115" s="29"/>
      <c r="E115" s="29"/>
      <c r="F115" s="24"/>
      <c r="G115" s="24"/>
      <c r="H115" s="24"/>
      <c r="I115" s="24"/>
      <c r="J115" s="24"/>
      <c r="K115" s="24"/>
      <c r="L115" s="24">
        <f>N112/M112</f>
        <v>0.80727030060939264</v>
      </c>
      <c r="M115" s="29"/>
      <c r="N115" s="25" t="s">
        <v>22</v>
      </c>
    </row>
    <row r="116" spans="1:16" x14ac:dyDescent="0.25">
      <c r="A116" s="1"/>
      <c r="B116" s="23"/>
      <c r="C116" s="24"/>
      <c r="D116" s="29"/>
      <c r="E116" s="29"/>
      <c r="F116" s="24"/>
      <c r="G116" s="24"/>
      <c r="H116" s="24"/>
      <c r="I116" s="24"/>
      <c r="J116" s="24"/>
      <c r="K116" s="24"/>
      <c r="L116" s="24">
        <f>L112*100/D112</f>
        <v>2.370475195671903</v>
      </c>
      <c r="M116" s="29"/>
      <c r="N116" s="6" t="s">
        <v>40</v>
      </c>
      <c r="O116" s="1"/>
      <c r="P116" s="1"/>
    </row>
    <row r="117" spans="1:16" ht="15.75" thickBot="1" x14ac:dyDescent="0.3"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>
        <f>SQRT(L112)</f>
        <v>0.31717555618771609</v>
      </c>
      <c r="M117" s="27"/>
      <c r="N117" s="28" t="s">
        <v>18</v>
      </c>
    </row>
    <row r="137" spans="1:21" ht="15.75" thickBot="1" x14ac:dyDescent="0.3"/>
    <row r="138" spans="1:21" x14ac:dyDescent="0.25">
      <c r="A138" s="1"/>
      <c r="B138" s="22" t="s">
        <v>3</v>
      </c>
      <c r="C138" s="2" t="s">
        <v>1</v>
      </c>
      <c r="D138" s="2" t="s">
        <v>2</v>
      </c>
      <c r="E138" s="2"/>
      <c r="F138" s="2" t="s">
        <v>7</v>
      </c>
      <c r="G138" s="2" t="s">
        <v>32</v>
      </c>
      <c r="H138" s="2" t="s">
        <v>16</v>
      </c>
      <c r="I138" s="2" t="s">
        <v>17</v>
      </c>
      <c r="J138" s="2" t="s">
        <v>39</v>
      </c>
      <c r="K138" s="2" t="s">
        <v>38</v>
      </c>
      <c r="L138" s="2" t="s">
        <v>36</v>
      </c>
      <c r="M138" s="2" t="s">
        <v>21</v>
      </c>
      <c r="N138" s="3" t="s">
        <v>20</v>
      </c>
      <c r="O138" s="1"/>
      <c r="Q138" s="8"/>
      <c r="R138" s="15" t="s">
        <v>14</v>
      </c>
      <c r="S138" s="12" t="s">
        <v>8</v>
      </c>
      <c r="T138" s="12" t="s">
        <v>9</v>
      </c>
      <c r="U138" s="3" t="s">
        <v>10</v>
      </c>
    </row>
    <row r="139" spans="1:21" ht="15.75" thickBot="1" x14ac:dyDescent="0.3">
      <c r="A139" s="1"/>
      <c r="B139" s="4"/>
      <c r="C139" s="5">
        <v>0</v>
      </c>
      <c r="D139" s="5">
        <v>2.3479101760000001</v>
      </c>
      <c r="E139" s="54">
        <v>0.47383799999999998</v>
      </c>
      <c r="F139" s="5">
        <f>10^D139</f>
        <v>222.79742954749918</v>
      </c>
      <c r="G139" s="5">
        <f>LN(10^D139)</f>
        <v>5.406262970946627</v>
      </c>
      <c r="H139" s="5">
        <f>$R$143+$R$140*(EXP(-1*EXP((-1/$R$141)*(C139-$R$142))))</f>
        <v>5.4346101998110257</v>
      </c>
      <c r="I139" s="5">
        <f>LOG(EXP(H139))</f>
        <v>2.3602212210730573</v>
      </c>
      <c r="J139" s="5">
        <f t="shared" ref="J139:J151" si="34">LOG(D139/I139)/$B$22</f>
        <v>-2.8390409466748227E-4</v>
      </c>
      <c r="K139" s="5">
        <f t="shared" ref="K139:K151" si="35">ABS(LOG(I139/D139)/$B$22)</f>
        <v>2.8390409466747831E-4</v>
      </c>
      <c r="L139" s="5">
        <f>(D139-I139)^2</f>
        <v>1.5156183079084712E-4</v>
      </c>
      <c r="M139" s="5">
        <f>N139+L139</f>
        <v>3.5483554446055283</v>
      </c>
      <c r="N139" s="6">
        <f t="shared" ref="N139:N154" si="36">(I139-$D$112)^2</f>
        <v>3.5482038827747373</v>
      </c>
      <c r="O139" s="1"/>
      <c r="P139" s="1"/>
      <c r="Q139" s="9"/>
      <c r="R139" s="16"/>
      <c r="S139" s="14"/>
      <c r="T139" s="14"/>
      <c r="U139" s="6"/>
    </row>
    <row r="140" spans="1:21" x14ac:dyDescent="0.25">
      <c r="A140" s="1"/>
      <c r="B140" s="4"/>
      <c r="C140" s="5">
        <v>2</v>
      </c>
      <c r="D140" s="5">
        <v>3.3690375889999999</v>
      </c>
      <c r="E140" s="54">
        <v>0.138686</v>
      </c>
      <c r="F140" s="5">
        <f t="shared" ref="F140:F154" si="37">10^D140</f>
        <v>2339.0396781591012</v>
      </c>
      <c r="G140" s="5">
        <f t="shared" ref="G140:G154" si="38">LN(10^D140)</f>
        <v>7.7574957301680012</v>
      </c>
      <c r="H140" s="5">
        <f t="shared" ref="H140:H154" si="39">$R$143+$R$140*(EXP(-1*EXP((-1/$R$141)*(C140-$R$142))))</f>
        <v>7.2757307507711904</v>
      </c>
      <c r="I140" s="5">
        <f>LOG(EXP(H140))</f>
        <v>3.1598097168737316</v>
      </c>
      <c r="J140" s="5">
        <f t="shared" si="34"/>
        <v>3.4806157798147139E-3</v>
      </c>
      <c r="K140" s="5">
        <f t="shared" si="35"/>
        <v>3.4806157798147144E-3</v>
      </c>
      <c r="L140" s="5">
        <f t="shared" ref="L140:L154" si="40">(D140-I140)^2</f>
        <v>4.3776302474486106E-2</v>
      </c>
      <c r="M140" s="5">
        <f t="shared" ref="M140:M154" si="41">N140+L140</f>
        <v>1.2190039536715569</v>
      </c>
      <c r="N140" s="6">
        <f t="shared" si="36"/>
        <v>1.1752276511970707</v>
      </c>
      <c r="O140" s="1"/>
      <c r="P140" s="1"/>
      <c r="Q140" s="9" t="s">
        <v>11</v>
      </c>
      <c r="R140" s="15">
        <v>8.0798000000000005</v>
      </c>
      <c r="S140" s="12">
        <v>12.1806</v>
      </c>
      <c r="T140" s="12">
        <v>0.6633</v>
      </c>
      <c r="U140" s="3">
        <v>0.51970000000000005</v>
      </c>
    </row>
    <row r="141" spans="1:21" x14ac:dyDescent="0.25">
      <c r="A141" s="1"/>
      <c r="B141" s="4"/>
      <c r="C141" s="5">
        <v>4</v>
      </c>
      <c r="D141" s="5">
        <v>3.6166205169999999</v>
      </c>
      <c r="E141" s="54">
        <v>0.365929</v>
      </c>
      <c r="F141" s="5">
        <f t="shared" si="37"/>
        <v>4136.3808325864356</v>
      </c>
      <c r="G141" s="5">
        <f t="shared" si="38"/>
        <v>8.3275764894606183</v>
      </c>
      <c r="H141" s="5">
        <f t="shared" si="39"/>
        <v>8.5400915396604287</v>
      </c>
      <c r="I141" s="5">
        <f t="shared" ref="I141:I153" si="42">LOG(EXP(H141))</f>
        <v>3.7089146306231702</v>
      </c>
      <c r="J141" s="5">
        <f t="shared" si="34"/>
        <v>-1.3679869280994368E-3</v>
      </c>
      <c r="K141" s="5">
        <f t="shared" si="35"/>
        <v>1.367986928099437E-3</v>
      </c>
      <c r="L141" s="5">
        <f t="shared" si="40"/>
        <v>8.5182034094866705E-3</v>
      </c>
      <c r="M141" s="5">
        <f t="shared" si="41"/>
        <v>0.29471566041644348</v>
      </c>
      <c r="N141" s="6">
        <f t="shared" si="36"/>
        <v>0.28619745700695681</v>
      </c>
      <c r="O141" s="1"/>
      <c r="P141" s="1"/>
      <c r="Q141" s="9" t="s">
        <v>12</v>
      </c>
      <c r="R141" s="16">
        <v>2.8824000000000001</v>
      </c>
      <c r="S141" s="14">
        <v>1.7001999999999999</v>
      </c>
      <c r="T141" s="14">
        <v>1.6953</v>
      </c>
      <c r="U141" s="6">
        <v>0.1158</v>
      </c>
    </row>
    <row r="142" spans="1:21" x14ac:dyDescent="0.25">
      <c r="A142" s="1"/>
      <c r="B142" s="4"/>
      <c r="C142" s="5">
        <v>6</v>
      </c>
      <c r="D142" s="5">
        <v>4.0206809940000001</v>
      </c>
      <c r="E142" s="54">
        <v>0.40972199999999998</v>
      </c>
      <c r="F142" s="5">
        <f t="shared" si="37"/>
        <v>10487.717824421827</v>
      </c>
      <c r="G142" s="5">
        <f t="shared" si="38"/>
        <v>9.2579601204688835</v>
      </c>
      <c r="H142" s="5">
        <f t="shared" si="39"/>
        <v>9.2817019742388887</v>
      </c>
      <c r="I142" s="5">
        <f t="shared" si="42"/>
        <v>4.030991950082468</v>
      </c>
      <c r="J142" s="5">
        <f t="shared" si="34"/>
        <v>-1.3903923472580832E-4</v>
      </c>
      <c r="K142" s="5">
        <f t="shared" si="35"/>
        <v>1.3903923472580369E-4</v>
      </c>
      <c r="L142" s="5">
        <f t="shared" si="40"/>
        <v>1.0631581533458186E-4</v>
      </c>
      <c r="M142" s="5">
        <f t="shared" si="41"/>
        <v>4.5431422368479843E-2</v>
      </c>
      <c r="N142" s="6">
        <f t="shared" si="36"/>
        <v>4.5325106553145263E-2</v>
      </c>
      <c r="O142" s="1"/>
      <c r="P142" s="1"/>
      <c r="Q142" s="9" t="s">
        <v>13</v>
      </c>
      <c r="R142" s="16">
        <v>-0.42380000000000001</v>
      </c>
      <c r="S142" s="14">
        <v>6.8068</v>
      </c>
      <c r="T142" s="14">
        <v>-6.2300000000000001E-2</v>
      </c>
      <c r="U142" s="6">
        <v>0.95140000000000002</v>
      </c>
    </row>
    <row r="143" spans="1:21" ht="15.75" thickBot="1" x14ac:dyDescent="0.3">
      <c r="A143" s="1"/>
      <c r="B143" s="4"/>
      <c r="C143" s="5">
        <v>8</v>
      </c>
      <c r="D143" s="5">
        <v>4.5517890479999998</v>
      </c>
      <c r="E143" s="54">
        <v>0.22645699999999999</v>
      </c>
      <c r="F143" s="5">
        <f t="shared" si="37"/>
        <v>35627.803470316125</v>
      </c>
      <c r="G143" s="5">
        <f t="shared" si="38"/>
        <v>10.480881608378359</v>
      </c>
      <c r="H143" s="5">
        <f t="shared" si="39"/>
        <v>9.683298590995431</v>
      </c>
      <c r="I143" s="5">
        <f t="shared" si="42"/>
        <v>4.2054031446908491</v>
      </c>
      <c r="J143" s="5">
        <f t="shared" si="34"/>
        <v>4.2968114271915176E-3</v>
      </c>
      <c r="K143" s="5">
        <f t="shared" si="35"/>
        <v>4.2968114271915159E-3</v>
      </c>
      <c r="L143" s="5">
        <f t="shared" si="40"/>
        <v>0.11998319401129634</v>
      </c>
      <c r="M143" s="5">
        <f t="shared" si="41"/>
        <v>0.12146434651777335</v>
      </c>
      <c r="N143" s="6">
        <f t="shared" si="36"/>
        <v>1.4811525064770178E-3</v>
      </c>
      <c r="O143" s="1"/>
      <c r="P143" s="1"/>
      <c r="Q143" s="10" t="s">
        <v>19</v>
      </c>
      <c r="R143" s="17">
        <v>2.0266999999999999</v>
      </c>
      <c r="S143" s="13">
        <v>11.953200000000001</v>
      </c>
      <c r="T143" s="13">
        <v>0.1696</v>
      </c>
      <c r="U143" s="7">
        <v>0.86819999999999997</v>
      </c>
    </row>
    <row r="144" spans="1:21" x14ac:dyDescent="0.25">
      <c r="A144" s="1"/>
      <c r="B144" s="4"/>
      <c r="C144" s="5">
        <v>10</v>
      </c>
      <c r="D144" s="5">
        <v>4.5675928360000002</v>
      </c>
      <c r="E144" s="54">
        <v>0.34393299999999999</v>
      </c>
      <c r="F144" s="5">
        <f t="shared" si="37"/>
        <v>36948.161733850342</v>
      </c>
      <c r="G144" s="5">
        <f t="shared" si="38"/>
        <v>10.517271175039998</v>
      </c>
      <c r="H144" s="5">
        <f t="shared" si="39"/>
        <v>9.8922055538033362</v>
      </c>
      <c r="I144" s="5">
        <f t="shared" si="42"/>
        <v>4.2961302858694905</v>
      </c>
      <c r="J144" s="5">
        <f t="shared" si="34"/>
        <v>3.3262424586648449E-3</v>
      </c>
      <c r="K144" s="5">
        <f t="shared" si="35"/>
        <v>3.326242458664851E-3</v>
      </c>
      <c r="L144" s="5">
        <f t="shared" si="40"/>
        <v>7.3691916123359485E-2</v>
      </c>
      <c r="M144" s="5">
        <f t="shared" si="41"/>
        <v>7.6421079681844209E-2</v>
      </c>
      <c r="N144" s="6">
        <f t="shared" si="36"/>
        <v>2.7291635584847282E-3</v>
      </c>
      <c r="O144" s="1"/>
      <c r="P144" s="1"/>
      <c r="Q144" s="1"/>
      <c r="R144" s="1"/>
      <c r="S144" s="1"/>
      <c r="T144" s="1"/>
      <c r="U144" s="1"/>
    </row>
    <row r="145" spans="1:16" x14ac:dyDescent="0.25">
      <c r="A145" s="1"/>
      <c r="B145" s="4"/>
      <c r="C145" s="5">
        <v>12</v>
      </c>
      <c r="D145" s="5">
        <v>4.5508039269999996</v>
      </c>
      <c r="E145" s="54">
        <v>0.37606800000000001</v>
      </c>
      <c r="F145" s="5">
        <f t="shared" si="37"/>
        <v>35547.079624093523</v>
      </c>
      <c r="G145" s="5">
        <f t="shared" si="38"/>
        <v>10.478613283448963</v>
      </c>
      <c r="H145" s="5">
        <f t="shared" si="39"/>
        <v>9.998709763912661</v>
      </c>
      <c r="I145" s="5">
        <f t="shared" si="42"/>
        <v>4.3423844766194346</v>
      </c>
      <c r="J145" s="5">
        <f t="shared" si="34"/>
        <v>2.5449813417209822E-3</v>
      </c>
      <c r="K145" s="5">
        <f t="shared" si="35"/>
        <v>2.5449813417209853E-3</v>
      </c>
      <c r="L145" s="5">
        <f t="shared" si="40"/>
        <v>4.3438667296936788E-2</v>
      </c>
      <c r="M145" s="5">
        <f t="shared" si="41"/>
        <v>5.3140048099322254E-2</v>
      </c>
      <c r="N145" s="6">
        <f t="shared" si="36"/>
        <v>9.7013808023854661E-3</v>
      </c>
      <c r="O145" s="1"/>
      <c r="P145" s="1"/>
    </row>
    <row r="146" spans="1:16" x14ac:dyDescent="0.25">
      <c r="A146" s="1"/>
      <c r="B146" s="4"/>
      <c r="C146" s="5">
        <v>14</v>
      </c>
      <c r="D146" s="5">
        <v>4.2598654280000003</v>
      </c>
      <c r="E146" s="54">
        <v>0.753274</v>
      </c>
      <c r="F146" s="5">
        <f t="shared" si="37"/>
        <v>18191.370871179228</v>
      </c>
      <c r="G146" s="5">
        <f t="shared" si="38"/>
        <v>9.8087026326735014</v>
      </c>
      <c r="H146" s="5">
        <f t="shared" si="39"/>
        <v>10.052462661868415</v>
      </c>
      <c r="I146" s="5">
        <f t="shared" si="42"/>
        <v>4.3657290635879269</v>
      </c>
      <c r="J146" s="5">
        <f t="shared" si="34"/>
        <v>-1.332612537597378E-3</v>
      </c>
      <c r="K146" s="5">
        <f t="shared" si="35"/>
        <v>1.3326125375973722E-3</v>
      </c>
      <c r="L146" s="5">
        <f t="shared" si="40"/>
        <v>1.1207109339893309E-2</v>
      </c>
      <c r="M146" s="5">
        <f t="shared" si="41"/>
        <v>2.6052137510585209E-2</v>
      </c>
      <c r="N146" s="6">
        <f t="shared" si="36"/>
        <v>1.4845028170691901E-2</v>
      </c>
      <c r="O146" s="1"/>
      <c r="P146" s="1"/>
    </row>
    <row r="147" spans="1:16" x14ac:dyDescent="0.25">
      <c r="A147" s="1"/>
      <c r="B147" s="4"/>
      <c r="C147" s="5">
        <v>0</v>
      </c>
      <c r="D147" s="5">
        <v>2.3252574990000001</v>
      </c>
      <c r="E147" s="54">
        <v>0.286721</v>
      </c>
      <c r="F147" s="5">
        <f t="shared" si="37"/>
        <v>211.47425272901802</v>
      </c>
      <c r="G147" s="5">
        <f t="shared" si="38"/>
        <v>5.3541032545700178</v>
      </c>
      <c r="H147" s="5">
        <f t="shared" si="39"/>
        <v>5.4346101998110257</v>
      </c>
      <c r="I147" s="5">
        <f t="shared" si="42"/>
        <v>2.3602212210730573</v>
      </c>
      <c r="J147" s="5">
        <f t="shared" si="34"/>
        <v>-8.1020714868673162E-4</v>
      </c>
      <c r="K147" s="5">
        <f t="shared" si="35"/>
        <v>8.1020714868673563E-4</v>
      </c>
      <c r="L147" s="5">
        <f t="shared" si="40"/>
        <v>1.2224618612019873E-3</v>
      </c>
      <c r="M147" s="5">
        <f t="shared" si="41"/>
        <v>3.5494263446359393</v>
      </c>
      <c r="N147" s="6">
        <f t="shared" si="36"/>
        <v>3.5482038827747373</v>
      </c>
      <c r="O147" s="1"/>
      <c r="P147" s="1"/>
    </row>
    <row r="148" spans="1:16" x14ac:dyDescent="0.25">
      <c r="A148" s="1"/>
      <c r="B148" s="4"/>
      <c r="C148" s="5">
        <v>2</v>
      </c>
      <c r="D148" s="5">
        <v>3.20070027</v>
      </c>
      <c r="E148" s="54">
        <v>0.108766</v>
      </c>
      <c r="F148" s="5">
        <f t="shared" si="37"/>
        <v>1587.4507852103898</v>
      </c>
      <c r="G148" s="5">
        <f t="shared" si="38"/>
        <v>7.3698847288440179</v>
      </c>
      <c r="H148" s="5">
        <f t="shared" si="39"/>
        <v>7.2757307507711904</v>
      </c>
      <c r="I148" s="5">
        <f t="shared" si="42"/>
        <v>3.1598097168737316</v>
      </c>
      <c r="J148" s="5">
        <f t="shared" si="34"/>
        <v>6.9800952592905549E-4</v>
      </c>
      <c r="K148" s="5">
        <f t="shared" si="35"/>
        <v>6.9800952592905723E-4</v>
      </c>
      <c r="L148" s="5">
        <f t="shared" si="40"/>
        <v>1.6720373349721814E-3</v>
      </c>
      <c r="M148" s="5">
        <f t="shared" si="41"/>
        <v>1.1768996885320429</v>
      </c>
      <c r="N148" s="6">
        <f t="shared" si="36"/>
        <v>1.1752276511970707</v>
      </c>
      <c r="O148" s="1"/>
      <c r="P148" s="1"/>
    </row>
    <row r="149" spans="1:16" x14ac:dyDescent="0.25">
      <c r="A149" s="1"/>
      <c r="B149" s="4"/>
      <c r="C149" s="5">
        <v>4</v>
      </c>
      <c r="D149" s="5">
        <v>3.4513079090000001</v>
      </c>
      <c r="E149" s="54">
        <v>0.28694599999999998</v>
      </c>
      <c r="F149" s="5">
        <f t="shared" si="37"/>
        <v>2826.8834873197497</v>
      </c>
      <c r="G149" s="5">
        <f t="shared" si="38"/>
        <v>7.9469301425958516</v>
      </c>
      <c r="H149" s="5">
        <f t="shared" si="39"/>
        <v>8.5400915396604287</v>
      </c>
      <c r="I149" s="5">
        <f t="shared" si="42"/>
        <v>3.7089146306231702</v>
      </c>
      <c r="J149" s="5">
        <f t="shared" si="34"/>
        <v>-3.9078913079284025E-3</v>
      </c>
      <c r="K149" s="5">
        <f t="shared" si="35"/>
        <v>3.9078913079283991E-3</v>
      </c>
      <c r="L149" s="5">
        <f t="shared" si="40"/>
        <v>6.6361223025437455E-2</v>
      </c>
      <c r="M149" s="5">
        <f t="shared" si="41"/>
        <v>0.35255868003239427</v>
      </c>
      <c r="N149" s="6">
        <f t="shared" si="36"/>
        <v>0.28619745700695681</v>
      </c>
      <c r="O149" s="1"/>
      <c r="P149" s="1"/>
    </row>
    <row r="150" spans="1:16" x14ac:dyDescent="0.25">
      <c r="A150" s="1"/>
      <c r="B150" s="4"/>
      <c r="C150" s="5">
        <v>6</v>
      </c>
      <c r="D150" s="5">
        <v>3.8490393709999999</v>
      </c>
      <c r="E150" s="54">
        <v>0.27650200000000003</v>
      </c>
      <c r="F150" s="5">
        <f t="shared" si="37"/>
        <v>7063.815884381901</v>
      </c>
      <c r="G150" s="5">
        <f t="shared" si="38"/>
        <v>8.8627406780117788</v>
      </c>
      <c r="H150" s="5">
        <f t="shared" si="39"/>
        <v>9.2817019742388887</v>
      </c>
      <c r="I150" s="5">
        <f t="shared" si="42"/>
        <v>4.030991950082468</v>
      </c>
      <c r="J150" s="5">
        <f t="shared" si="34"/>
        <v>-2.5074471802933132E-3</v>
      </c>
      <c r="K150" s="5">
        <f t="shared" si="35"/>
        <v>2.507447180293321E-3</v>
      </c>
      <c r="L150" s="5">
        <f t="shared" si="40"/>
        <v>3.3106741034761807E-2</v>
      </c>
      <c r="M150" s="5">
        <f t="shared" si="41"/>
        <v>7.8431847587907069E-2</v>
      </c>
      <c r="N150" s="6">
        <f t="shared" si="36"/>
        <v>4.5325106553145263E-2</v>
      </c>
      <c r="O150" s="1"/>
      <c r="P150" s="1"/>
    </row>
    <row r="151" spans="1:16" x14ac:dyDescent="0.25">
      <c r="A151" s="1"/>
      <c r="B151" s="4"/>
      <c r="C151" s="5">
        <v>8</v>
      </c>
      <c r="D151" s="5">
        <v>4.2713048000000002</v>
      </c>
      <c r="E151" s="54">
        <v>0.216478</v>
      </c>
      <c r="F151" s="5">
        <f t="shared" si="37"/>
        <v>18676.900280033555</v>
      </c>
      <c r="G151" s="5">
        <f t="shared" si="38"/>
        <v>9.8350427601139145</v>
      </c>
      <c r="H151" s="5">
        <f t="shared" si="39"/>
        <v>9.683298590995431</v>
      </c>
      <c r="I151" s="5">
        <f t="shared" si="42"/>
        <v>4.2054031446908491</v>
      </c>
      <c r="J151" s="5">
        <f t="shared" si="34"/>
        <v>8.4411607923689646E-4</v>
      </c>
      <c r="K151" s="5">
        <f t="shared" si="35"/>
        <v>8.4411607923689808E-4</v>
      </c>
      <c r="L151" s="5">
        <f t="shared" si="40"/>
        <v>4.34302817248617E-3</v>
      </c>
      <c r="M151" s="5">
        <f t="shared" si="41"/>
        <v>5.8241806789631877E-3</v>
      </c>
      <c r="N151" s="6">
        <f t="shared" si="36"/>
        <v>1.4811525064770178E-3</v>
      </c>
      <c r="O151" s="1"/>
      <c r="P151" s="1"/>
    </row>
    <row r="152" spans="1:16" x14ac:dyDescent="0.25">
      <c r="A152" s="1"/>
      <c r="B152" s="4"/>
      <c r="C152" s="5">
        <v>10</v>
      </c>
      <c r="D152" s="5">
        <v>4.2746090109999999</v>
      </c>
      <c r="E152" s="54">
        <v>0.329872</v>
      </c>
      <c r="F152" s="5">
        <f t="shared" si="37"/>
        <v>18819.540307677908</v>
      </c>
      <c r="G152" s="5">
        <f t="shared" si="38"/>
        <v>9.8426509871066212</v>
      </c>
      <c r="H152" s="5">
        <f t="shared" si="39"/>
        <v>9.8922055538033362</v>
      </c>
      <c r="I152" s="5">
        <f t="shared" si="42"/>
        <v>4.2961302858694905</v>
      </c>
      <c r="J152" s="5">
        <f t="shared" ref="J152:J153" si="43">LOG(D152/I152)/$B$22</f>
        <v>-2.7263081514028849E-4</v>
      </c>
      <c r="K152" s="5">
        <f t="shared" ref="K152:K154" si="44">ABS(LOG(I152/D152)/$B$22)</f>
        <v>2.7263081514029109E-4</v>
      </c>
      <c r="L152" s="5">
        <f t="shared" si="40"/>
        <v>4.6316527200816873E-4</v>
      </c>
      <c r="M152" s="5">
        <f t="shared" si="41"/>
        <v>3.192328830492897E-3</v>
      </c>
      <c r="N152" s="6">
        <f t="shared" si="36"/>
        <v>2.7291635584847282E-3</v>
      </c>
      <c r="O152" s="1"/>
      <c r="P152" s="1"/>
    </row>
    <row r="153" spans="1:16" x14ac:dyDescent="0.25">
      <c r="A153" s="1"/>
      <c r="B153" s="4"/>
      <c r="C153" s="5">
        <v>12</v>
      </c>
      <c r="D153" s="5">
        <v>4.3034989039999996</v>
      </c>
      <c r="E153" s="54">
        <v>0.33036399999999999</v>
      </c>
      <c r="F153" s="5">
        <f t="shared" si="37"/>
        <v>20114.021221532024</v>
      </c>
      <c r="G153" s="5">
        <f t="shared" si="38"/>
        <v>9.9091724240666128</v>
      </c>
      <c r="H153" s="5">
        <f t="shared" si="39"/>
        <v>9.998709763912661</v>
      </c>
      <c r="I153" s="5">
        <f t="shared" si="42"/>
        <v>4.3423844766194346</v>
      </c>
      <c r="J153" s="5">
        <f t="shared" si="43"/>
        <v>-4.8832209336855997E-4</v>
      </c>
      <c r="K153" s="5">
        <f t="shared" si="44"/>
        <v>4.8832209336855477E-4</v>
      </c>
      <c r="L153" s="5">
        <f t="shared" si="40"/>
        <v>1.512087757941356E-3</v>
      </c>
      <c r="M153" s="5">
        <f t="shared" si="41"/>
        <v>1.1213468560326822E-2</v>
      </c>
      <c r="N153" s="6">
        <f t="shared" si="36"/>
        <v>9.7013808023854661E-3</v>
      </c>
      <c r="O153" s="1"/>
      <c r="P153" s="1"/>
    </row>
    <row r="154" spans="1:16" x14ac:dyDescent="0.25">
      <c r="A154" s="1"/>
      <c r="B154" s="4"/>
      <c r="C154" s="5">
        <v>14</v>
      </c>
      <c r="D154" s="5">
        <v>3.979271298</v>
      </c>
      <c r="E154" s="54">
        <v>0.80123900000000003</v>
      </c>
      <c r="F154" s="5">
        <f t="shared" si="37"/>
        <v>9533.9154908945857</v>
      </c>
      <c r="G154" s="5">
        <f t="shared" si="38"/>
        <v>9.162610771753867</v>
      </c>
      <c r="H154" s="5">
        <f t="shared" si="39"/>
        <v>10.052462661868415</v>
      </c>
      <c r="I154" s="5">
        <f>LOG(EXP(H154))</f>
        <v>4.3657290635879269</v>
      </c>
      <c r="J154" s="5">
        <f>LOG(D154/I154)/$B$22</f>
        <v>-5.0316538205828869E-3</v>
      </c>
      <c r="K154" s="5">
        <f t="shared" si="44"/>
        <v>5.0316538205828817E-3</v>
      </c>
      <c r="L154" s="5">
        <f t="shared" si="40"/>
        <v>0.14934960458321303</v>
      </c>
      <c r="M154" s="5">
        <f t="shared" si="41"/>
        <v>0.16419463275390495</v>
      </c>
      <c r="N154" s="6">
        <f t="shared" si="36"/>
        <v>1.4845028170691901E-2</v>
      </c>
      <c r="O154" s="1"/>
      <c r="P154" s="1"/>
    </row>
    <row r="155" spans="1:16" x14ac:dyDescent="0.25">
      <c r="A155" s="1"/>
      <c r="B155" s="4"/>
      <c r="C155" s="5"/>
      <c r="D155" s="24">
        <f>AVERAGE(D139:D154)</f>
        <v>3.8087055985625002</v>
      </c>
      <c r="E155" s="24"/>
      <c r="F155" s="5"/>
      <c r="G155" s="5"/>
      <c r="H155" s="5"/>
      <c r="I155" s="5"/>
      <c r="J155" s="5">
        <f>SUM(J139:J154)</f>
        <v>-9.5091854853227801E-4</v>
      </c>
      <c r="K155" s="5">
        <f>SUM(K139:K154)</f>
        <v>3.1332471773648299E-2</v>
      </c>
      <c r="L155" s="5">
        <f>AVERAGE(L139:L154)</f>
        <v>3.4931476208975396E-2</v>
      </c>
      <c r="M155" s="5">
        <f>SUM(M139:M154)</f>
        <v>10.726325264483503</v>
      </c>
      <c r="N155" s="6">
        <f>SUM(N139:N154)</f>
        <v>10.167421645139896</v>
      </c>
      <c r="O155" s="1"/>
      <c r="P155" s="1"/>
    </row>
    <row r="156" spans="1:16" x14ac:dyDescent="0.25">
      <c r="A156" s="1"/>
      <c r="B156" s="23"/>
      <c r="C156" s="24"/>
      <c r="D156" s="29"/>
      <c r="E156" s="29"/>
      <c r="F156" s="24"/>
      <c r="G156" s="24"/>
      <c r="H156" s="24"/>
      <c r="I156" s="40" t="s">
        <v>44</v>
      </c>
      <c r="J156" s="40">
        <f>10^J155</f>
        <v>0.99781282448721487</v>
      </c>
      <c r="K156" s="40">
        <f>10^K155</f>
        <v>1.0748119138730656</v>
      </c>
      <c r="L156" s="24"/>
      <c r="M156" s="29"/>
      <c r="N156" s="25"/>
      <c r="O156" s="1"/>
      <c r="P156" s="1"/>
    </row>
    <row r="157" spans="1:16" x14ac:dyDescent="0.25">
      <c r="A157" s="35" t="s">
        <v>35</v>
      </c>
      <c r="B157" s="36">
        <v>13</v>
      </c>
      <c r="C157" s="24"/>
      <c r="D157" s="29"/>
      <c r="E157" s="29"/>
      <c r="F157" s="24"/>
      <c r="G157" s="24"/>
      <c r="H157" s="24"/>
      <c r="I157" s="24"/>
      <c r="J157" s="24"/>
      <c r="K157" s="24"/>
      <c r="L157" s="24">
        <f>(SQRT(M155/(B157-1)))/(SQRT(B157))</f>
        <v>0.26221841141527547</v>
      </c>
      <c r="M157" s="29"/>
      <c r="N157" s="25" t="s">
        <v>23</v>
      </c>
      <c r="O157" s="1"/>
      <c r="P157" s="1"/>
    </row>
    <row r="158" spans="1:16" x14ac:dyDescent="0.25">
      <c r="B158" s="23"/>
      <c r="C158" s="24"/>
      <c r="D158" s="29"/>
      <c r="E158" s="29"/>
      <c r="F158" s="24"/>
      <c r="G158" s="24"/>
      <c r="H158" s="24"/>
      <c r="I158" s="24"/>
      <c r="J158" s="24"/>
      <c r="K158" s="24"/>
      <c r="L158" s="24">
        <f>N155/M155</f>
        <v>0.9478942130168081</v>
      </c>
      <c r="M158" s="29"/>
      <c r="N158" s="25" t="s">
        <v>22</v>
      </c>
    </row>
    <row r="159" spans="1:16" x14ac:dyDescent="0.25">
      <c r="A159" s="1"/>
      <c r="B159" s="23"/>
      <c r="C159" s="24"/>
      <c r="D159" s="29"/>
      <c r="E159" s="29"/>
      <c r="F159" s="24"/>
      <c r="G159" s="24"/>
      <c r="H159" s="24"/>
      <c r="I159" s="24"/>
      <c r="J159" s="24"/>
      <c r="K159" s="24"/>
      <c r="L159" s="24">
        <f>L155*100/D155</f>
        <v>0.91714823592979722</v>
      </c>
      <c r="M159" s="29"/>
      <c r="N159" s="6" t="s">
        <v>40</v>
      </c>
      <c r="O159" s="1"/>
      <c r="P159" s="1"/>
    </row>
    <row r="160" spans="1:16" ht="15.75" thickBot="1" x14ac:dyDescent="0.3"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>
        <f>SQRT(L155)</f>
        <v>0.18689964207824314</v>
      </c>
      <c r="M160" s="27"/>
      <c r="N160" s="28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6"/>
  <sheetViews>
    <sheetView topLeftCell="C115" zoomScale="70" zoomScaleNormal="70" workbookViewId="0">
      <selection activeCell="T110" sqref="T110:X126"/>
    </sheetView>
  </sheetViews>
  <sheetFormatPr defaultRowHeight="15" x14ac:dyDescent="0.25"/>
  <cols>
    <col min="4" max="4" width="16.42578125" customWidth="1"/>
    <col min="5" max="5" width="23" customWidth="1"/>
    <col min="6" max="6" width="11" customWidth="1"/>
    <col min="7" max="7" width="14.85546875" customWidth="1"/>
    <col min="8" max="9" width="18.7109375" customWidth="1"/>
    <col min="10" max="12" width="18.5703125" customWidth="1"/>
    <col min="13" max="13" width="15.42578125" customWidth="1"/>
    <col min="14" max="14" width="12" customWidth="1"/>
    <col min="15" max="15" width="13.28515625" customWidth="1"/>
    <col min="17" max="17" width="16" customWidth="1"/>
    <col min="18" max="18" width="16.7109375" style="11" customWidth="1"/>
    <col min="19" max="19" width="12" customWidth="1"/>
    <col min="21" max="21" width="20" customWidth="1"/>
  </cols>
  <sheetData>
    <row r="1" spans="1:2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"/>
      <c r="S1" s="11"/>
      <c r="T1" s="11"/>
      <c r="U1" s="11"/>
      <c r="V1" s="11"/>
      <c r="W1" s="11"/>
    </row>
    <row r="2" spans="1:23" x14ac:dyDescent="0.25">
      <c r="A2" s="1"/>
      <c r="B2" s="20" t="s">
        <v>57</v>
      </c>
      <c r="C2" s="2" t="s">
        <v>1</v>
      </c>
      <c r="D2" s="2" t="s">
        <v>33</v>
      </c>
      <c r="E2" s="2" t="s">
        <v>56</v>
      </c>
      <c r="F2" s="2" t="s">
        <v>7</v>
      </c>
      <c r="G2" s="2" t="s">
        <v>32</v>
      </c>
      <c r="H2" s="2" t="s">
        <v>25</v>
      </c>
      <c r="I2" s="2" t="s">
        <v>34</v>
      </c>
      <c r="J2" s="2" t="s">
        <v>17</v>
      </c>
      <c r="K2" s="2" t="s">
        <v>39</v>
      </c>
      <c r="L2" s="2" t="s">
        <v>38</v>
      </c>
      <c r="M2" s="2" t="s">
        <v>36</v>
      </c>
      <c r="N2" s="2" t="s">
        <v>21</v>
      </c>
      <c r="O2" s="3" t="s">
        <v>20</v>
      </c>
      <c r="P2" s="1"/>
      <c r="Q2" s="32" t="s">
        <v>30</v>
      </c>
      <c r="R2" s="33">
        <f>R5*R7</f>
        <v>0</v>
      </c>
      <c r="S2" s="11"/>
      <c r="U2" s="5"/>
      <c r="V2" s="5"/>
      <c r="W2" s="11"/>
    </row>
    <row r="3" spans="1:23" x14ac:dyDescent="0.25">
      <c r="A3" s="1"/>
      <c r="B3" s="4"/>
      <c r="C3" s="5">
        <v>0</v>
      </c>
      <c r="D3" s="5">
        <v>1.731069822</v>
      </c>
      <c r="E3" s="53">
        <v>0.104711</v>
      </c>
      <c r="F3" s="5">
        <f>10^D3</f>
        <v>53.835632769615813</v>
      </c>
      <c r="G3" s="5">
        <f>LN(10^D3)</f>
        <v>3.9859355670690566</v>
      </c>
      <c r="H3" s="5">
        <f>C3+LN(EXP(-$R$7*C3)+EXP(-$R$2)-EXP((-$R$7*C3)-$R$2))*(1/$R$7)</f>
        <v>0</v>
      </c>
      <c r="I3" s="5">
        <f>$R$3+($R$7*H3)-LN(1+(((EXP($R$7*H3))-1)/EXP($R$8-$R$3)))</f>
        <v>4.7149999999999999</v>
      </c>
      <c r="J3" s="5">
        <f>LOG(EXP(I3))</f>
        <v>2.0476984821738324</v>
      </c>
      <c r="K3" s="5">
        <f t="shared" ref="K3:K18" si="0">LOG(D3/J3)/$B$21</f>
        <v>-4.5594639408260531E-3</v>
      </c>
      <c r="L3" s="5">
        <f t="shared" ref="L3:L18" si="1">ABS(LOG(J3/D3)/$B$21)</f>
        <v>4.5594639408260513E-3</v>
      </c>
      <c r="M3" s="5">
        <f t="shared" ref="M3:M18" si="2">(D3-J3)^2</f>
        <v>0.10025370844347624</v>
      </c>
      <c r="N3" s="5">
        <f>O3+M3</f>
        <v>21.768922554820428</v>
      </c>
      <c r="O3" s="6">
        <f t="shared" ref="O3:O18" si="3">(J3-$D$19)^2</f>
        <v>21.668668846376953</v>
      </c>
      <c r="P3" s="1"/>
      <c r="Q3" s="4" t="s">
        <v>26</v>
      </c>
      <c r="R3" s="6">
        <v>4.7149999999999999</v>
      </c>
      <c r="S3" s="11"/>
      <c r="T3" s="11"/>
      <c r="U3" s="5"/>
      <c r="V3" s="5"/>
      <c r="W3" s="5"/>
    </row>
    <row r="4" spans="1:23" x14ac:dyDescent="0.25">
      <c r="A4" s="1"/>
      <c r="B4" s="4"/>
      <c r="C4" s="5">
        <v>4</v>
      </c>
      <c r="D4" s="5">
        <v>4.1901056209999998</v>
      </c>
      <c r="E4" s="53">
        <v>0.21951499999999999</v>
      </c>
      <c r="F4" s="5">
        <f t="shared" ref="F4:F18" si="4">10^D4</f>
        <v>15491.933389973394</v>
      </c>
      <c r="G4" s="5">
        <f t="shared" ref="G4:G18" si="5">LN(10^D4)</f>
        <v>9.6480747409851588</v>
      </c>
      <c r="H4" s="5">
        <f t="shared" ref="H4:H18" si="6">C4+LN(EXP(-$R$7*C4)+EXP(-$R$2)-EXP((-$R$7*C4)-$R$2))*(1/$R$7)</f>
        <v>4</v>
      </c>
      <c r="I4" s="5">
        <f t="shared" ref="I4:I18" si="7">$R$3+($R$7*H4)-LN(1+(((EXP($R$7*H4))-1)/EXP($R$8-$R$3)))</f>
        <v>9.7989067345641541</v>
      </c>
      <c r="J4" s="5">
        <f t="shared" ref="J4:J18" si="8">LOG(EXP(I4))</f>
        <v>4.2556111235058243</v>
      </c>
      <c r="K4" s="5">
        <f t="shared" si="0"/>
        <v>-4.210603080148659E-4</v>
      </c>
      <c r="L4" s="5">
        <f t="shared" si="1"/>
        <v>4.2106030801486547E-4</v>
      </c>
      <c r="M4" s="5">
        <f t="shared" si="2"/>
        <v>4.290970858540571E-3</v>
      </c>
      <c r="N4" s="5">
        <f t="shared" ref="N4:N18" si="9">O4+M4</f>
        <v>5.9923402860760762</v>
      </c>
      <c r="O4" s="6">
        <f t="shared" si="3"/>
        <v>5.9880493152175358</v>
      </c>
      <c r="P4" s="1"/>
      <c r="Q4" s="4"/>
      <c r="R4" s="6"/>
      <c r="S4" s="11"/>
      <c r="T4" s="11"/>
      <c r="U4" s="5"/>
      <c r="V4" s="5"/>
      <c r="W4" s="5"/>
    </row>
    <row r="5" spans="1:23" x14ac:dyDescent="0.25">
      <c r="A5" s="1"/>
      <c r="B5" s="4"/>
      <c r="C5" s="5">
        <v>8</v>
      </c>
      <c r="D5" s="5">
        <v>6.3204368019999997</v>
      </c>
      <c r="E5" s="53">
        <v>0.70938500000000004</v>
      </c>
      <c r="F5" s="5">
        <f t="shared" si="4"/>
        <v>2091398.5472085206</v>
      </c>
      <c r="G5" s="5">
        <f t="shared" si="5"/>
        <v>14.55334356149616</v>
      </c>
      <c r="H5" s="5">
        <f t="shared" si="6"/>
        <v>8</v>
      </c>
      <c r="I5" s="5">
        <f t="shared" si="7"/>
        <v>14.867964863248982</v>
      </c>
      <c r="J5" s="5">
        <f t="shared" si="8"/>
        <v>6.4570750972404696</v>
      </c>
      <c r="K5" s="5">
        <f t="shared" si="0"/>
        <v>-5.8054651247478443E-4</v>
      </c>
      <c r="L5" s="5">
        <f t="shared" si="1"/>
        <v>5.8054651247478335E-4</v>
      </c>
      <c r="M5" s="5">
        <f t="shared" si="2"/>
        <v>1.8670023726221816E-2</v>
      </c>
      <c r="N5" s="5">
        <f t="shared" si="9"/>
        <v>7.8982079715925885E-2</v>
      </c>
      <c r="O5" s="6">
        <f t="shared" si="3"/>
        <v>6.0312055989704072E-2</v>
      </c>
      <c r="P5" s="1"/>
      <c r="Q5" s="4" t="s">
        <v>27</v>
      </c>
      <c r="R5" s="6">
        <v>0</v>
      </c>
      <c r="S5" s="11"/>
      <c r="T5" s="11"/>
      <c r="U5" s="5"/>
      <c r="V5" s="5"/>
      <c r="W5" s="11"/>
    </row>
    <row r="6" spans="1:23" x14ac:dyDescent="0.25">
      <c r="A6" s="1"/>
      <c r="B6" s="4"/>
      <c r="C6" s="5">
        <v>11</v>
      </c>
      <c r="D6" s="5">
        <v>7.28656346</v>
      </c>
      <c r="E6" s="53">
        <v>0.78587899999999999</v>
      </c>
      <c r="F6" s="5">
        <f t="shared" si="4"/>
        <v>19344765.076411255</v>
      </c>
      <c r="G6" s="5">
        <f t="shared" si="5"/>
        <v>16.777932402151116</v>
      </c>
      <c r="H6" s="5">
        <f t="shared" si="6"/>
        <v>11</v>
      </c>
      <c r="I6" s="5">
        <f t="shared" si="7"/>
        <v>18.173609889773157</v>
      </c>
      <c r="J6" s="5">
        <f t="shared" si="8"/>
        <v>7.8926984913908473</v>
      </c>
      <c r="K6" s="5">
        <f t="shared" si="0"/>
        <v>-2.168922565957953E-3</v>
      </c>
      <c r="L6" s="5">
        <f t="shared" si="1"/>
        <v>2.1689225659579543E-3</v>
      </c>
      <c r="M6" s="5">
        <f t="shared" si="2"/>
        <v>0.36739967627918352</v>
      </c>
      <c r="N6" s="5">
        <f t="shared" si="9"/>
        <v>1.7835907468448065</v>
      </c>
      <c r="O6" s="6">
        <f t="shared" si="3"/>
        <v>1.4161910705656229</v>
      </c>
      <c r="P6" s="1"/>
      <c r="Q6" s="4"/>
      <c r="R6" s="6"/>
      <c r="S6" s="11"/>
      <c r="T6" s="11"/>
      <c r="U6" s="5"/>
      <c r="V6" s="5"/>
      <c r="W6" s="11"/>
    </row>
    <row r="7" spans="1:23" x14ac:dyDescent="0.25">
      <c r="A7" s="1"/>
      <c r="B7" s="4"/>
      <c r="C7" s="5">
        <v>16</v>
      </c>
      <c r="D7" s="5">
        <v>7.8577170479999996</v>
      </c>
      <c r="E7" s="53">
        <v>0.33977000000000002</v>
      </c>
      <c r="F7" s="5">
        <f t="shared" si="4"/>
        <v>72063781.549019173</v>
      </c>
      <c r="G7" s="5">
        <f t="shared" si="5"/>
        <v>18.09306213968998</v>
      </c>
      <c r="H7" s="5">
        <f t="shared" si="6"/>
        <v>16</v>
      </c>
      <c r="I7" s="5">
        <f t="shared" si="7"/>
        <v>19.070269822793904</v>
      </c>
      <c r="J7" s="5">
        <f t="shared" si="8"/>
        <v>8.2821129524454964</v>
      </c>
      <c r="K7" s="5">
        <f t="shared" si="0"/>
        <v>-1.4277976944384119E-3</v>
      </c>
      <c r="L7" s="5">
        <f t="shared" si="1"/>
        <v>1.4277976944384141E-3</v>
      </c>
      <c r="M7" s="5">
        <f t="shared" si="2"/>
        <v>0.18011188371011125</v>
      </c>
      <c r="N7" s="5">
        <f t="shared" si="9"/>
        <v>2.6747827954298828</v>
      </c>
      <c r="O7" s="6">
        <f t="shared" si="3"/>
        <v>2.4946709117197714</v>
      </c>
      <c r="P7" s="1"/>
      <c r="Q7" s="4" t="s">
        <v>28</v>
      </c>
      <c r="R7" s="6">
        <v>1.2709999999999999</v>
      </c>
      <c r="S7" s="11">
        <f>1/R7</f>
        <v>0.78678206136900086</v>
      </c>
      <c r="T7" s="11"/>
      <c r="U7" s="5"/>
      <c r="V7" s="5"/>
      <c r="W7" s="11"/>
    </row>
    <row r="8" spans="1:23" ht="15.75" thickBot="1" x14ac:dyDescent="0.3">
      <c r="A8" s="1"/>
      <c r="B8" s="4"/>
      <c r="C8" s="5">
        <v>20</v>
      </c>
      <c r="D8" s="5">
        <v>8.3543969140000005</v>
      </c>
      <c r="E8" s="53">
        <v>0.35564200000000001</v>
      </c>
      <c r="F8" s="5">
        <f t="shared" si="4"/>
        <v>226150167.63233295</v>
      </c>
      <c r="G8" s="5">
        <f t="shared" si="5"/>
        <v>19.236709795131862</v>
      </c>
      <c r="H8" s="5">
        <f t="shared" si="6"/>
        <v>20</v>
      </c>
      <c r="I8" s="5">
        <f t="shared" si="7"/>
        <v>19.072784305628744</v>
      </c>
      <c r="J8" s="5">
        <f t="shared" si="8"/>
        <v>8.2832049784655073</v>
      </c>
      <c r="K8" s="5">
        <f t="shared" si="0"/>
        <v>2.3229349444007149E-4</v>
      </c>
      <c r="L8" s="5">
        <f t="shared" si="1"/>
        <v>2.3229349444007087E-4</v>
      </c>
      <c r="M8" s="5">
        <f t="shared" si="2"/>
        <v>5.068291685147437E-3</v>
      </c>
      <c r="N8" s="5">
        <f t="shared" si="9"/>
        <v>2.5031900028727381</v>
      </c>
      <c r="O8" s="6">
        <f t="shared" si="3"/>
        <v>2.4981217111875909</v>
      </c>
      <c r="P8" s="1"/>
      <c r="Q8" s="34" t="s">
        <v>29</v>
      </c>
      <c r="R8" s="28">
        <v>19.072800000000001</v>
      </c>
      <c r="S8" s="61" t="s">
        <v>41</v>
      </c>
      <c r="T8" s="61"/>
      <c r="U8" s="61"/>
      <c r="V8" s="11"/>
      <c r="W8" s="11"/>
    </row>
    <row r="9" spans="1:23" x14ac:dyDescent="0.25">
      <c r="A9" s="1"/>
      <c r="B9" s="4"/>
      <c r="C9" s="5">
        <v>24</v>
      </c>
      <c r="D9" s="5">
        <v>8.171361611</v>
      </c>
      <c r="E9" s="53">
        <v>0.24330399999999999</v>
      </c>
      <c r="F9" s="5">
        <f t="shared" si="4"/>
        <v>148375300.31995511</v>
      </c>
      <c r="G9" s="5">
        <f t="shared" si="5"/>
        <v>18.815255434952412</v>
      </c>
      <c r="H9" s="5">
        <f t="shared" si="6"/>
        <v>24</v>
      </c>
      <c r="I9" s="5">
        <f t="shared" si="7"/>
        <v>19.072799902771369</v>
      </c>
      <c r="J9" s="5">
        <f t="shared" si="8"/>
        <v>8.2832117522184827</v>
      </c>
      <c r="K9" s="5">
        <f t="shared" si="0"/>
        <v>-3.6902086617682879E-4</v>
      </c>
      <c r="L9" s="5">
        <f t="shared" si="1"/>
        <v>3.6902086617683221E-4</v>
      </c>
      <c r="M9" s="5">
        <f t="shared" si="2"/>
        <v>1.251045409059452E-2</v>
      </c>
      <c r="N9" s="5">
        <f t="shared" si="9"/>
        <v>2.5106535777634944</v>
      </c>
      <c r="O9" s="6">
        <f t="shared" si="3"/>
        <v>2.4981431236728997</v>
      </c>
      <c r="P9" s="1"/>
      <c r="Q9" s="1"/>
      <c r="R9" s="5"/>
      <c r="S9" s="61"/>
      <c r="T9" s="61"/>
      <c r="U9" s="61"/>
      <c r="V9" s="11"/>
      <c r="W9" s="11"/>
    </row>
    <row r="10" spans="1:23" x14ac:dyDescent="0.25">
      <c r="A10" s="1"/>
      <c r="B10" s="4"/>
      <c r="C10" s="5">
        <v>28</v>
      </c>
      <c r="D10" s="5">
        <v>8.3832013300000003</v>
      </c>
      <c r="E10" s="53">
        <v>0.38602199999999998</v>
      </c>
      <c r="F10" s="5">
        <f t="shared" si="4"/>
        <v>241658085.20549512</v>
      </c>
      <c r="G10" s="5">
        <f t="shared" si="5"/>
        <v>19.303034414025859</v>
      </c>
      <c r="H10" s="5">
        <f t="shared" si="6"/>
        <v>28</v>
      </c>
      <c r="I10" s="5">
        <f t="shared" si="7"/>
        <v>19.072799999397667</v>
      </c>
      <c r="J10" s="5">
        <f t="shared" si="8"/>
        <v>8.2832117941827512</v>
      </c>
      <c r="K10" s="5">
        <f t="shared" si="0"/>
        <v>3.2569563968885021E-4</v>
      </c>
      <c r="L10" s="5">
        <f t="shared" si="1"/>
        <v>3.2569563968884696E-4</v>
      </c>
      <c r="M10" s="5">
        <f t="shared" si="2"/>
        <v>9.997907272948945E-3</v>
      </c>
      <c r="N10" s="5">
        <f t="shared" si="9"/>
        <v>2.5081411635992277</v>
      </c>
      <c r="O10" s="6">
        <f t="shared" si="3"/>
        <v>2.4981432563262786</v>
      </c>
      <c r="P10" s="1"/>
      <c r="Q10" s="1"/>
      <c r="S10" s="11"/>
      <c r="T10" s="11"/>
      <c r="U10" s="11"/>
      <c r="V10" s="11"/>
      <c r="W10" s="11"/>
    </row>
    <row r="11" spans="1:23" x14ac:dyDescent="0.25">
      <c r="A11" s="1"/>
      <c r="B11" s="4"/>
      <c r="C11" s="5">
        <v>0</v>
      </c>
      <c r="D11" s="5">
        <v>1.920310309</v>
      </c>
      <c r="E11" s="53">
        <v>0.21542500000000001</v>
      </c>
      <c r="F11" s="5">
        <f t="shared" si="4"/>
        <v>83.235828939845916</v>
      </c>
      <c r="G11" s="5">
        <f t="shared" si="5"/>
        <v>4.4216778914261896</v>
      </c>
      <c r="H11" s="5">
        <f t="shared" si="6"/>
        <v>0</v>
      </c>
      <c r="I11" s="5">
        <f t="shared" si="7"/>
        <v>4.7149999999999999</v>
      </c>
      <c r="J11" s="5">
        <f t="shared" si="8"/>
        <v>2.0476984821738324</v>
      </c>
      <c r="K11" s="5">
        <f t="shared" si="0"/>
        <v>-1.743412186518021E-3</v>
      </c>
      <c r="L11" s="5">
        <f t="shared" si="1"/>
        <v>1.7434121865180239E-3</v>
      </c>
      <c r="M11" s="5">
        <f t="shared" si="2"/>
        <v>1.6227746664566323E-2</v>
      </c>
      <c r="N11" s="5">
        <f t="shared" si="9"/>
        <v>21.684896593041518</v>
      </c>
      <c r="O11" s="6">
        <f t="shared" si="3"/>
        <v>21.668668846376953</v>
      </c>
      <c r="P11" s="1"/>
      <c r="Q11" s="1"/>
      <c r="S11" s="11"/>
      <c r="T11" s="11"/>
      <c r="U11" s="11"/>
      <c r="V11" s="11"/>
      <c r="W11" s="11"/>
    </row>
    <row r="12" spans="1:23" x14ac:dyDescent="0.25">
      <c r="A12" s="1"/>
      <c r="B12" s="4"/>
      <c r="C12" s="5">
        <v>4</v>
      </c>
      <c r="D12" s="5">
        <v>5.0393371340000002</v>
      </c>
      <c r="E12" s="53">
        <v>9.5812999999999995E-2</v>
      </c>
      <c r="F12" s="5">
        <f t="shared" si="4"/>
        <v>109480.59121167415</v>
      </c>
      <c r="G12" s="5">
        <f t="shared" si="5"/>
        <v>11.60350256331974</v>
      </c>
      <c r="H12" s="5">
        <f t="shared" si="6"/>
        <v>4</v>
      </c>
      <c r="I12" s="5">
        <f t="shared" si="7"/>
        <v>9.7989067345641541</v>
      </c>
      <c r="J12" s="5">
        <f t="shared" si="8"/>
        <v>4.2556111235058243</v>
      </c>
      <c r="K12" s="5">
        <f t="shared" si="0"/>
        <v>4.5882174020459394E-3</v>
      </c>
      <c r="L12" s="5">
        <f t="shared" si="1"/>
        <v>4.5882174020459385E-3</v>
      </c>
      <c r="M12" s="5">
        <f t="shared" si="2"/>
        <v>0.61422645952511712</v>
      </c>
      <c r="N12" s="5">
        <f t="shared" si="9"/>
        <v>6.6022757747426528</v>
      </c>
      <c r="O12" s="6">
        <f t="shared" si="3"/>
        <v>5.9880493152175358</v>
      </c>
      <c r="P12" s="1"/>
      <c r="Q12" s="1"/>
      <c r="S12" s="11"/>
      <c r="T12" s="11"/>
      <c r="U12" s="11"/>
      <c r="V12" s="11"/>
      <c r="W12" s="11"/>
    </row>
    <row r="13" spans="1:23" x14ac:dyDescent="0.25">
      <c r="A13" s="1"/>
      <c r="B13" s="4"/>
      <c r="C13" s="5">
        <v>8</v>
      </c>
      <c r="D13" s="5">
        <v>6.6355336070000002</v>
      </c>
      <c r="E13" s="53">
        <v>0.42135699999999998</v>
      </c>
      <c r="F13" s="5">
        <f t="shared" si="4"/>
        <v>4320495.9960891744</v>
      </c>
      <c r="G13" s="5">
        <f t="shared" si="5"/>
        <v>15.278880767539212</v>
      </c>
      <c r="H13" s="5">
        <f t="shared" si="6"/>
        <v>8</v>
      </c>
      <c r="I13" s="5">
        <f t="shared" si="7"/>
        <v>14.867964863248982</v>
      </c>
      <c r="J13" s="5">
        <f t="shared" si="8"/>
        <v>6.4570750972404696</v>
      </c>
      <c r="K13" s="5">
        <f t="shared" si="0"/>
        <v>7.4000098181154525E-4</v>
      </c>
      <c r="L13" s="5">
        <f t="shared" si="1"/>
        <v>7.4000098181154568E-4</v>
      </c>
      <c r="M13" s="5">
        <f t="shared" si="2"/>
        <v>3.1847439705592478E-2</v>
      </c>
      <c r="N13" s="5">
        <f t="shared" si="9"/>
        <v>9.215949569529655E-2</v>
      </c>
      <c r="O13" s="6">
        <f t="shared" si="3"/>
        <v>6.0312055989704072E-2</v>
      </c>
      <c r="P13" s="1"/>
      <c r="Q13" s="1"/>
      <c r="S13" s="11"/>
      <c r="T13" s="11"/>
      <c r="U13" s="11"/>
      <c r="V13" s="11"/>
      <c r="W13" s="11"/>
    </row>
    <row r="14" spans="1:23" x14ac:dyDescent="0.25">
      <c r="A14" s="1"/>
      <c r="B14" s="4"/>
      <c r="C14" s="5">
        <v>11</v>
      </c>
      <c r="D14" s="5">
        <v>7.6769544720000003</v>
      </c>
      <c r="E14" s="53">
        <v>0.41533399999999998</v>
      </c>
      <c r="F14" s="5">
        <f t="shared" si="4"/>
        <v>47528539.816748597</v>
      </c>
      <c r="G14" s="5">
        <f t="shared" si="5"/>
        <v>17.676840926821178</v>
      </c>
      <c r="H14" s="5">
        <f t="shared" si="6"/>
        <v>11</v>
      </c>
      <c r="I14" s="5">
        <f t="shared" si="7"/>
        <v>18.173609889773157</v>
      </c>
      <c r="J14" s="5">
        <f t="shared" si="8"/>
        <v>7.8926984913908473</v>
      </c>
      <c r="K14" s="5">
        <f t="shared" si="0"/>
        <v>-7.5228422610728164E-4</v>
      </c>
      <c r="L14" s="5">
        <f t="shared" si="1"/>
        <v>7.522842261072824E-4</v>
      </c>
      <c r="M14" s="5">
        <f t="shared" si="2"/>
        <v>4.6545481902918205E-2</v>
      </c>
      <c r="N14" s="5">
        <f t="shared" si="9"/>
        <v>1.4627365524685412</v>
      </c>
      <c r="O14" s="6">
        <f t="shared" si="3"/>
        <v>1.4161910705656229</v>
      </c>
      <c r="P14" s="1"/>
      <c r="Q14" s="1"/>
      <c r="S14" s="11"/>
      <c r="T14" s="11"/>
      <c r="U14" s="11"/>
      <c r="V14" s="11"/>
      <c r="W14" s="11"/>
    </row>
    <row r="15" spans="1:23" x14ac:dyDescent="0.25">
      <c r="A15" s="1"/>
      <c r="B15" s="4"/>
      <c r="C15" s="5">
        <v>16</v>
      </c>
      <c r="D15" s="5">
        <v>8.4118837370000001</v>
      </c>
      <c r="E15" s="53">
        <v>0.41879699999999997</v>
      </c>
      <c r="F15" s="5">
        <f t="shared" si="4"/>
        <v>258156899.80286703</v>
      </c>
      <c r="G15" s="5">
        <f t="shared" si="5"/>
        <v>19.369078096815247</v>
      </c>
      <c r="H15" s="5">
        <f t="shared" si="6"/>
        <v>16</v>
      </c>
      <c r="I15" s="5">
        <f t="shared" si="7"/>
        <v>19.070269822793904</v>
      </c>
      <c r="J15" s="5">
        <f t="shared" si="8"/>
        <v>8.2821129524454964</v>
      </c>
      <c r="K15" s="5">
        <f t="shared" si="0"/>
        <v>4.2200702396216316E-4</v>
      </c>
      <c r="L15" s="5">
        <f t="shared" si="1"/>
        <v>4.220070239621656E-4</v>
      </c>
      <c r="M15" s="5">
        <f t="shared" si="2"/>
        <v>1.684045652389143E-2</v>
      </c>
      <c r="N15" s="5">
        <f t="shared" si="9"/>
        <v>2.5115113682436627</v>
      </c>
      <c r="O15" s="6">
        <f t="shared" si="3"/>
        <v>2.4946709117197714</v>
      </c>
      <c r="P15" s="1"/>
      <c r="Q15" s="1"/>
      <c r="S15" s="11"/>
      <c r="T15" s="11"/>
      <c r="U15" s="11"/>
      <c r="V15" s="11"/>
      <c r="W15" s="11"/>
    </row>
    <row r="16" spans="1:23" x14ac:dyDescent="0.25">
      <c r="A16" s="1"/>
      <c r="B16" s="4"/>
      <c r="C16" s="5">
        <v>20</v>
      </c>
      <c r="D16" s="5">
        <v>8.5223674729999992</v>
      </c>
      <c r="E16" s="53">
        <v>0.21551500000000001</v>
      </c>
      <c r="F16" s="5">
        <f t="shared" si="4"/>
        <v>332941148.25111097</v>
      </c>
      <c r="G16" s="5">
        <f t="shared" si="5"/>
        <v>19.623476300347136</v>
      </c>
      <c r="H16" s="5">
        <f t="shared" si="6"/>
        <v>20</v>
      </c>
      <c r="I16" s="5">
        <f t="shared" si="7"/>
        <v>19.072784305628744</v>
      </c>
      <c r="J16" s="5">
        <f t="shared" si="8"/>
        <v>8.2832049784655073</v>
      </c>
      <c r="K16" s="5">
        <f t="shared" si="0"/>
        <v>7.726154874062673E-4</v>
      </c>
      <c r="L16" s="5">
        <f t="shared" si="1"/>
        <v>7.7261548740626947E-4</v>
      </c>
      <c r="M16" s="5">
        <f t="shared" si="2"/>
        <v>5.7198698791960864E-2</v>
      </c>
      <c r="N16" s="5">
        <f t="shared" si="9"/>
        <v>2.5553204099795517</v>
      </c>
      <c r="O16" s="6">
        <f t="shared" si="3"/>
        <v>2.4981217111875909</v>
      </c>
      <c r="P16" s="1"/>
      <c r="Q16" s="1"/>
      <c r="S16" s="11"/>
      <c r="T16" s="11"/>
      <c r="U16" s="11"/>
      <c r="V16" s="11"/>
      <c r="W16" s="11"/>
    </row>
    <row r="17" spans="1:23" x14ac:dyDescent="0.25">
      <c r="A17" s="1"/>
      <c r="B17" s="4"/>
      <c r="C17" s="5">
        <v>24</v>
      </c>
      <c r="D17" s="5">
        <v>8.3119982239999999</v>
      </c>
      <c r="E17" s="53">
        <v>0.19914499999999999</v>
      </c>
      <c r="F17" s="5">
        <f t="shared" si="4"/>
        <v>205115379.08383116</v>
      </c>
      <c r="G17" s="5">
        <f t="shared" si="5"/>
        <v>19.139083203575385</v>
      </c>
      <c r="H17" s="5">
        <f t="shared" si="6"/>
        <v>24</v>
      </c>
      <c r="I17" s="5">
        <f t="shared" si="7"/>
        <v>19.072799902771369</v>
      </c>
      <c r="J17" s="5">
        <f t="shared" si="8"/>
        <v>8.2832117522184827</v>
      </c>
      <c r="K17" s="5">
        <f t="shared" si="0"/>
        <v>9.4167371225746616E-5</v>
      </c>
      <c r="L17" s="5">
        <f t="shared" si="1"/>
        <v>9.4167371225746643E-5</v>
      </c>
      <c r="M17" s="5">
        <f t="shared" si="2"/>
        <v>8.2866095762808398E-4</v>
      </c>
      <c r="N17" s="5">
        <f t="shared" si="9"/>
        <v>2.4989717846305277</v>
      </c>
      <c r="O17" s="6">
        <f t="shared" si="3"/>
        <v>2.4981431236728997</v>
      </c>
      <c r="P17" s="1"/>
      <c r="Q17" s="1"/>
      <c r="S17" s="11"/>
      <c r="T17" s="11"/>
      <c r="U17" s="11"/>
      <c r="V17" s="11"/>
      <c r="W17" s="11"/>
    </row>
    <row r="18" spans="1:23" x14ac:dyDescent="0.25">
      <c r="A18" s="1"/>
      <c r="B18" s="4"/>
      <c r="C18" s="5">
        <v>28</v>
      </c>
      <c r="D18" s="5">
        <v>8.429326069</v>
      </c>
      <c r="E18" s="53">
        <v>0.24004</v>
      </c>
      <c r="F18" s="5">
        <f t="shared" si="4"/>
        <v>268736136.3672958</v>
      </c>
      <c r="G18" s="5">
        <f t="shared" si="5"/>
        <v>19.409240550465501</v>
      </c>
      <c r="H18" s="5">
        <f t="shared" si="6"/>
        <v>28</v>
      </c>
      <c r="I18" s="5">
        <f t="shared" si="7"/>
        <v>19.072799999397667</v>
      </c>
      <c r="J18" s="5">
        <f t="shared" si="8"/>
        <v>8.2832117941827512</v>
      </c>
      <c r="K18" s="5">
        <f t="shared" si="0"/>
        <v>4.7463048905009304E-4</v>
      </c>
      <c r="L18" s="5">
        <f t="shared" si="1"/>
        <v>4.7463048905009439E-4</v>
      </c>
      <c r="M18" s="5">
        <f t="shared" si="2"/>
        <v>2.1349381305370511E-2</v>
      </c>
      <c r="N18" s="5">
        <f t="shared" si="9"/>
        <v>2.5194926376316493</v>
      </c>
      <c r="O18" s="6">
        <f t="shared" si="3"/>
        <v>2.4981432563262786</v>
      </c>
      <c r="P18" s="1"/>
      <c r="Q18" s="1"/>
      <c r="S18" s="11"/>
      <c r="T18" s="11"/>
      <c r="U18" s="11"/>
      <c r="V18" s="11"/>
      <c r="W18" s="11"/>
    </row>
    <row r="19" spans="1:23" x14ac:dyDescent="0.25">
      <c r="A19" s="1"/>
      <c r="B19" s="4"/>
      <c r="C19" s="5"/>
      <c r="D19" s="24">
        <f>AVERAGE(D3:D18)</f>
        <v>6.7026602270625011</v>
      </c>
      <c r="E19" s="24"/>
      <c r="F19" s="5"/>
      <c r="G19" s="5"/>
      <c r="H19" s="5"/>
      <c r="I19" s="5"/>
      <c r="J19" s="5"/>
      <c r="K19" s="5">
        <f>SUM(K3:K18)</f>
        <v>-4.3728804108835242E-3</v>
      </c>
      <c r="L19" s="5">
        <f>SUM(L3:L18)</f>
        <v>1.9672136190144886E-2</v>
      </c>
      <c r="M19" s="5">
        <f>AVERAGE(M3:M18)</f>
        <v>9.3960452590204316E-2</v>
      </c>
      <c r="N19" s="5">
        <f>SUM(N3:N18)</f>
        <v>79.747967823555967</v>
      </c>
      <c r="O19" s="6">
        <f>SUM(O3:O18)</f>
        <v>78.244600582112696</v>
      </c>
      <c r="P19" s="1"/>
      <c r="Q19" s="1"/>
      <c r="S19" s="11"/>
      <c r="T19" s="11"/>
      <c r="U19" s="11"/>
      <c r="V19" s="11"/>
    </row>
    <row r="20" spans="1:23" x14ac:dyDescent="0.25">
      <c r="A20" s="1"/>
      <c r="B20" s="23"/>
      <c r="C20" s="24"/>
      <c r="D20" s="29"/>
      <c r="E20" s="29"/>
      <c r="F20" s="24"/>
      <c r="G20" s="24"/>
      <c r="H20" s="24"/>
      <c r="I20" s="24"/>
      <c r="J20" s="40" t="s">
        <v>44</v>
      </c>
      <c r="K20" s="40">
        <f>10^K19</f>
        <v>0.98998159271102326</v>
      </c>
      <c r="L20" s="40">
        <f>10^L19</f>
        <v>1.0463383330890956</v>
      </c>
      <c r="M20" s="24"/>
      <c r="N20" s="29"/>
      <c r="O20" s="25"/>
      <c r="P20" s="19"/>
      <c r="Q20" s="1"/>
      <c r="S20" s="11"/>
      <c r="T20" s="11"/>
      <c r="U20" s="11"/>
      <c r="V20" s="11"/>
    </row>
    <row r="21" spans="1:23" x14ac:dyDescent="0.25">
      <c r="A21" s="37" t="s">
        <v>35</v>
      </c>
      <c r="B21" s="36">
        <v>16</v>
      </c>
      <c r="D21" s="29"/>
      <c r="E21" s="29"/>
      <c r="F21" s="24"/>
      <c r="G21" s="24"/>
      <c r="H21" s="24"/>
      <c r="I21" s="24"/>
      <c r="J21" s="24"/>
      <c r="K21" s="24"/>
      <c r="L21" s="24"/>
      <c r="M21" s="24">
        <f>(SQRT(N19/(B21-1)))/(SQRT(B21))</f>
        <v>0.57644010900076736</v>
      </c>
      <c r="N21" s="29"/>
      <c r="O21" s="25" t="s">
        <v>37</v>
      </c>
      <c r="P21" s="19"/>
      <c r="Q21" s="1"/>
    </row>
    <row r="22" spans="1:23" x14ac:dyDescent="0.25">
      <c r="A22" s="1"/>
      <c r="B22" s="23"/>
      <c r="C22" s="24"/>
      <c r="D22" s="29"/>
      <c r="E22" s="29"/>
      <c r="F22" s="24"/>
      <c r="G22" s="24"/>
      <c r="H22" s="24"/>
      <c r="I22" s="24"/>
      <c r="J22" s="24"/>
      <c r="K22" s="24"/>
      <c r="L22" s="24"/>
      <c r="M22" s="24">
        <f>O19/N19</f>
        <v>0.98114851973696049</v>
      </c>
      <c r="N22" s="29"/>
      <c r="O22" s="25" t="s">
        <v>22</v>
      </c>
      <c r="P22" s="18"/>
      <c r="Q22" s="1"/>
      <c r="R22" s="5"/>
    </row>
    <row r="23" spans="1:23" x14ac:dyDescent="0.25">
      <c r="A23" s="1"/>
      <c r="B23" s="23"/>
      <c r="C23" s="24"/>
      <c r="D23" s="29"/>
      <c r="E23" s="29"/>
      <c r="F23" s="24"/>
      <c r="G23" s="24"/>
      <c r="H23" s="24"/>
      <c r="I23" s="24"/>
      <c r="J23" s="24"/>
      <c r="K23" s="24"/>
      <c r="L23" s="24"/>
      <c r="M23" s="24">
        <f>M19*100/D19</f>
        <v>1.4018382165760368</v>
      </c>
      <c r="N23" s="29"/>
      <c r="O23" s="6" t="s">
        <v>40</v>
      </c>
      <c r="P23" s="18"/>
      <c r="Q23" s="1"/>
    </row>
    <row r="24" spans="1:23" ht="15.75" thickBot="1" x14ac:dyDescent="0.3">
      <c r="A24" s="1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>
        <f>SQRT(M19)</f>
        <v>0.30652969283611714</v>
      </c>
      <c r="N24" s="27"/>
      <c r="O24" s="28" t="s">
        <v>18</v>
      </c>
      <c r="P24" s="18"/>
      <c r="Q24" s="1"/>
    </row>
    <row r="25" spans="1:23" x14ac:dyDescent="0.25">
      <c r="A25" s="1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18"/>
      <c r="Q25" s="1"/>
    </row>
    <row r="26" spans="1:23" x14ac:dyDescent="0.25">
      <c r="A26" s="1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18"/>
      <c r="Q26" s="1"/>
    </row>
    <row r="27" spans="1:23" x14ac:dyDescent="0.25">
      <c r="A27" s="1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18"/>
      <c r="Q27" s="1"/>
    </row>
    <row r="28" spans="1:23" x14ac:dyDescent="0.25">
      <c r="A28" s="1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18"/>
      <c r="Q28" s="1"/>
    </row>
    <row r="29" spans="1:23" x14ac:dyDescent="0.25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8"/>
      <c r="Q29" s="1"/>
    </row>
    <row r="30" spans="1:23" x14ac:dyDescent="0.25">
      <c r="A30" s="1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18"/>
      <c r="Q30" s="1"/>
    </row>
    <row r="31" spans="1:23" x14ac:dyDescent="0.25">
      <c r="A31" s="1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18"/>
      <c r="Q31" s="1"/>
    </row>
    <row r="32" spans="1:23" x14ac:dyDescent="0.25">
      <c r="A32" s="1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18"/>
      <c r="Q32" s="1"/>
    </row>
    <row r="33" spans="1:23" x14ac:dyDescent="0.25">
      <c r="A33" s="1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18"/>
      <c r="Q33" s="1"/>
    </row>
    <row r="34" spans="1:23" x14ac:dyDescent="0.25">
      <c r="A34" s="1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8"/>
      <c r="Q34" s="1"/>
    </row>
    <row r="35" spans="1:23" x14ac:dyDescent="0.25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8"/>
      <c r="Q35" s="1"/>
    </row>
    <row r="36" spans="1:23" x14ac:dyDescent="0.25">
      <c r="A36" s="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8"/>
      <c r="Q36" s="1"/>
    </row>
    <row r="37" spans="1:23" x14ac:dyDescent="0.25">
      <c r="A37" s="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18"/>
      <c r="Q37" s="1"/>
    </row>
    <row r="38" spans="1:23" x14ac:dyDescent="0.25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18"/>
      <c r="Q38" s="1"/>
    </row>
    <row r="39" spans="1:23" x14ac:dyDescent="0.25">
      <c r="A39" s="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8"/>
      <c r="Q39" s="1"/>
    </row>
    <row r="40" spans="1:23" x14ac:dyDescent="0.25">
      <c r="A40" s="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8"/>
      <c r="Q40" s="1"/>
    </row>
    <row r="41" spans="1:23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U41" s="19"/>
      <c r="V41" s="19"/>
      <c r="W41" s="19"/>
    </row>
    <row r="42" spans="1:23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3" x14ac:dyDescent="0.25">
      <c r="A43" s="1"/>
      <c r="B43" s="21" t="s">
        <v>58</v>
      </c>
      <c r="C43" s="2" t="s">
        <v>1</v>
      </c>
      <c r="D43" s="2" t="s">
        <v>2</v>
      </c>
      <c r="E43" s="2"/>
      <c r="F43" s="2" t="s">
        <v>7</v>
      </c>
      <c r="G43" s="2" t="s">
        <v>32</v>
      </c>
      <c r="H43" s="2" t="s">
        <v>25</v>
      </c>
      <c r="I43" s="2" t="s">
        <v>5</v>
      </c>
      <c r="J43" s="2" t="s">
        <v>17</v>
      </c>
      <c r="K43" s="2" t="s">
        <v>39</v>
      </c>
      <c r="L43" s="2" t="s">
        <v>38</v>
      </c>
      <c r="M43" s="2" t="s">
        <v>36</v>
      </c>
      <c r="N43" s="2" t="s">
        <v>21</v>
      </c>
      <c r="O43" s="3" t="s">
        <v>20</v>
      </c>
      <c r="P43" s="1"/>
      <c r="Q43" s="32" t="s">
        <v>30</v>
      </c>
      <c r="R43" s="33">
        <f>R46*R48</f>
        <v>0</v>
      </c>
      <c r="S43" s="11"/>
      <c r="U43" s="5"/>
      <c r="V43" s="5"/>
    </row>
    <row r="44" spans="1:23" x14ac:dyDescent="0.25">
      <c r="A44" s="1"/>
      <c r="B44" s="4"/>
      <c r="C44" s="5">
        <v>0</v>
      </c>
      <c r="D44" s="5">
        <v>2.0523787539999998</v>
      </c>
      <c r="E44" s="5">
        <v>9.7292000000000003E-2</v>
      </c>
      <c r="F44" s="5">
        <f>10^D44</f>
        <v>112.81809288723814</v>
      </c>
      <c r="G44" s="5">
        <f>LN(10^D44)</f>
        <v>4.7257767241380932</v>
      </c>
      <c r="H44" s="5">
        <f>C44+LN(EXP(-$R$48*C44)+EXP(-$R$43)-EXP((-$R$48*C44)-$R$43))*(1/$R$48)</f>
        <v>0</v>
      </c>
      <c r="I44" s="5">
        <f>$R$44+($R$48*H44)-LN(1+(((EXP($R$48*H44))-1)/EXP($R$49-$R$44)))</f>
        <v>4.6950000000000003</v>
      </c>
      <c r="J44" s="5">
        <f>LOG(EXP(I44))</f>
        <v>2.0390125925357676</v>
      </c>
      <c r="K44" s="5">
        <f>LOG(D44/J44)/$B$21</f>
        <v>1.7735014594096797E-4</v>
      </c>
      <c r="L44" s="5">
        <f>ABS(LOG(J44/D44)/$B$21)</f>
        <v>1.7735014594096607E-4</v>
      </c>
      <c r="M44" s="5">
        <f>(D44-J44)^2</f>
        <v>1.7865427228792576E-4</v>
      </c>
      <c r="N44" s="5">
        <f>O44+M44</f>
        <v>58.077436892847217</v>
      </c>
      <c r="O44" s="6">
        <f>(I44-$G$62)^2</f>
        <v>58.077258238574927</v>
      </c>
      <c r="P44" s="1"/>
      <c r="Q44" s="4" t="s">
        <v>26</v>
      </c>
      <c r="R44" s="6">
        <v>4.6950000000000003</v>
      </c>
      <c r="S44" s="11"/>
      <c r="T44" s="11"/>
      <c r="U44" s="5"/>
      <c r="V44" s="5"/>
    </row>
    <row r="45" spans="1:23" x14ac:dyDescent="0.25">
      <c r="A45" s="1"/>
      <c r="B45" s="4"/>
      <c r="C45" s="5">
        <v>6</v>
      </c>
      <c r="D45" s="5">
        <v>4.7719247730000003</v>
      </c>
      <c r="E45" s="5">
        <v>0.19089700000000001</v>
      </c>
      <c r="F45" s="5">
        <f t="shared" ref="F45:F61" si="10">10^D45</f>
        <v>59145.917477306379</v>
      </c>
      <c r="G45" s="5">
        <f t="shared" ref="G45:G61" si="11">LN(10^D45)</f>
        <v>10.987762847198796</v>
      </c>
      <c r="H45" s="5">
        <f>C45+LN(EXP(-$R$48*C45)+EXP(-$R$43)-EXP((-$R$48*C45)-$R$43))*(1/$R$48)</f>
        <v>6</v>
      </c>
      <c r="I45" s="5">
        <f>$R$44+($R$48*H45)-LN(1+(((EXP($R$48*H45))-1)/EXP($R$49-$R$44)))</f>
        <v>11.189263017814573</v>
      </c>
      <c r="J45" s="5">
        <f t="shared" ref="J45:J61" si="12">LOG(EXP(I45))</f>
        <v>4.8594351852009963</v>
      </c>
      <c r="K45" s="5">
        <f t="shared" ref="K45:K51" si="13">LOG(D45/J45)/$B$21</f>
        <v>-4.9326283085903864E-4</v>
      </c>
      <c r="L45" s="5">
        <f t="shared" ref="L45:L51" si="14">ABS(LOG(J45/D45)/$B$21)</f>
        <v>4.9326283085903951E-4</v>
      </c>
      <c r="M45" s="5">
        <f t="shared" ref="M44:M51" si="15">(D45-J45)^2</f>
        <v>7.6580722435882261E-3</v>
      </c>
      <c r="N45" s="5">
        <f t="shared" ref="N44:N51" si="16">O45+M45</f>
        <v>1.2768420375302028</v>
      </c>
      <c r="O45" s="6">
        <f t="shared" ref="O45:O61" si="17">(I45-$G$62)^2</f>
        <v>1.2691839652866146</v>
      </c>
      <c r="P45" s="1"/>
      <c r="Q45" s="4"/>
      <c r="R45" s="25"/>
      <c r="S45" s="11"/>
      <c r="T45" s="11"/>
      <c r="U45" s="5"/>
      <c r="V45" s="5"/>
    </row>
    <row r="46" spans="1:23" x14ac:dyDescent="0.25">
      <c r="A46" s="1"/>
      <c r="B46" s="4"/>
      <c r="C46" s="5">
        <v>12</v>
      </c>
      <c r="D46" s="5">
        <v>5.2638557449999999</v>
      </c>
      <c r="E46" s="5">
        <v>0.14196900000000001</v>
      </c>
      <c r="F46" s="5">
        <f t="shared" si="10"/>
        <v>183592.84211523287</v>
      </c>
      <c r="G46" s="5">
        <f t="shared" si="11"/>
        <v>12.120475770108067</v>
      </c>
      <c r="H46" s="5">
        <f t="shared" ref="H46:H61" si="18">C46+LN(EXP(-$R$48*C46)+EXP(-$R$43)-EXP((-$R$48*C46)-$R$43))*(1/$R$48)</f>
        <v>12</v>
      </c>
      <c r="I46" s="5">
        <f t="shared" ref="I46:I61" si="19">$R$44+($R$48*H46)-LN(1+(((EXP($R$48*H46))-1)/EXP($R$49-$R$44)))</f>
        <v>14.412270410913202</v>
      </c>
      <c r="J46" s="5">
        <f t="shared" si="12"/>
        <v>6.2591695111571148</v>
      </c>
      <c r="K46" s="5">
        <f t="shared" si="13"/>
        <v>-4.7007958931281138E-3</v>
      </c>
      <c r="L46" s="5">
        <f t="shared" si="14"/>
        <v>4.7007958931281121E-3</v>
      </c>
      <c r="M46" s="5">
        <f t="shared" si="15"/>
        <v>0.99064949310186012</v>
      </c>
      <c r="N46" s="5">
        <f t="shared" si="16"/>
        <v>5.38565457421931</v>
      </c>
      <c r="O46" s="6">
        <f t="shared" si="17"/>
        <v>4.3950050811174499</v>
      </c>
      <c r="P46" s="1"/>
      <c r="Q46" s="4" t="s">
        <v>27</v>
      </c>
      <c r="R46" s="25">
        <v>0</v>
      </c>
      <c r="S46" s="11"/>
      <c r="T46" s="11"/>
      <c r="U46" s="5"/>
      <c r="V46" s="5"/>
    </row>
    <row r="47" spans="1:23" x14ac:dyDescent="0.25">
      <c r="A47" s="1"/>
      <c r="B47" s="4"/>
      <c r="C47" s="5">
        <v>18</v>
      </c>
      <c r="D47" s="5">
        <v>5.8333349969999997</v>
      </c>
      <c r="E47" s="5">
        <v>0.38352199999999997</v>
      </c>
      <c r="F47" s="5">
        <f t="shared" si="10"/>
        <v>681294.6789116991</v>
      </c>
      <c r="G47" s="5">
        <f t="shared" si="11"/>
        <v>13.431750206532667</v>
      </c>
      <c r="H47" s="5">
        <f t="shared" si="18"/>
        <v>18</v>
      </c>
      <c r="I47" s="5">
        <f t="shared" si="19"/>
        <v>14.44794710938088</v>
      </c>
      <c r="J47" s="5">
        <f t="shared" si="12"/>
        <v>6.274663704434154</v>
      </c>
      <c r="K47" s="5">
        <f t="shared" si="13"/>
        <v>-1.9795960370645278E-3</v>
      </c>
      <c r="L47" s="5">
        <f t="shared" si="14"/>
        <v>1.9795960370645274E-3</v>
      </c>
      <c r="M47" s="5">
        <f t="shared" si="15"/>
        <v>0.19477102800550136</v>
      </c>
      <c r="N47" s="5">
        <f t="shared" si="16"/>
        <v>4.7406361053455282</v>
      </c>
      <c r="O47" s="6">
        <f t="shared" si="17"/>
        <v>4.5458650773400269</v>
      </c>
      <c r="P47" s="1"/>
      <c r="Q47" s="4"/>
      <c r="R47" s="25"/>
      <c r="S47" s="11"/>
      <c r="T47" s="11"/>
      <c r="U47" s="5"/>
      <c r="V47" s="5"/>
    </row>
    <row r="48" spans="1:23" x14ac:dyDescent="0.25">
      <c r="A48" s="1"/>
      <c r="B48" s="4"/>
      <c r="C48" s="5">
        <v>24</v>
      </c>
      <c r="D48" s="5">
        <v>6.1995849749999996</v>
      </c>
      <c r="E48" s="5">
        <v>0.29651</v>
      </c>
      <c r="F48" s="5">
        <f t="shared" si="10"/>
        <v>1583379.3438352402</v>
      </c>
      <c r="G48" s="5">
        <f t="shared" si="11"/>
        <v>14.275071946184864</v>
      </c>
      <c r="H48" s="5">
        <f t="shared" si="18"/>
        <v>24</v>
      </c>
      <c r="I48" s="5">
        <f t="shared" si="19"/>
        <v>14.447999923092173</v>
      </c>
      <c r="J48" s="5">
        <f t="shared" si="12"/>
        <v>6.2746866411375377</v>
      </c>
      <c r="K48" s="5">
        <f t="shared" si="13"/>
        <v>-3.2683905596653744E-4</v>
      </c>
      <c r="L48" s="5">
        <f t="shared" si="14"/>
        <v>3.2683905596653804E-4</v>
      </c>
      <c r="M48" s="5">
        <f t="shared" si="15"/>
        <v>5.6402602566342375E-3</v>
      </c>
      <c r="N48" s="5">
        <f t="shared" si="16"/>
        <v>4.5517305489769626</v>
      </c>
      <c r="O48" s="6">
        <f t="shared" si="17"/>
        <v>4.5460902887203281</v>
      </c>
      <c r="P48" s="1"/>
      <c r="Q48" s="4" t="s">
        <v>28</v>
      </c>
      <c r="R48" s="25">
        <v>1.0889</v>
      </c>
      <c r="S48" s="11"/>
      <c r="T48" s="11"/>
      <c r="U48" s="5"/>
      <c r="V48" s="5"/>
    </row>
    <row r="49" spans="1:22" ht="15.75" customHeight="1" thickBot="1" x14ac:dyDescent="0.3">
      <c r="A49" s="1"/>
      <c r="B49" s="4"/>
      <c r="C49" s="5">
        <v>30</v>
      </c>
      <c r="D49" s="5">
        <v>6.012722793</v>
      </c>
      <c r="E49" s="5">
        <v>0.42579099999999998</v>
      </c>
      <c r="F49" s="5">
        <f t="shared" si="10"/>
        <v>1029728.6423507631</v>
      </c>
      <c r="G49" s="5">
        <f t="shared" si="11"/>
        <v>13.844805871467324</v>
      </c>
      <c r="H49" s="5">
        <f t="shared" si="18"/>
        <v>30</v>
      </c>
      <c r="I49" s="5">
        <f t="shared" si="19"/>
        <v>14.447999999888172</v>
      </c>
      <c r="J49" s="5">
        <f t="shared" si="12"/>
        <v>6.2746866744896161</v>
      </c>
      <c r="K49" s="5">
        <f t="shared" si="13"/>
        <v>-1.1575539008990897E-3</v>
      </c>
      <c r="L49" s="5">
        <f t="shared" si="14"/>
        <v>1.157553900899091E-3</v>
      </c>
      <c r="M49" s="5">
        <f t="shared" si="15"/>
        <v>6.8625075205105648E-2</v>
      </c>
      <c r="N49" s="5">
        <f t="shared" si="16"/>
        <v>4.6147156914075786</v>
      </c>
      <c r="O49" s="6">
        <f t="shared" si="17"/>
        <v>4.5460906162024726</v>
      </c>
      <c r="P49" s="1"/>
      <c r="Q49" s="34" t="s">
        <v>29</v>
      </c>
      <c r="R49" s="28">
        <v>14.448</v>
      </c>
      <c r="S49" s="61" t="s">
        <v>31</v>
      </c>
      <c r="T49" s="61"/>
      <c r="U49" s="61"/>
      <c r="V49" s="11"/>
    </row>
    <row r="50" spans="1:22" x14ac:dyDescent="0.25">
      <c r="A50" s="1"/>
      <c r="B50" s="4"/>
      <c r="C50" s="5">
        <v>36</v>
      </c>
      <c r="D50" s="5">
        <v>6.2475402979999997</v>
      </c>
      <c r="E50" s="5">
        <v>0.29510399999999998</v>
      </c>
      <c r="F50" s="5">
        <f t="shared" si="10"/>
        <v>1768236.2840140453</v>
      </c>
      <c r="G50" s="5">
        <f t="shared" si="11"/>
        <v>14.385493158054379</v>
      </c>
      <c r="H50" s="5">
        <f t="shared" si="18"/>
        <v>36</v>
      </c>
      <c r="I50" s="5">
        <f t="shared" si="19"/>
        <v>14.447999999999837</v>
      </c>
      <c r="J50" s="5">
        <f t="shared" si="12"/>
        <v>6.2746866745381116</v>
      </c>
      <c r="K50" s="5">
        <f t="shared" si="13"/>
        <v>-1.1768613550871206E-4</v>
      </c>
      <c r="L50" s="5">
        <f t="shared" si="14"/>
        <v>1.1768613550870862E-4</v>
      </c>
      <c r="M50" s="5">
        <f t="shared" si="15"/>
        <v>7.3692575914895305E-4</v>
      </c>
      <c r="N50" s="5">
        <f t="shared" si="16"/>
        <v>4.5468275424377982</v>
      </c>
      <c r="O50" s="6">
        <f t="shared" si="17"/>
        <v>4.546090616678649</v>
      </c>
      <c r="P50" s="1"/>
      <c r="Q50" s="1"/>
      <c r="R50" s="5"/>
      <c r="S50" s="61"/>
      <c r="T50" s="61"/>
      <c r="U50" s="61"/>
    </row>
    <row r="51" spans="1:22" x14ac:dyDescent="0.25">
      <c r="A51" s="1"/>
      <c r="B51" s="4"/>
      <c r="C51" s="5">
        <v>42</v>
      </c>
      <c r="D51" s="5">
        <v>6.4082812310000001</v>
      </c>
      <c r="E51" s="5">
        <v>0.30677300000000002</v>
      </c>
      <c r="F51" s="5">
        <f t="shared" si="10"/>
        <v>2560243.2570181591</v>
      </c>
      <c r="G51" s="5">
        <f t="shared" si="11"/>
        <v>14.755612834214133</v>
      </c>
      <c r="H51" s="5">
        <f t="shared" si="18"/>
        <v>42</v>
      </c>
      <c r="I51" s="5">
        <f t="shared" si="19"/>
        <v>14.448</v>
      </c>
      <c r="J51" s="5">
        <f t="shared" si="12"/>
        <v>6.2746866745381826</v>
      </c>
      <c r="K51" s="5">
        <f t="shared" si="13"/>
        <v>5.7184490501709681E-4</v>
      </c>
      <c r="L51" s="5">
        <f t="shared" si="14"/>
        <v>5.7184490501709486E-4</v>
      </c>
      <c r="M51" s="5">
        <f t="shared" si="15"/>
        <v>1.7847505516229746E-2</v>
      </c>
      <c r="N51" s="5">
        <f t="shared" si="16"/>
        <v>4.5639381221955748</v>
      </c>
      <c r="O51" s="6">
        <f t="shared" si="17"/>
        <v>4.5460906166793453</v>
      </c>
      <c r="P51" s="1"/>
      <c r="Q51" s="1"/>
      <c r="S51" s="11"/>
      <c r="T51" s="11"/>
      <c r="U51" s="11"/>
    </row>
    <row r="52" spans="1:22" x14ac:dyDescent="0.25">
      <c r="A52" s="1"/>
      <c r="B52" s="4"/>
      <c r="C52" s="5">
        <v>48</v>
      </c>
      <c r="D52" s="5">
        <v>6.7704433679999996</v>
      </c>
      <c r="E52" s="5">
        <v>0.18940699999999999</v>
      </c>
      <c r="F52" s="5">
        <f t="shared" si="10"/>
        <v>5894451.0841222508</v>
      </c>
      <c r="G52" s="5">
        <f t="shared" si="11"/>
        <v>15.5895219721172</v>
      </c>
      <c r="H52" s="5">
        <f t="shared" si="18"/>
        <v>48</v>
      </c>
      <c r="I52" s="5">
        <f t="shared" si="19"/>
        <v>14.448</v>
      </c>
      <c r="J52" s="5">
        <f t="shared" si="12"/>
        <v>6.2746866745381826</v>
      </c>
      <c r="K52" s="5">
        <f t="shared" ref="K52:K61" si="20">LOG(D52/J52)/$B$21</f>
        <v>2.0640665921504895E-3</v>
      </c>
      <c r="L52" s="5">
        <f t="shared" ref="L52:L61" si="21">ABS(LOG(J52/D52)/$B$21)</f>
        <v>2.0640665921504912E-3</v>
      </c>
      <c r="M52" s="5">
        <f t="shared" ref="M52:M61" si="22">(D52-J52)^2</f>
        <v>0.24577469911219393</v>
      </c>
      <c r="N52" s="5">
        <f t="shared" ref="N52:N61" si="23">O52+M52</f>
        <v>4.7918653157915392</v>
      </c>
      <c r="O52" s="6">
        <f t="shared" si="17"/>
        <v>4.5460906166793453</v>
      </c>
      <c r="P52" s="1"/>
      <c r="Q52" s="1"/>
      <c r="S52" s="11"/>
      <c r="T52" s="11"/>
      <c r="U52" s="11"/>
    </row>
    <row r="53" spans="1:22" x14ac:dyDescent="0.25">
      <c r="A53" s="1"/>
      <c r="B53" s="4"/>
      <c r="C53" s="5">
        <v>0</v>
      </c>
      <c r="D53" s="5">
        <v>2.003103844</v>
      </c>
      <c r="E53" s="5">
        <v>0.18285899999999999</v>
      </c>
      <c r="F53" s="5">
        <f t="shared" si="10"/>
        <v>100.7172464714249</v>
      </c>
      <c r="G53" s="5">
        <f t="shared" si="11"/>
        <v>4.6123170509134708</v>
      </c>
      <c r="H53" s="5">
        <f t="shared" si="18"/>
        <v>0</v>
      </c>
      <c r="I53" s="5">
        <f t="shared" si="19"/>
        <v>4.6950000000000003</v>
      </c>
      <c r="J53" s="5">
        <f t="shared" si="12"/>
        <v>2.0390125925357676</v>
      </c>
      <c r="K53" s="5">
        <f t="shared" si="20"/>
        <v>-4.8227772050821156E-4</v>
      </c>
      <c r="L53" s="5">
        <f t="shared" si="21"/>
        <v>4.8227772050821345E-4</v>
      </c>
      <c r="M53" s="5">
        <f t="shared" si="22"/>
        <v>1.2894382214049948E-3</v>
      </c>
      <c r="N53" s="5">
        <f t="shared" si="23"/>
        <v>58.078547676796333</v>
      </c>
      <c r="O53" s="6">
        <f t="shared" si="17"/>
        <v>58.077258238574927</v>
      </c>
      <c r="P53" s="1"/>
      <c r="Q53" s="1"/>
      <c r="S53" s="11"/>
      <c r="T53" s="11"/>
      <c r="U53" s="11"/>
    </row>
    <row r="54" spans="1:22" x14ac:dyDescent="0.25">
      <c r="A54" s="1"/>
      <c r="B54" s="4"/>
      <c r="C54" s="5">
        <v>6</v>
      </c>
      <c r="D54" s="5">
        <v>5.0320470689999999</v>
      </c>
      <c r="E54" s="5">
        <v>0.232068</v>
      </c>
      <c r="F54" s="5">
        <f t="shared" si="10"/>
        <v>107658.18876587879</v>
      </c>
      <c r="G54" s="5">
        <f t="shared" si="11"/>
        <v>11.58671656832378</v>
      </c>
      <c r="H54" s="5">
        <f t="shared" si="18"/>
        <v>6</v>
      </c>
      <c r="I54" s="5">
        <f t="shared" si="19"/>
        <v>11.189263017814573</v>
      </c>
      <c r="J54" s="5">
        <f t="shared" si="12"/>
        <v>4.8594351852009963</v>
      </c>
      <c r="K54" s="5">
        <f t="shared" si="20"/>
        <v>9.4743130431867593E-4</v>
      </c>
      <c r="L54" s="5">
        <f t="shared" si="21"/>
        <v>9.4743130431867778E-4</v>
      </c>
      <c r="M54" s="5">
        <f t="shared" si="22"/>
        <v>2.9794862428640725E-2</v>
      </c>
      <c r="N54" s="5">
        <f t="shared" si="23"/>
        <v>1.2989788277152554</v>
      </c>
      <c r="O54" s="6">
        <f t="shared" si="17"/>
        <v>1.2691839652866146</v>
      </c>
      <c r="P54" s="1"/>
      <c r="Q54" s="1"/>
      <c r="S54" s="11"/>
      <c r="T54" s="11"/>
      <c r="U54" s="11"/>
    </row>
    <row r="55" spans="1:22" x14ac:dyDescent="0.25">
      <c r="A55" s="1"/>
      <c r="B55" s="4"/>
      <c r="C55" s="5">
        <v>12</v>
      </c>
      <c r="D55" s="5">
        <v>6.0392000210000001</v>
      </c>
      <c r="E55" s="5">
        <v>0.25769500000000001</v>
      </c>
      <c r="F55" s="5">
        <f t="shared" si="10"/>
        <v>1094460.3207369277</v>
      </c>
      <c r="G55" s="5">
        <f t="shared" si="11"/>
        <v>13.905771941963929</v>
      </c>
      <c r="H55" s="5">
        <f t="shared" si="18"/>
        <v>12</v>
      </c>
      <c r="I55" s="5">
        <f t="shared" si="19"/>
        <v>14.412270410913202</v>
      </c>
      <c r="J55" s="5">
        <f t="shared" si="12"/>
        <v>6.2591695111571148</v>
      </c>
      <c r="K55" s="5">
        <f t="shared" si="20"/>
        <v>-9.710812140573227E-4</v>
      </c>
      <c r="L55" s="5">
        <f t="shared" si="21"/>
        <v>9.7108121405732563E-4</v>
      </c>
      <c r="M55" s="5">
        <f t="shared" si="22"/>
        <v>4.8386576599981003E-2</v>
      </c>
      <c r="N55" s="5">
        <f t="shared" si="23"/>
        <v>4.4433916577174308</v>
      </c>
      <c r="O55" s="6">
        <f t="shared" si="17"/>
        <v>4.3950050811174499</v>
      </c>
      <c r="P55" s="1"/>
      <c r="Q55" s="1"/>
      <c r="S55" s="11"/>
      <c r="T55" s="11"/>
      <c r="U55" s="11"/>
    </row>
    <row r="56" spans="1:22" x14ac:dyDescent="0.25">
      <c r="A56" s="1"/>
      <c r="B56" s="4"/>
      <c r="C56" s="5">
        <v>18</v>
      </c>
      <c r="D56" s="5">
        <v>5.9639257529999998</v>
      </c>
      <c r="E56" s="5">
        <v>0.186893</v>
      </c>
      <c r="F56" s="5">
        <f t="shared" si="10"/>
        <v>920292.22511217871</v>
      </c>
      <c r="G56" s="5">
        <f t="shared" si="11"/>
        <v>13.73244653458109</v>
      </c>
      <c r="H56" s="5">
        <f t="shared" si="18"/>
        <v>18</v>
      </c>
      <c r="I56" s="5">
        <f t="shared" si="19"/>
        <v>14.44794710938088</v>
      </c>
      <c r="J56" s="5">
        <f t="shared" si="12"/>
        <v>6.274663704434154</v>
      </c>
      <c r="K56" s="5">
        <f t="shared" si="20"/>
        <v>-1.3786391431185807E-3</v>
      </c>
      <c r="L56" s="5">
        <f t="shared" si="21"/>
        <v>1.3786391431185809E-3</v>
      </c>
      <c r="M56" s="5">
        <f t="shared" si="22"/>
        <v>9.6558074461494753E-2</v>
      </c>
      <c r="N56" s="5">
        <f t="shared" si="23"/>
        <v>4.6424231518015215</v>
      </c>
      <c r="O56" s="6">
        <f t="shared" si="17"/>
        <v>4.5458650773400269</v>
      </c>
      <c r="P56" s="1"/>
      <c r="Q56" s="1"/>
      <c r="S56" s="11"/>
      <c r="T56" s="11"/>
      <c r="U56" s="11"/>
    </row>
    <row r="57" spans="1:22" x14ac:dyDescent="0.25">
      <c r="A57" s="1"/>
      <c r="B57" s="4"/>
      <c r="C57" s="5">
        <v>24</v>
      </c>
      <c r="D57" s="5">
        <v>6.5507256710000004</v>
      </c>
      <c r="E57" s="5">
        <v>0.19458400000000001</v>
      </c>
      <c r="F57" s="5">
        <f t="shared" si="10"/>
        <v>3554067.4933799985</v>
      </c>
      <c r="G57" s="5">
        <f t="shared" si="11"/>
        <v>15.083603278338019</v>
      </c>
      <c r="H57" s="5">
        <f t="shared" si="18"/>
        <v>24</v>
      </c>
      <c r="I57" s="5">
        <f t="shared" si="19"/>
        <v>14.447999923092173</v>
      </c>
      <c r="J57" s="5">
        <f t="shared" si="12"/>
        <v>6.2746866411375377</v>
      </c>
      <c r="K57" s="5">
        <f t="shared" si="20"/>
        <v>1.1685856638780335E-3</v>
      </c>
      <c r="L57" s="5">
        <f t="shared" si="21"/>
        <v>1.168585663878035E-3</v>
      </c>
      <c r="M57" s="5">
        <f t="shared" si="22"/>
        <v>7.619754600740955E-2</v>
      </c>
      <c r="N57" s="5">
        <f t="shared" si="23"/>
        <v>4.6222878347277376</v>
      </c>
      <c r="O57" s="6">
        <f t="shared" si="17"/>
        <v>4.5460902887203281</v>
      </c>
      <c r="P57" s="1"/>
      <c r="Q57" s="1"/>
      <c r="S57" s="11"/>
      <c r="T57" s="11"/>
      <c r="U57" s="11"/>
    </row>
    <row r="58" spans="1:22" x14ac:dyDescent="0.25">
      <c r="A58" s="1"/>
      <c r="B58" s="4"/>
      <c r="C58" s="5">
        <v>30</v>
      </c>
      <c r="D58" s="5">
        <v>6.4138057450000003</v>
      </c>
      <c r="E58" s="5">
        <v>0.55965100000000001</v>
      </c>
      <c r="F58" s="5">
        <f t="shared" si="10"/>
        <v>2593019.2745557097</v>
      </c>
      <c r="G58" s="5">
        <f t="shared" si="11"/>
        <v>14.768333497796572</v>
      </c>
      <c r="H58" s="5">
        <f t="shared" si="18"/>
        <v>30</v>
      </c>
      <c r="I58" s="5">
        <f t="shared" si="19"/>
        <v>14.447999999888172</v>
      </c>
      <c r="J58" s="5">
        <f t="shared" si="12"/>
        <v>6.2746866744896161</v>
      </c>
      <c r="K58" s="5">
        <f t="shared" si="20"/>
        <v>5.9523487772497759E-4</v>
      </c>
      <c r="L58" s="5">
        <f t="shared" si="21"/>
        <v>5.9523487772497998E-4</v>
      </c>
      <c r="M58" s="5">
        <f t="shared" si="22"/>
        <v>1.9354115779673248E-2</v>
      </c>
      <c r="N58" s="5">
        <f t="shared" si="23"/>
        <v>4.5654447319821454</v>
      </c>
      <c r="O58" s="6">
        <f t="shared" si="17"/>
        <v>4.5460906162024726</v>
      </c>
      <c r="P58" s="1"/>
      <c r="Q58" s="1"/>
      <c r="S58" s="11"/>
      <c r="T58" s="11"/>
      <c r="U58" s="11"/>
    </row>
    <row r="59" spans="1:22" x14ac:dyDescent="0.25">
      <c r="A59" s="1"/>
      <c r="B59" s="4"/>
      <c r="C59" s="5">
        <v>36</v>
      </c>
      <c r="D59" s="5">
        <v>6.6842459490000001</v>
      </c>
      <c r="E59" s="5">
        <v>0.21376300000000001</v>
      </c>
      <c r="F59" s="5">
        <f t="shared" si="10"/>
        <v>4833324.4465358155</v>
      </c>
      <c r="G59" s="5">
        <f t="shared" si="11"/>
        <v>15.391045080073241</v>
      </c>
      <c r="H59" s="5">
        <f t="shared" si="18"/>
        <v>36</v>
      </c>
      <c r="I59" s="5">
        <f t="shared" si="19"/>
        <v>14.447999999999837</v>
      </c>
      <c r="J59" s="5">
        <f t="shared" si="12"/>
        <v>6.2746866745381116</v>
      </c>
      <c r="K59" s="5">
        <f t="shared" si="20"/>
        <v>1.7162735782416164E-3</v>
      </c>
      <c r="L59" s="5">
        <f t="shared" si="21"/>
        <v>1.7162735782416186E-3</v>
      </c>
      <c r="M59" s="5">
        <f t="shared" si="22"/>
        <v>0.16773879929774857</v>
      </c>
      <c r="N59" s="5">
        <f t="shared" si="23"/>
        <v>4.7138294159763978</v>
      </c>
      <c r="O59" s="6">
        <f t="shared" si="17"/>
        <v>4.546090616678649</v>
      </c>
      <c r="P59" s="1"/>
      <c r="Q59" s="1"/>
      <c r="S59" s="11"/>
      <c r="T59" s="11"/>
      <c r="U59" s="11"/>
    </row>
    <row r="60" spans="1:22" x14ac:dyDescent="0.25">
      <c r="A60" s="1"/>
      <c r="B60" s="4"/>
      <c r="C60" s="5">
        <v>42</v>
      </c>
      <c r="D60" s="5">
        <v>6.4990173179999999</v>
      </c>
      <c r="E60" s="5">
        <v>0.42107899999999998</v>
      </c>
      <c r="F60" s="5">
        <f t="shared" si="10"/>
        <v>3155130.4353794884</v>
      </c>
      <c r="G60" s="5">
        <f t="shared" si="11"/>
        <v>14.964540395536945</v>
      </c>
      <c r="H60" s="5">
        <f t="shared" si="18"/>
        <v>42</v>
      </c>
      <c r="I60" s="5">
        <f t="shared" si="19"/>
        <v>14.448</v>
      </c>
      <c r="J60" s="5">
        <f t="shared" si="12"/>
        <v>6.2746866745381826</v>
      </c>
      <c r="K60" s="5">
        <f t="shared" si="20"/>
        <v>9.5347812298329337E-4</v>
      </c>
      <c r="L60" s="5">
        <f t="shared" si="21"/>
        <v>9.5347812298329706E-4</v>
      </c>
      <c r="M60" s="5">
        <f t="shared" si="22"/>
        <v>5.0324237595992992E-2</v>
      </c>
      <c r="N60" s="5">
        <f t="shared" si="23"/>
        <v>4.5964148542753387</v>
      </c>
      <c r="O60" s="6">
        <f t="shared" si="17"/>
        <v>4.5460906166793453</v>
      </c>
      <c r="P60" s="1"/>
      <c r="Q60" s="1"/>
      <c r="S60" s="11"/>
      <c r="T60" s="11"/>
      <c r="U60" s="11"/>
    </row>
    <row r="61" spans="1:22" x14ac:dyDescent="0.25">
      <c r="A61" s="1"/>
      <c r="B61" s="4"/>
      <c r="C61" s="5">
        <v>48</v>
      </c>
      <c r="D61" s="5">
        <v>6.8687928109999996</v>
      </c>
      <c r="E61" s="5">
        <v>0.46417199999999997</v>
      </c>
      <c r="F61" s="5">
        <f t="shared" si="10"/>
        <v>7392525.1549793612</v>
      </c>
      <c r="G61" s="5">
        <f t="shared" si="11"/>
        <v>15.815979933473269</v>
      </c>
      <c r="H61" s="5">
        <f t="shared" si="18"/>
        <v>48</v>
      </c>
      <c r="I61" s="5">
        <f t="shared" si="19"/>
        <v>14.448</v>
      </c>
      <c r="J61" s="5">
        <f t="shared" si="12"/>
        <v>6.2746866745381826</v>
      </c>
      <c r="K61" s="5">
        <f t="shared" si="20"/>
        <v>2.4555232703344192E-3</v>
      </c>
      <c r="L61" s="5">
        <f t="shared" si="21"/>
        <v>2.4555232703344209E-3</v>
      </c>
      <c r="M61" s="5">
        <f t="shared" si="22"/>
        <v>0.35296210138158712</v>
      </c>
      <c r="N61" s="5">
        <f t="shared" si="23"/>
        <v>4.8990527180609327</v>
      </c>
      <c r="O61" s="6">
        <f t="shared" si="17"/>
        <v>4.5460906166793453</v>
      </c>
      <c r="P61" s="1"/>
      <c r="Q61" s="1"/>
      <c r="S61" s="11"/>
      <c r="T61" s="11"/>
      <c r="U61" s="11"/>
    </row>
    <row r="62" spans="1:22" x14ac:dyDescent="0.25">
      <c r="A62" s="1"/>
      <c r="B62" s="4"/>
      <c r="C62" s="5"/>
      <c r="D62" s="24">
        <f>AVERAGE(D44:D61)</f>
        <v>5.6452739508333343</v>
      </c>
      <c r="E62" s="24"/>
      <c r="F62" s="5"/>
      <c r="G62" s="5">
        <f>AVERAGE(G44:G51)</f>
        <v>12.315843669737291</v>
      </c>
      <c r="H62" s="5"/>
      <c r="I62" s="5"/>
      <c r="J62" s="5"/>
      <c r="K62" s="5">
        <f>SUM(K44:K61)</f>
        <v>-9.5794347052056538E-4</v>
      </c>
      <c r="L62" s="5">
        <f>SUM(L44:L61)</f>
        <v>2.2257520391699717E-2</v>
      </c>
      <c r="M62" s="5">
        <f>AVERAGE(M44:M61)</f>
        <v>0.13191597029147129</v>
      </c>
      <c r="N62" s="5">
        <f>SUM(N44:N61)</f>
        <v>184.41001769980483</v>
      </c>
      <c r="O62" s="5">
        <f>SUM(O44:O61)</f>
        <v>182.03553023455834</v>
      </c>
      <c r="P62" s="1"/>
      <c r="Q62" s="1"/>
    </row>
    <row r="63" spans="1:22" x14ac:dyDescent="0.25">
      <c r="A63" s="1"/>
      <c r="B63" s="4"/>
      <c r="C63" s="5"/>
      <c r="D63" s="5"/>
      <c r="E63" s="5"/>
      <c r="F63" s="5"/>
      <c r="G63" s="5"/>
      <c r="H63" s="5"/>
      <c r="I63" s="5"/>
      <c r="J63" s="40" t="s">
        <v>44</v>
      </c>
      <c r="K63" s="40">
        <f>10^K62</f>
        <v>0.99779668451571657</v>
      </c>
      <c r="L63" s="40">
        <f>10^L62</f>
        <v>1.0525858328607878</v>
      </c>
      <c r="M63" s="24"/>
      <c r="N63" s="29"/>
      <c r="O63" s="25"/>
      <c r="P63" s="1"/>
      <c r="Q63" s="1"/>
    </row>
    <row r="64" spans="1:22" x14ac:dyDescent="0.25">
      <c r="A64" s="35" t="s">
        <v>35</v>
      </c>
      <c r="B64" s="36">
        <v>18</v>
      </c>
      <c r="C64" s="24"/>
      <c r="D64" s="29"/>
      <c r="E64" s="29"/>
      <c r="F64" s="24"/>
      <c r="G64" s="24"/>
      <c r="H64" s="24"/>
      <c r="I64" s="24"/>
      <c r="J64" s="24"/>
      <c r="K64" s="24"/>
      <c r="L64" s="24"/>
      <c r="M64" s="24">
        <f>(SQRT(N62/(B64-1)))/(SQRT(B64))</f>
        <v>0.77630349520405284</v>
      </c>
      <c r="N64" s="29"/>
      <c r="O64" s="25" t="s">
        <v>37</v>
      </c>
      <c r="P64" s="1"/>
      <c r="Q64" s="1"/>
    </row>
    <row r="65" spans="1:17" x14ac:dyDescent="0.25">
      <c r="A65" s="1"/>
      <c r="B65" s="23"/>
      <c r="C65" s="24"/>
      <c r="D65" s="29"/>
      <c r="E65" s="29"/>
      <c r="F65" s="24"/>
      <c r="G65" s="24"/>
      <c r="H65" s="24"/>
      <c r="I65" s="24"/>
      <c r="J65" s="24"/>
      <c r="K65" s="24"/>
      <c r="L65" s="24"/>
      <c r="M65" s="24">
        <f>O62/N62</f>
        <v>0.98712386943581432</v>
      </c>
      <c r="N65" s="29"/>
      <c r="O65" s="25" t="s">
        <v>22</v>
      </c>
      <c r="P65" s="1"/>
      <c r="Q65" s="1"/>
    </row>
    <row r="66" spans="1:17" x14ac:dyDescent="0.25">
      <c r="A66" s="1"/>
      <c r="B66" s="23"/>
      <c r="C66" s="24"/>
      <c r="D66" s="29"/>
      <c r="E66" s="29"/>
      <c r="F66" s="24"/>
      <c r="G66" s="24"/>
      <c r="H66" s="24"/>
      <c r="I66" s="24"/>
      <c r="J66" s="24"/>
      <c r="K66" s="24"/>
      <c r="L66" s="24"/>
      <c r="M66" s="24">
        <f>M62*100/D62</f>
        <v>2.3367505534784252</v>
      </c>
      <c r="N66" s="29"/>
      <c r="O66" s="6" t="s">
        <v>40</v>
      </c>
      <c r="P66" s="18"/>
      <c r="Q66" s="1"/>
    </row>
    <row r="67" spans="1:17" ht="15.75" thickBot="1" x14ac:dyDescent="0.3">
      <c r="A67" s="1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>
        <f>SQRT(M62)</f>
        <v>0.363202382001373</v>
      </c>
      <c r="N67" s="27"/>
      <c r="O67" s="28" t="s">
        <v>18</v>
      </c>
      <c r="P67" s="1"/>
      <c r="Q67" s="1"/>
    </row>
    <row r="68" spans="1:17" x14ac:dyDescent="0.25">
      <c r="A68" s="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1"/>
      <c r="Q68" s="1"/>
    </row>
    <row r="69" spans="1:17" x14ac:dyDescent="0.25">
      <c r="A69" s="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1"/>
      <c r="Q69" s="1"/>
    </row>
    <row r="70" spans="1:17" x14ac:dyDescent="0.25">
      <c r="A70" s="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1"/>
      <c r="Q70" s="1"/>
    </row>
    <row r="71" spans="1:17" x14ac:dyDescent="0.25">
      <c r="A71" s="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1"/>
      <c r="Q71" s="1"/>
    </row>
    <row r="72" spans="1:17" x14ac:dyDescent="0.25">
      <c r="A72" s="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1"/>
      <c r="Q72" s="1"/>
    </row>
    <row r="73" spans="1:17" x14ac:dyDescent="0.25">
      <c r="A73" s="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1"/>
      <c r="Q73" s="1"/>
    </row>
    <row r="74" spans="1:17" x14ac:dyDescent="0.25">
      <c r="A74" s="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1"/>
      <c r="Q74" s="1"/>
    </row>
    <row r="75" spans="1:17" x14ac:dyDescent="0.25">
      <c r="A75" s="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1"/>
      <c r="Q75" s="1"/>
    </row>
    <row r="76" spans="1:17" x14ac:dyDescent="0.25">
      <c r="A76" s="1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1"/>
      <c r="Q76" s="1"/>
    </row>
    <row r="77" spans="1:17" x14ac:dyDescent="0.25">
      <c r="A77" s="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1"/>
      <c r="Q77" s="1"/>
    </row>
    <row r="78" spans="1:17" x14ac:dyDescent="0.25">
      <c r="A78" s="1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1"/>
      <c r="Q78" s="1"/>
    </row>
    <row r="79" spans="1:17" x14ac:dyDescent="0.25">
      <c r="A79" s="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1"/>
      <c r="Q79" s="1"/>
    </row>
    <row r="80" spans="1:17" x14ac:dyDescent="0.25">
      <c r="A80" s="1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1"/>
      <c r="Q80" s="1"/>
    </row>
    <row r="81" spans="1:22" x14ac:dyDescent="0.25">
      <c r="A81" s="1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1"/>
      <c r="Q81" s="1"/>
    </row>
    <row r="82" spans="1:22" x14ac:dyDescent="0.25">
      <c r="A82" s="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1"/>
      <c r="Q82" s="1"/>
    </row>
    <row r="83" spans="1:22" x14ac:dyDescent="0.25">
      <c r="A83" s="1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1"/>
      <c r="Q83" s="1"/>
    </row>
    <row r="84" spans="1:22" x14ac:dyDescent="0.25">
      <c r="A84" s="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1"/>
      <c r="Q84" s="1"/>
    </row>
    <row r="85" spans="1:2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/>
      <c r="B86" s="22" t="s">
        <v>59</v>
      </c>
      <c r="C86" s="2" t="s">
        <v>1</v>
      </c>
      <c r="D86" s="2" t="s">
        <v>2</v>
      </c>
      <c r="E86" s="2"/>
      <c r="F86" s="2" t="s">
        <v>7</v>
      </c>
      <c r="G86" s="2" t="s">
        <v>32</v>
      </c>
      <c r="H86" s="2" t="s">
        <v>25</v>
      </c>
      <c r="I86" s="2" t="s">
        <v>16</v>
      </c>
      <c r="J86" s="2" t="s">
        <v>17</v>
      </c>
      <c r="K86" s="2" t="s">
        <v>39</v>
      </c>
      <c r="L86" s="2" t="s">
        <v>38</v>
      </c>
      <c r="M86" s="2" t="s">
        <v>36</v>
      </c>
      <c r="N86" s="2" t="s">
        <v>21</v>
      </c>
      <c r="O86" s="3" t="s">
        <v>20</v>
      </c>
      <c r="P86" s="1"/>
      <c r="Q86" s="32" t="s">
        <v>30</v>
      </c>
      <c r="R86" s="33">
        <f>R89*R91</f>
        <v>0</v>
      </c>
      <c r="S86" s="11"/>
      <c r="U86" s="5"/>
      <c r="V86" s="5"/>
    </row>
    <row r="87" spans="1:22" x14ac:dyDescent="0.25">
      <c r="A87" s="1"/>
      <c r="B87" s="4"/>
      <c r="C87" s="5">
        <v>0</v>
      </c>
      <c r="D87" s="5">
        <v>2.11</v>
      </c>
      <c r="E87" s="53">
        <v>0.14000000000000001</v>
      </c>
      <c r="F87" s="5">
        <f>10^D87</f>
        <v>128.82495516931343</v>
      </c>
      <c r="G87" s="5">
        <f>LN(10^D87)</f>
        <v>4.8584545462174367</v>
      </c>
      <c r="H87" s="5">
        <f>LN(EXP(-$R$91*C87)+EXP(-$R$86)-EXP(-$R$91*C87-$R$86))+C87</f>
        <v>0</v>
      </c>
      <c r="I87" s="5">
        <f>$R$87+($R$91*H87)-LN(1+(((EXP($R$91*H87))-1)/EXP($R$92-$R$87)))</f>
        <v>5.6180000000000003</v>
      </c>
      <c r="J87" s="5">
        <f>LOG(EXP(I87))</f>
        <v>2.4398663993324687</v>
      </c>
      <c r="K87" s="5">
        <f t="shared" ref="K87:K94" si="24">LOG(D87/J87)/$B$21</f>
        <v>-3.9427244292752133E-3</v>
      </c>
      <c r="L87" s="5">
        <f t="shared" ref="L87:L94" si="25">ABS(LOG(J87/D87)/$B$21)</f>
        <v>3.9427244292752133E-3</v>
      </c>
      <c r="M87" s="5">
        <f t="shared" ref="M87:M99" si="26">(D87-J87)^2</f>
        <v>0.10881184140856781</v>
      </c>
      <c r="N87" s="5">
        <f>O87+M87</f>
        <v>6.0617598880001538</v>
      </c>
      <c r="O87" s="6">
        <f t="shared" ref="O87:O99" si="27">(J87-$D$106)^2</f>
        <v>5.9529480465915858</v>
      </c>
      <c r="P87" s="1"/>
      <c r="Q87" s="4" t="s">
        <v>26</v>
      </c>
      <c r="R87" s="6">
        <v>5.6180000000000003</v>
      </c>
      <c r="S87" s="11"/>
      <c r="T87" s="11"/>
      <c r="U87" s="5"/>
      <c r="V87" s="5"/>
    </row>
    <row r="88" spans="1:22" x14ac:dyDescent="0.25">
      <c r="A88" s="1"/>
      <c r="B88" s="4"/>
      <c r="C88" s="5">
        <v>12</v>
      </c>
      <c r="D88" s="5">
        <v>3.91</v>
      </c>
      <c r="E88" s="53">
        <v>0.14000000000000001</v>
      </c>
      <c r="F88" s="5">
        <f t="shared" ref="F88:F104" si="28">10^D88</f>
        <v>8128.3051616410066</v>
      </c>
      <c r="G88" s="5">
        <f t="shared" ref="G88:G104" si="29">LN(10^D88)</f>
        <v>9.0031077136067204</v>
      </c>
      <c r="H88" s="5">
        <f t="shared" ref="H88:H104" si="30">LN(EXP(-$R$91*C88)+EXP(-$R$86)-EXP(-$R$91*C88-$R$86))+C88</f>
        <v>12</v>
      </c>
      <c r="I88" s="5">
        <f t="shared" ref="I88:I104" si="31">$R$87+($R$91*H88)-LN(1+(((EXP($R$91*H88))-1)/EXP($R$92-$R$87)))</f>
        <v>9.2287157376137365</v>
      </c>
      <c r="J88" s="5">
        <f t="shared" ref="J88:J104" si="32">LOG(EXP(I88))</f>
        <v>4.0079803198993442</v>
      </c>
      <c r="K88" s="5">
        <f t="shared" si="24"/>
        <v>-6.7180143645357237E-4</v>
      </c>
      <c r="L88" s="5">
        <f t="shared" si="25"/>
        <v>6.7180143645356944E-4</v>
      </c>
      <c r="M88" s="5">
        <f t="shared" si="26"/>
        <v>9.6001430875778011E-3</v>
      </c>
      <c r="N88" s="5">
        <f t="shared" ref="N88:N99" si="33">O88+M88</f>
        <v>16.073506387788029</v>
      </c>
      <c r="O88" s="6">
        <f t="shared" si="27"/>
        <v>16.063906244700451</v>
      </c>
      <c r="P88" s="1"/>
      <c r="Q88" s="4"/>
      <c r="R88" s="25"/>
      <c r="S88" s="11"/>
      <c r="T88" s="11"/>
      <c r="U88" s="5"/>
      <c r="V88" s="5"/>
    </row>
    <row r="89" spans="1:22" x14ac:dyDescent="0.25">
      <c r="A89" s="1"/>
      <c r="B89" s="4"/>
      <c r="C89" s="5">
        <v>24</v>
      </c>
      <c r="D89" s="5">
        <v>4.3</v>
      </c>
      <c r="E89" s="53">
        <v>0.09</v>
      </c>
      <c r="F89" s="5">
        <f t="shared" si="28"/>
        <v>19952.623149688792</v>
      </c>
      <c r="G89" s="5">
        <f t="shared" si="29"/>
        <v>9.9011158998743962</v>
      </c>
      <c r="H89" s="5">
        <f t="shared" si="30"/>
        <v>24</v>
      </c>
      <c r="I89" s="5">
        <f t="shared" si="31"/>
        <v>10.36174923001553</v>
      </c>
      <c r="J89" s="5">
        <f t="shared" si="32"/>
        <v>4.5000505134610131</v>
      </c>
      <c r="K89" s="5">
        <f t="shared" si="24"/>
        <v>-1.234308326043893E-3</v>
      </c>
      <c r="L89" s="5">
        <f t="shared" si="25"/>
        <v>1.2343083260438926E-3</v>
      </c>
      <c r="M89" s="5">
        <f t="shared" si="26"/>
        <v>4.0020207936015073E-2</v>
      </c>
      <c r="N89" s="5">
        <f t="shared" si="33"/>
        <v>20.290474831636743</v>
      </c>
      <c r="O89" s="6">
        <f t="shared" si="27"/>
        <v>20.25045462370073</v>
      </c>
      <c r="P89" s="1"/>
      <c r="Q89" s="4" t="s">
        <v>27</v>
      </c>
      <c r="R89" s="25">
        <v>0</v>
      </c>
      <c r="S89" s="11"/>
      <c r="T89" s="11"/>
      <c r="U89" s="5"/>
      <c r="V89" s="5"/>
    </row>
    <row r="90" spans="1:22" x14ac:dyDescent="0.25">
      <c r="A90" s="1"/>
      <c r="B90" s="4"/>
      <c r="C90" s="5">
        <v>36</v>
      </c>
      <c r="D90" s="5">
        <v>4.13</v>
      </c>
      <c r="E90" s="53">
        <v>0.46</v>
      </c>
      <c r="F90" s="5">
        <f t="shared" si="28"/>
        <v>13489.628825916556</v>
      </c>
      <c r="G90" s="5">
        <f t="shared" si="29"/>
        <v>9.5096764340654101</v>
      </c>
      <c r="H90" s="5">
        <f t="shared" si="30"/>
        <v>36</v>
      </c>
      <c r="I90" s="5">
        <f t="shared" si="31"/>
        <v>10.402207078000306</v>
      </c>
      <c r="J90" s="5">
        <f t="shared" si="32"/>
        <v>4.5176211335904819</v>
      </c>
      <c r="K90" s="5">
        <f t="shared" si="24"/>
        <v>-2.4349846701267495E-3</v>
      </c>
      <c r="L90" s="5">
        <f t="shared" si="25"/>
        <v>2.4349846701267508E-3</v>
      </c>
      <c r="M90" s="5">
        <f t="shared" si="26"/>
        <v>0.1502501432059703</v>
      </c>
      <c r="N90" s="5">
        <f t="shared" si="33"/>
        <v>20.559150849869319</v>
      </c>
      <c r="O90" s="6">
        <f t="shared" si="27"/>
        <v>20.408900706663349</v>
      </c>
      <c r="P90" s="1"/>
      <c r="Q90" s="4"/>
      <c r="R90" s="25"/>
      <c r="S90" s="11"/>
      <c r="T90" s="11"/>
      <c r="U90" s="5"/>
      <c r="V90" s="5"/>
    </row>
    <row r="91" spans="1:22" x14ac:dyDescent="0.25">
      <c r="A91" s="1"/>
      <c r="B91" s="4"/>
      <c r="C91" s="5">
        <v>48</v>
      </c>
      <c r="D91" s="5">
        <v>4.03</v>
      </c>
      <c r="E91" s="53">
        <v>0.25</v>
      </c>
      <c r="F91" s="5">
        <f t="shared" si="28"/>
        <v>10715.193052376071</v>
      </c>
      <c r="G91" s="5">
        <f t="shared" si="29"/>
        <v>9.2794179247660047</v>
      </c>
      <c r="H91" s="5">
        <f t="shared" si="30"/>
        <v>48</v>
      </c>
      <c r="I91" s="5">
        <f t="shared" si="31"/>
        <v>10.402985058928872</v>
      </c>
      <c r="J91" s="5">
        <f t="shared" si="32"/>
        <v>4.5179590064147837</v>
      </c>
      <c r="K91" s="5">
        <f t="shared" si="24"/>
        <v>-3.1023274938290308E-3</v>
      </c>
      <c r="L91" s="5">
        <f t="shared" si="25"/>
        <v>3.1023274938290295E-3</v>
      </c>
      <c r="M91" s="5">
        <f t="shared" si="26"/>
        <v>0.23810399194130263</v>
      </c>
      <c r="N91" s="5">
        <f t="shared" si="33"/>
        <v>20.650057575585759</v>
      </c>
      <c r="O91" s="6">
        <f t="shared" si="27"/>
        <v>20.411953583644458</v>
      </c>
      <c r="P91" s="1"/>
      <c r="Q91" s="4" t="s">
        <v>28</v>
      </c>
      <c r="R91" s="25">
        <v>0.33100000000000002</v>
      </c>
      <c r="S91" s="11"/>
      <c r="T91" s="11"/>
      <c r="U91" s="5"/>
      <c r="V91" s="5"/>
    </row>
    <row r="92" spans="1:22" ht="15.75" customHeight="1" thickBot="1" x14ac:dyDescent="0.3">
      <c r="A92" s="1"/>
      <c r="B92" s="4"/>
      <c r="C92" s="5">
        <v>60</v>
      </c>
      <c r="D92" s="5">
        <v>4.17</v>
      </c>
      <c r="E92" s="53">
        <v>0.35</v>
      </c>
      <c r="F92" s="5">
        <f t="shared" si="28"/>
        <v>14791.083881682089</v>
      </c>
      <c r="G92" s="5">
        <f t="shared" si="29"/>
        <v>9.6017798377851715</v>
      </c>
      <c r="H92" s="5">
        <f t="shared" si="30"/>
        <v>60</v>
      </c>
      <c r="I92" s="5">
        <f t="shared" si="31"/>
        <v>10.402999718572048</v>
      </c>
      <c r="J92" s="5">
        <f t="shared" si="32"/>
        <v>4.5179653730169216</v>
      </c>
      <c r="K92" s="5">
        <f t="shared" si="24"/>
        <v>-2.1754276916130743E-3</v>
      </c>
      <c r="L92" s="5">
        <f t="shared" si="25"/>
        <v>2.1754276916130743E-3</v>
      </c>
      <c r="M92" s="5">
        <f t="shared" si="26"/>
        <v>0.12107990081880543</v>
      </c>
      <c r="N92" s="5">
        <f t="shared" si="33"/>
        <v>20.533091012598739</v>
      </c>
      <c r="O92" s="6">
        <f t="shared" si="27"/>
        <v>20.412011111779933</v>
      </c>
      <c r="P92" s="1"/>
      <c r="Q92" s="34" t="s">
        <v>29</v>
      </c>
      <c r="R92" s="28">
        <v>10.403</v>
      </c>
      <c r="S92" s="61" t="s">
        <v>42</v>
      </c>
      <c r="T92" s="61"/>
      <c r="U92" s="61"/>
      <c r="V92" s="1"/>
    </row>
    <row r="93" spans="1:22" x14ac:dyDescent="0.25">
      <c r="A93" s="1"/>
      <c r="B93" s="4"/>
      <c r="C93" s="5">
        <v>72</v>
      </c>
      <c r="D93" s="5">
        <v>4.0999999999999996</v>
      </c>
      <c r="E93" s="53">
        <v>0.38</v>
      </c>
      <c r="F93" s="5">
        <f t="shared" si="28"/>
        <v>12589.254117941671</v>
      </c>
      <c r="G93" s="5">
        <f t="shared" si="29"/>
        <v>9.4405988812755872</v>
      </c>
      <c r="H93" s="5">
        <f t="shared" si="30"/>
        <v>72</v>
      </c>
      <c r="I93" s="5">
        <f t="shared" si="31"/>
        <v>10.402999994699101</v>
      </c>
      <c r="J93" s="5">
        <f t="shared" si="32"/>
        <v>4.5179654929373774</v>
      </c>
      <c r="K93" s="5">
        <f t="shared" si="24"/>
        <v>-2.6349408029574511E-3</v>
      </c>
      <c r="L93" s="5">
        <f t="shared" si="25"/>
        <v>2.6349408029574498E-3</v>
      </c>
      <c r="M93" s="5">
        <f t="shared" si="26"/>
        <v>0.17469515328638516</v>
      </c>
      <c r="N93" s="5">
        <f t="shared" si="33"/>
        <v>20.586707348659264</v>
      </c>
      <c r="O93" s="6">
        <f t="shared" si="27"/>
        <v>20.412012195372878</v>
      </c>
      <c r="P93" s="1"/>
      <c r="Q93" s="1"/>
      <c r="R93" s="5"/>
      <c r="S93" s="61"/>
      <c r="T93" s="61"/>
      <c r="U93" s="61"/>
    </row>
    <row r="94" spans="1:22" x14ac:dyDescent="0.25">
      <c r="A94" s="1"/>
      <c r="B94" s="4"/>
      <c r="C94" s="5">
        <v>84</v>
      </c>
      <c r="D94" s="5">
        <v>4.54</v>
      </c>
      <c r="E94" s="53">
        <v>0.57999999999999996</v>
      </c>
      <c r="F94" s="5">
        <f t="shared" si="28"/>
        <v>34673.685045253202</v>
      </c>
      <c r="G94" s="5">
        <f t="shared" si="29"/>
        <v>10.453736322192968</v>
      </c>
      <c r="H94" s="5">
        <f t="shared" si="30"/>
        <v>84</v>
      </c>
      <c r="I94" s="5">
        <f t="shared" si="31"/>
        <v>10.402999999900157</v>
      </c>
      <c r="J94" s="5">
        <f t="shared" si="32"/>
        <v>4.517965495196167</v>
      </c>
      <c r="K94" s="5">
        <f t="shared" si="24"/>
        <v>1.3205894205753401E-4</v>
      </c>
      <c r="L94" s="5">
        <f t="shared" si="25"/>
        <v>1.3205894205753555E-4</v>
      </c>
      <c r="M94" s="5">
        <f t="shared" si="26"/>
        <v>4.8551940195014245E-4</v>
      </c>
      <c r="N94" s="5">
        <f t="shared" si="33"/>
        <v>20.412497735185095</v>
      </c>
      <c r="O94" s="6">
        <f t="shared" si="27"/>
        <v>20.412012215783147</v>
      </c>
      <c r="P94" s="1"/>
      <c r="Q94" s="1"/>
      <c r="S94" s="11"/>
      <c r="T94" s="11"/>
      <c r="U94" s="11"/>
    </row>
    <row r="95" spans="1:22" x14ac:dyDescent="0.25">
      <c r="A95" s="1"/>
      <c r="B95" s="4"/>
      <c r="C95" s="5">
        <v>96</v>
      </c>
      <c r="D95" s="5">
        <v>4.28</v>
      </c>
      <c r="E95" s="53">
        <v>0.2</v>
      </c>
      <c r="F95" s="5">
        <f t="shared" si="28"/>
        <v>19054.607179632505</v>
      </c>
      <c r="G95" s="5">
        <f t="shared" si="29"/>
        <v>9.8550641980145173</v>
      </c>
      <c r="H95" s="5">
        <f t="shared" si="30"/>
        <v>96</v>
      </c>
      <c r="I95" s="5">
        <f t="shared" si="31"/>
        <v>10.402999999998123</v>
      </c>
      <c r="J95" s="5">
        <f t="shared" si="32"/>
        <v>4.5179654952387134</v>
      </c>
      <c r="K95" s="5">
        <f t="shared" ref="K95:K99" si="34">LOG(D95/J95)/$B$21</f>
        <v>-1.46869629844382E-3</v>
      </c>
      <c r="L95" s="5">
        <f t="shared" ref="L95:L99" si="35">ABS(LOG(J95/D95)/$B$21)</f>
        <v>1.4686962984438192E-3</v>
      </c>
      <c r="M95" s="5">
        <f t="shared" si="26"/>
        <v>5.6627576924206002E-2</v>
      </c>
      <c r="N95" s="5">
        <f t="shared" si="33"/>
        <v>20.4686397930918</v>
      </c>
      <c r="O95" s="6">
        <f t="shared" si="27"/>
        <v>20.412012216167593</v>
      </c>
      <c r="P95" s="1"/>
      <c r="Q95" s="1"/>
    </row>
    <row r="96" spans="1:22" x14ac:dyDescent="0.25">
      <c r="A96" s="1"/>
      <c r="B96" s="4"/>
      <c r="C96" s="5">
        <v>0</v>
      </c>
      <c r="D96" s="5">
        <v>2.77</v>
      </c>
      <c r="E96" s="53">
        <v>0.14000000000000001</v>
      </c>
      <c r="F96" s="5">
        <f t="shared" si="28"/>
        <v>588.84365535558959</v>
      </c>
      <c r="G96" s="5">
        <f t="shared" si="29"/>
        <v>6.3781607075935076</v>
      </c>
      <c r="H96" s="5">
        <f t="shared" si="30"/>
        <v>0</v>
      </c>
      <c r="I96" s="5">
        <f t="shared" si="31"/>
        <v>5.6180000000000003</v>
      </c>
      <c r="J96" s="5">
        <f t="shared" si="32"/>
        <v>2.4398663993324687</v>
      </c>
      <c r="K96" s="5">
        <f t="shared" si="34"/>
        <v>3.4446076811470321E-3</v>
      </c>
      <c r="L96" s="5">
        <f t="shared" si="35"/>
        <v>3.4446076811470308E-3</v>
      </c>
      <c r="M96" s="5">
        <f t="shared" si="26"/>
        <v>0.108988194289709</v>
      </c>
      <c r="N96" s="5">
        <f t="shared" si="33"/>
        <v>6.0619362408812947</v>
      </c>
      <c r="O96" s="6">
        <f t="shared" si="27"/>
        <v>5.9529480465915858</v>
      </c>
      <c r="P96" s="1"/>
      <c r="Q96" s="1"/>
    </row>
    <row r="97" spans="1:24" x14ac:dyDescent="0.25">
      <c r="A97" s="1"/>
      <c r="B97" s="4"/>
      <c r="C97" s="5">
        <v>12</v>
      </c>
      <c r="D97" s="5">
        <v>4.3499999999999996</v>
      </c>
      <c r="E97" s="53">
        <v>0.14000000000000001</v>
      </c>
      <c r="F97" s="5">
        <f t="shared" si="28"/>
        <v>22387.211385683382</v>
      </c>
      <c r="G97" s="5">
        <f t="shared" si="29"/>
        <v>10.016245154524098</v>
      </c>
      <c r="H97" s="5">
        <f t="shared" si="30"/>
        <v>12</v>
      </c>
      <c r="I97" s="5">
        <f t="shared" si="31"/>
        <v>9.2287157376137365</v>
      </c>
      <c r="J97" s="5">
        <f t="shared" si="32"/>
        <v>4.0079803198993442</v>
      </c>
      <c r="K97" s="5">
        <f t="shared" si="34"/>
        <v>2.2227297859695834E-3</v>
      </c>
      <c r="L97" s="5">
        <f t="shared" si="35"/>
        <v>2.2227297859695829E-3</v>
      </c>
      <c r="M97" s="5">
        <f t="shared" si="26"/>
        <v>0.11697746157615467</v>
      </c>
      <c r="N97" s="5">
        <f t="shared" si="33"/>
        <v>16.180883706276607</v>
      </c>
      <c r="O97" s="6">
        <f t="shared" si="27"/>
        <v>16.063906244700451</v>
      </c>
      <c r="P97" s="1"/>
      <c r="Q97" s="1"/>
    </row>
    <row r="98" spans="1:24" x14ac:dyDescent="0.25">
      <c r="A98" s="1"/>
      <c r="B98" s="4"/>
      <c r="C98" s="5">
        <v>24</v>
      </c>
      <c r="D98" s="5">
        <v>4.7</v>
      </c>
      <c r="E98" s="53">
        <v>0.09</v>
      </c>
      <c r="F98" s="5">
        <f t="shared" si="28"/>
        <v>50118.723362727294</v>
      </c>
      <c r="G98" s="5">
        <f t="shared" si="29"/>
        <v>10.822149937072016</v>
      </c>
      <c r="H98" s="5">
        <f t="shared" si="30"/>
        <v>24</v>
      </c>
      <c r="I98" s="5">
        <f t="shared" si="31"/>
        <v>10.36174923001553</v>
      </c>
      <c r="J98" s="5">
        <f t="shared" si="32"/>
        <v>4.5000505134610131</v>
      </c>
      <c r="K98" s="5">
        <f t="shared" si="34"/>
        <v>1.1800293212142913E-3</v>
      </c>
      <c r="L98" s="5">
        <f t="shared" si="35"/>
        <v>1.1800293212142919E-3</v>
      </c>
      <c r="M98" s="5">
        <f t="shared" si="26"/>
        <v>3.9979797167204553E-2</v>
      </c>
      <c r="N98" s="5">
        <f t="shared" si="33"/>
        <v>20.290434420867935</v>
      </c>
      <c r="O98" s="6">
        <f t="shared" si="27"/>
        <v>20.25045462370073</v>
      </c>
      <c r="P98" s="1"/>
      <c r="Q98" s="1"/>
    </row>
    <row r="99" spans="1:24" ht="16.5" customHeight="1" x14ac:dyDescent="0.25">
      <c r="A99" s="1"/>
      <c r="B99" s="4"/>
      <c r="C99" s="5">
        <v>36</v>
      </c>
      <c r="D99" s="5">
        <v>4.7699999999999996</v>
      </c>
      <c r="E99" s="53">
        <v>0.46</v>
      </c>
      <c r="F99" s="5">
        <f t="shared" si="28"/>
        <v>58884.365535558936</v>
      </c>
      <c r="G99" s="5">
        <f t="shared" si="29"/>
        <v>10.983330893581599</v>
      </c>
      <c r="H99" s="5">
        <f t="shared" si="30"/>
        <v>36</v>
      </c>
      <c r="I99" s="5">
        <f t="shared" si="31"/>
        <v>10.402207078000306</v>
      </c>
      <c r="J99" s="5">
        <f t="shared" si="32"/>
        <v>4.5176211335904819</v>
      </c>
      <c r="K99" s="5">
        <f t="shared" si="34"/>
        <v>1.4755357913553051E-3</v>
      </c>
      <c r="L99" s="5">
        <f t="shared" si="35"/>
        <v>1.4755357913553055E-3</v>
      </c>
      <c r="M99" s="5">
        <f t="shared" si="26"/>
        <v>6.3695092210153167E-2</v>
      </c>
      <c r="N99" s="5">
        <f t="shared" si="33"/>
        <v>20.472595798873503</v>
      </c>
      <c r="O99" s="6">
        <f t="shared" si="27"/>
        <v>20.408900706663349</v>
      </c>
      <c r="P99" s="1"/>
      <c r="Q99" s="1"/>
    </row>
    <row r="100" spans="1:24" x14ac:dyDescent="0.25">
      <c r="A100" s="1"/>
      <c r="B100" s="4"/>
      <c r="C100" s="5">
        <v>48</v>
      </c>
      <c r="D100" s="5">
        <v>4.7</v>
      </c>
      <c r="E100" s="53">
        <v>0.25</v>
      </c>
      <c r="F100" s="5">
        <f t="shared" si="28"/>
        <v>50118.723362727294</v>
      </c>
      <c r="G100" s="5">
        <f t="shared" si="29"/>
        <v>10.822149937072016</v>
      </c>
      <c r="H100" s="5">
        <f t="shared" si="30"/>
        <v>48</v>
      </c>
      <c r="I100" s="5">
        <f t="shared" si="31"/>
        <v>10.402985058928872</v>
      </c>
      <c r="J100" s="5">
        <f t="shared" si="32"/>
        <v>4.5179590064147837</v>
      </c>
      <c r="K100" s="5">
        <f t="shared" ref="K100:K104" si="36">LOG(D100/J100)/$B$21</f>
        <v>1.0722232433339662E-3</v>
      </c>
      <c r="L100" s="5">
        <f t="shared" ref="L100:L104" si="37">ABS(LOG(J100/D100)/$B$21)</f>
        <v>1.0722232433339677E-3</v>
      </c>
      <c r="M100" s="5">
        <f t="shared" ref="M100:M104" si="38">(D100-J100)^2</f>
        <v>3.3138923345492843E-2</v>
      </c>
      <c r="N100" s="5">
        <f t="shared" ref="N100:N104" si="39">O100+M100</f>
        <v>20.445092506989951</v>
      </c>
      <c r="O100" s="6">
        <f t="shared" ref="O100:O104" si="40">(J100-$D$106)^2</f>
        <v>20.411953583644458</v>
      </c>
      <c r="P100" s="1"/>
      <c r="Q100" s="1"/>
    </row>
    <row r="101" spans="1:24" x14ac:dyDescent="0.25">
      <c r="A101" s="1"/>
      <c r="B101" s="4"/>
      <c r="C101" s="5">
        <v>60</v>
      </c>
      <c r="D101" s="5">
        <v>4.8099999999999996</v>
      </c>
      <c r="E101" s="53">
        <v>0.35</v>
      </c>
      <c r="F101" s="5">
        <f t="shared" si="28"/>
        <v>64565.422903465565</v>
      </c>
      <c r="G101" s="5">
        <f t="shared" si="29"/>
        <v>11.07543429730136</v>
      </c>
      <c r="H101" s="5">
        <f t="shared" si="30"/>
        <v>60</v>
      </c>
      <c r="I101" s="5">
        <f t="shared" si="31"/>
        <v>10.402999718572048</v>
      </c>
      <c r="J101" s="5">
        <f t="shared" si="32"/>
        <v>4.5179653730169216</v>
      </c>
      <c r="K101" s="5">
        <f t="shared" si="36"/>
        <v>1.7001361458915661E-3</v>
      </c>
      <c r="L101" s="5">
        <f t="shared" si="37"/>
        <v>1.7001361458915632E-3</v>
      </c>
      <c r="M101" s="5">
        <f t="shared" si="38"/>
        <v>8.5284223357145528E-2</v>
      </c>
      <c r="N101" s="5">
        <f t="shared" si="39"/>
        <v>20.497295335137078</v>
      </c>
      <c r="O101" s="6">
        <f t="shared" si="40"/>
        <v>20.412011111779933</v>
      </c>
      <c r="P101" s="1"/>
      <c r="Q101" s="1"/>
    </row>
    <row r="102" spans="1:24" x14ac:dyDescent="0.25">
      <c r="A102" s="1"/>
      <c r="B102" s="4"/>
      <c r="C102" s="5">
        <v>72</v>
      </c>
      <c r="D102" s="5">
        <v>4.8099999999999996</v>
      </c>
      <c r="E102" s="53">
        <v>0.38</v>
      </c>
      <c r="F102" s="5">
        <f t="shared" si="28"/>
        <v>64565.422903465565</v>
      </c>
      <c r="G102" s="5">
        <f t="shared" si="29"/>
        <v>11.07543429730136</v>
      </c>
      <c r="H102" s="5">
        <f t="shared" si="30"/>
        <v>72</v>
      </c>
      <c r="I102" s="5">
        <f t="shared" si="31"/>
        <v>10.402999994699101</v>
      </c>
      <c r="J102" s="5">
        <f t="shared" si="32"/>
        <v>4.5179654929373774</v>
      </c>
      <c r="K102" s="5">
        <f t="shared" si="36"/>
        <v>1.700135425423564E-3</v>
      </c>
      <c r="L102" s="5">
        <f t="shared" si="37"/>
        <v>1.7001354254235657E-3</v>
      </c>
      <c r="M102" s="5">
        <f t="shared" si="38"/>
        <v>8.5284153315308753E-2</v>
      </c>
      <c r="N102" s="5">
        <f t="shared" si="39"/>
        <v>20.497296348688188</v>
      </c>
      <c r="O102" s="6">
        <f t="shared" si="40"/>
        <v>20.412012195372878</v>
      </c>
      <c r="P102" s="1"/>
      <c r="Q102" s="1"/>
    </row>
    <row r="103" spans="1:24" x14ac:dyDescent="0.25">
      <c r="A103" s="1"/>
      <c r="B103" s="4"/>
      <c r="C103" s="5">
        <v>84</v>
      </c>
      <c r="D103" s="5">
        <v>4.84</v>
      </c>
      <c r="E103" s="53">
        <v>0.57999999999999996</v>
      </c>
      <c r="F103" s="5">
        <f t="shared" si="28"/>
        <v>69183.097091893651</v>
      </c>
      <c r="G103" s="5">
        <f t="shared" si="29"/>
        <v>11.144511850091181</v>
      </c>
      <c r="H103" s="5">
        <f t="shared" si="30"/>
        <v>84</v>
      </c>
      <c r="I103" s="5">
        <f t="shared" si="31"/>
        <v>10.402999999900157</v>
      </c>
      <c r="J103" s="5">
        <f t="shared" si="32"/>
        <v>4.517965495196167</v>
      </c>
      <c r="K103" s="5">
        <f t="shared" si="36"/>
        <v>1.8689032412643157E-3</v>
      </c>
      <c r="L103" s="5">
        <f t="shared" si="37"/>
        <v>1.8689032412643168E-3</v>
      </c>
      <c r="M103" s="5">
        <f t="shared" si="38"/>
        <v>0.10370622228424987</v>
      </c>
      <c r="N103" s="5">
        <f t="shared" si="39"/>
        <v>20.515718438067395</v>
      </c>
      <c r="O103" s="6">
        <f t="shared" si="40"/>
        <v>20.412012215783147</v>
      </c>
      <c r="P103" s="1"/>
      <c r="Q103" s="1"/>
    </row>
    <row r="104" spans="1:24" x14ac:dyDescent="0.25">
      <c r="A104" s="1"/>
      <c r="B104" s="4"/>
      <c r="C104" s="5">
        <v>96</v>
      </c>
      <c r="D104" s="5">
        <v>5.07</v>
      </c>
      <c r="E104" s="53">
        <v>0.2</v>
      </c>
      <c r="F104" s="5">
        <f t="shared" si="28"/>
        <v>117489.75549395311</v>
      </c>
      <c r="G104" s="5">
        <f t="shared" si="29"/>
        <v>11.674106421479813</v>
      </c>
      <c r="H104" s="5">
        <f t="shared" si="30"/>
        <v>96</v>
      </c>
      <c r="I104" s="5">
        <f t="shared" si="31"/>
        <v>10.402999999998123</v>
      </c>
      <c r="J104" s="5">
        <f t="shared" si="32"/>
        <v>4.5179654952387134</v>
      </c>
      <c r="K104" s="5">
        <f t="shared" si="36"/>
        <v>3.1290655965664259E-3</v>
      </c>
      <c r="L104" s="5">
        <f t="shared" si="37"/>
        <v>3.1290655965664255E-3</v>
      </c>
      <c r="M104" s="5">
        <f t="shared" si="38"/>
        <v>0.30474209444703931</v>
      </c>
      <c r="N104" s="5">
        <f t="shared" si="39"/>
        <v>20.716754310614633</v>
      </c>
      <c r="O104" s="6">
        <f t="shared" si="40"/>
        <v>20.412012216167593</v>
      </c>
      <c r="P104" s="1"/>
      <c r="Q104" s="1"/>
    </row>
    <row r="105" spans="1:24" x14ac:dyDescent="0.25">
      <c r="A105" s="1"/>
      <c r="B105" s="4"/>
      <c r="C105" s="5"/>
      <c r="D105" s="24">
        <f>AVERAGE(D87:D104)</f>
        <v>4.2438888888888897</v>
      </c>
      <c r="E105" s="24"/>
      <c r="F105" s="5"/>
      <c r="G105" s="5"/>
      <c r="H105" s="5"/>
      <c r="I105" s="5"/>
      <c r="J105" s="5"/>
      <c r="K105" s="5">
        <f>SUM(K87:K104)</f>
        <v>2.6021402548077367E-4</v>
      </c>
      <c r="L105" s="5">
        <f>SUM(L87:L104)</f>
        <v>3.5590636322966392E-2</v>
      </c>
      <c r="M105" s="5">
        <f>AVERAGE(M87:M104)</f>
        <v>0.10230392444462436</v>
      </c>
      <c r="N105" s="5">
        <f>SUM(N87:N104)</f>
        <v>331.31389252881144</v>
      </c>
      <c r="O105" s="6">
        <f>SUM(O87:O104)</f>
        <v>329.47242188880824</v>
      </c>
      <c r="P105" s="1"/>
      <c r="Q105" s="1"/>
    </row>
    <row r="106" spans="1:24" x14ac:dyDescent="0.25">
      <c r="A106" s="1"/>
      <c r="B106" s="23"/>
      <c r="C106" s="24"/>
      <c r="D106" s="29"/>
      <c r="E106" s="29"/>
      <c r="F106" s="24"/>
      <c r="G106" s="24"/>
      <c r="H106" s="24"/>
      <c r="I106" s="24"/>
      <c r="J106" s="40" t="s">
        <v>44</v>
      </c>
      <c r="K106" s="40">
        <f>10^K105</f>
        <v>1.0005993444712256</v>
      </c>
      <c r="L106" s="40">
        <f>10^L105</f>
        <v>1.0854020470666206</v>
      </c>
      <c r="M106" s="24"/>
      <c r="N106" s="29"/>
      <c r="O106" s="25"/>
      <c r="P106" s="1"/>
      <c r="Q106" s="1"/>
    </row>
    <row r="107" spans="1:24" x14ac:dyDescent="0.25">
      <c r="A107" s="35" t="s">
        <v>35</v>
      </c>
      <c r="B107" s="36">
        <v>18</v>
      </c>
      <c r="C107" s="24"/>
      <c r="D107" s="29"/>
      <c r="E107" s="29"/>
      <c r="F107" s="24"/>
      <c r="G107" s="24"/>
      <c r="H107" s="24"/>
      <c r="I107" s="24"/>
      <c r="J107" s="24"/>
      <c r="K107" s="24"/>
      <c r="L107" s="24"/>
      <c r="M107" s="24">
        <f>(SQRT(N105/(B107-1)))/(SQRT(B107))</f>
        <v>1.0405407915997547</v>
      </c>
      <c r="N107" s="29"/>
      <c r="O107" s="25" t="s">
        <v>37</v>
      </c>
      <c r="P107" s="1"/>
      <c r="Q107" s="1"/>
    </row>
    <row r="108" spans="1:24" x14ac:dyDescent="0.25">
      <c r="B108" s="23"/>
      <c r="C108" s="24"/>
      <c r="D108" s="29"/>
      <c r="E108" s="29"/>
      <c r="F108" s="24"/>
      <c r="G108" s="24"/>
      <c r="H108" s="24"/>
      <c r="I108" s="24"/>
      <c r="J108" s="24"/>
      <c r="K108" s="24"/>
      <c r="L108" s="24"/>
      <c r="M108" s="24">
        <f>O105/N105</f>
        <v>0.99444191541155169</v>
      </c>
      <c r="N108" s="29"/>
      <c r="O108" s="25" t="s">
        <v>22</v>
      </c>
    </row>
    <row r="109" spans="1:24" ht="15.75" thickBot="1" x14ac:dyDescent="0.3">
      <c r="A109" s="1"/>
      <c r="B109" s="23"/>
      <c r="C109" s="24"/>
      <c r="D109" s="29"/>
      <c r="E109" s="29"/>
      <c r="F109" s="24"/>
      <c r="G109" s="24"/>
      <c r="H109" s="24"/>
      <c r="I109" s="24"/>
      <c r="J109" s="24"/>
      <c r="K109" s="24"/>
      <c r="L109" s="24"/>
      <c r="M109" s="24">
        <f>M105*100/D105</f>
        <v>2.4106174106600835</v>
      </c>
      <c r="N109" s="29"/>
      <c r="O109" s="6" t="s">
        <v>40</v>
      </c>
      <c r="P109" s="18"/>
      <c r="Q109" s="1"/>
    </row>
    <row r="110" spans="1:24" ht="30.75" thickBot="1" x14ac:dyDescent="0.3"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>
        <f>SQRT(M105)</f>
        <v>0.31984984671658723</v>
      </c>
      <c r="N110" s="27"/>
      <c r="O110" s="28" t="s">
        <v>18</v>
      </c>
      <c r="T110" s="103"/>
      <c r="U110" s="87" t="s">
        <v>18</v>
      </c>
      <c r="V110" s="88" t="s">
        <v>40</v>
      </c>
      <c r="W110" s="89" t="s">
        <v>22</v>
      </c>
      <c r="X110" s="90" t="s">
        <v>37</v>
      </c>
    </row>
    <row r="111" spans="1:24" x14ac:dyDescent="0.25">
      <c r="T111" s="91"/>
      <c r="U111" s="92"/>
      <c r="V111" s="92" t="s">
        <v>55</v>
      </c>
      <c r="W111" s="92"/>
      <c r="X111" s="93"/>
    </row>
    <row r="112" spans="1:24" x14ac:dyDescent="0.25">
      <c r="T112" s="94" t="s">
        <v>48</v>
      </c>
      <c r="U112" s="104">
        <v>0.24840000000000001</v>
      </c>
      <c r="V112" s="104">
        <v>0.92059000000000002</v>
      </c>
      <c r="W112" s="104">
        <v>0.99875999999999998</v>
      </c>
      <c r="X112" s="105">
        <v>3.774359</v>
      </c>
    </row>
    <row r="113" spans="1:24" ht="30" x14ac:dyDescent="0.25">
      <c r="T113" s="94" t="s">
        <v>50</v>
      </c>
      <c r="U113" s="104">
        <v>0.22265229580162124</v>
      </c>
      <c r="V113" s="104">
        <v>0.73961745256866318</v>
      </c>
      <c r="W113" s="104">
        <v>0.9936897937574517</v>
      </c>
      <c r="X113" s="105">
        <v>1.4982054702034815</v>
      </c>
    </row>
    <row r="114" spans="1:24" x14ac:dyDescent="0.25">
      <c r="T114" s="94" t="s">
        <v>51</v>
      </c>
      <c r="U114" s="104">
        <v>0.30652969283611714</v>
      </c>
      <c r="V114" s="104">
        <v>1.4018382165760368</v>
      </c>
      <c r="W114" s="104">
        <v>0.98114851973696049</v>
      </c>
      <c r="X114" s="105">
        <v>0.57644010900076736</v>
      </c>
    </row>
    <row r="115" spans="1:24" x14ac:dyDescent="0.25">
      <c r="T115" s="106"/>
      <c r="U115" s="95"/>
      <c r="V115" s="107" t="s">
        <v>58</v>
      </c>
      <c r="W115" s="95"/>
      <c r="X115" s="108"/>
    </row>
    <row r="116" spans="1:24" x14ac:dyDescent="0.25">
      <c r="T116" s="94" t="s">
        <v>48</v>
      </c>
      <c r="U116" s="104">
        <v>0.30899388249859738</v>
      </c>
      <c r="V116" s="104">
        <v>1.785053692267988</v>
      </c>
      <c r="W116" s="104">
        <v>0.95212540856420269</v>
      </c>
      <c r="X116" s="105">
        <v>0.80064423335720047</v>
      </c>
    </row>
    <row r="117" spans="1:24" ht="30" x14ac:dyDescent="0.25">
      <c r="T117" s="94" t="s">
        <v>50</v>
      </c>
      <c r="U117" s="104">
        <v>0.25793103366543574</v>
      </c>
      <c r="V117" s="104">
        <v>1.2438233867630026</v>
      </c>
      <c r="W117" s="104">
        <v>0.98884149603706217</v>
      </c>
      <c r="X117" s="105">
        <v>1.3843402670454423</v>
      </c>
    </row>
    <row r="118" spans="1:24" x14ac:dyDescent="0.25">
      <c r="T118" s="94" t="s">
        <v>51</v>
      </c>
      <c r="U118" s="104">
        <v>1.5409372035376663</v>
      </c>
      <c r="V118" s="104">
        <v>2.3367505534784252</v>
      </c>
      <c r="W118" s="104">
        <v>0.98712386943581432</v>
      </c>
      <c r="X118" s="105">
        <v>0.77630349520405284</v>
      </c>
    </row>
    <row r="119" spans="1:24" x14ac:dyDescent="0.25">
      <c r="T119" s="109"/>
      <c r="U119" s="96"/>
      <c r="V119" s="110" t="s">
        <v>59</v>
      </c>
      <c r="W119" s="96"/>
      <c r="X119" s="111"/>
    </row>
    <row r="120" spans="1:24" x14ac:dyDescent="0.25">
      <c r="T120" s="94" t="s">
        <v>48</v>
      </c>
      <c r="U120" s="104">
        <v>0.16431085000000001</v>
      </c>
      <c r="V120" s="104">
        <v>0.52384299999999995</v>
      </c>
      <c r="W120" s="104">
        <v>0.94455800000000001</v>
      </c>
      <c r="X120" s="105">
        <v>0.20144500000000001</v>
      </c>
    </row>
    <row r="121" spans="1:24" ht="30" x14ac:dyDescent="0.25">
      <c r="T121" s="94" t="s">
        <v>50</v>
      </c>
      <c r="U121" s="104">
        <v>0.31717555618771609</v>
      </c>
      <c r="V121" s="104">
        <v>2.370475195671903</v>
      </c>
      <c r="W121" s="104">
        <v>0.80727030060939264</v>
      </c>
      <c r="X121" s="105">
        <v>0.24541400418663825</v>
      </c>
    </row>
    <row r="122" spans="1:24" x14ac:dyDescent="0.25">
      <c r="T122" s="94" t="s">
        <v>51</v>
      </c>
      <c r="U122" s="104">
        <v>0.31984984671658723</v>
      </c>
      <c r="V122" s="104">
        <v>2.4106174106600835</v>
      </c>
      <c r="W122" s="104">
        <v>0.99444191541155169</v>
      </c>
      <c r="X122" s="105">
        <v>1.0405407915997547</v>
      </c>
    </row>
    <row r="123" spans="1:24" x14ac:dyDescent="0.25">
      <c r="T123" s="112"/>
      <c r="U123" s="113"/>
      <c r="V123" s="114" t="s">
        <v>3</v>
      </c>
      <c r="W123" s="113"/>
      <c r="X123" s="115"/>
    </row>
    <row r="124" spans="1:24" x14ac:dyDescent="0.25">
      <c r="T124" s="94" t="s">
        <v>48</v>
      </c>
      <c r="U124" s="104">
        <v>0.18626930982483153</v>
      </c>
      <c r="V124" s="104">
        <v>0.91097237328383429</v>
      </c>
      <c r="W124" s="104">
        <v>0.94822084368308701</v>
      </c>
      <c r="X124" s="105">
        <v>0.2621570326545905</v>
      </c>
    </row>
    <row r="125" spans="1:24" ht="30" x14ac:dyDescent="0.25">
      <c r="T125" s="94" t="s">
        <v>50</v>
      </c>
      <c r="U125" s="104">
        <v>0.18689964207824314</v>
      </c>
      <c r="V125" s="104">
        <v>0.91714823592979722</v>
      </c>
      <c r="W125" s="104">
        <v>0.9478942130168081</v>
      </c>
      <c r="X125" s="105">
        <v>0.26221841141527547</v>
      </c>
    </row>
    <row r="126" spans="1:24" ht="15.75" thickBot="1" x14ac:dyDescent="0.3">
      <c r="T126" s="97" t="s">
        <v>51</v>
      </c>
      <c r="U126" s="116">
        <v>0.20533061379869502</v>
      </c>
      <c r="V126" s="116">
        <v>1.1069551025120272</v>
      </c>
      <c r="W126" s="116">
        <v>0.99710007487253582</v>
      </c>
      <c r="X126" s="117">
        <v>0.98449764889860392</v>
      </c>
    </row>
    <row r="127" spans="1:24" ht="15.75" thickBot="1" x14ac:dyDescent="0.3"/>
    <row r="128" spans="1:24" x14ac:dyDescent="0.25">
      <c r="A128" s="1"/>
      <c r="B128" s="22" t="s">
        <v>3</v>
      </c>
      <c r="C128" s="2" t="s">
        <v>1</v>
      </c>
      <c r="D128" s="2" t="s">
        <v>2</v>
      </c>
      <c r="E128" s="2"/>
      <c r="F128" s="2" t="s">
        <v>7</v>
      </c>
      <c r="G128" s="2" t="s">
        <v>32</v>
      </c>
      <c r="H128" s="2" t="s">
        <v>25</v>
      </c>
      <c r="I128" s="2" t="s">
        <v>16</v>
      </c>
      <c r="J128" s="2" t="s">
        <v>17</v>
      </c>
      <c r="K128" s="2" t="s">
        <v>39</v>
      </c>
      <c r="L128" s="2" t="s">
        <v>38</v>
      </c>
      <c r="M128" s="2" t="s">
        <v>36</v>
      </c>
      <c r="N128" s="2" t="s">
        <v>21</v>
      </c>
      <c r="O128" s="3" t="s">
        <v>20</v>
      </c>
      <c r="P128" s="1"/>
      <c r="Q128" s="32" t="s">
        <v>30</v>
      </c>
      <c r="R128" s="33">
        <f>R131*R133</f>
        <v>0</v>
      </c>
      <c r="S128" s="11"/>
      <c r="U128" s="5"/>
      <c r="V128" s="5"/>
    </row>
    <row r="129" spans="1:22" x14ac:dyDescent="0.25">
      <c r="A129" s="1"/>
      <c r="B129" s="4"/>
      <c r="C129" s="5">
        <v>0</v>
      </c>
      <c r="D129" s="5">
        <v>2.3479101760000001</v>
      </c>
      <c r="E129" s="54">
        <v>0.47383799999999998</v>
      </c>
      <c r="F129" s="5">
        <f>10^D129</f>
        <v>222.79742954749918</v>
      </c>
      <c r="G129" s="5">
        <f>LN(10^D129)</f>
        <v>5.406262970946627</v>
      </c>
      <c r="H129" s="5">
        <f>LN(EXP(-$R$133*C129)+EXP(-$R$128)-EXP(-$R$133*C129-$R$128))+C129</f>
        <v>0</v>
      </c>
      <c r="I129" s="5">
        <f>$R$129+($R$133*H129)-LN(1+(((EXP($R$133*H129))-1)/EXP($R$134-$R$129)))</f>
        <v>5.74</v>
      </c>
      <c r="J129" s="5">
        <f>LOG(EXP(I129))</f>
        <v>2.4928503261246657</v>
      </c>
      <c r="K129" s="5">
        <f t="shared" ref="K129:K136" si="41">LOG(D129/J129)/$B$21</f>
        <v>-1.6259203505745536E-3</v>
      </c>
      <c r="L129" s="5">
        <f t="shared" ref="L129:L136" si="42">ABS(LOG(J129/D129)/$B$21)</f>
        <v>1.6259203505745545E-3</v>
      </c>
      <c r="M129" s="5">
        <f t="shared" ref="M129:M141" si="43">(D129-J129)^2</f>
        <v>2.1007647118160618E-2</v>
      </c>
      <c r="N129" s="5">
        <f>O129+M129</f>
        <v>6.2353103955780131</v>
      </c>
      <c r="O129" s="6">
        <f t="shared" ref="O129:O144" si="44">(J129-$D$106)^2</f>
        <v>6.2143027484598523</v>
      </c>
      <c r="P129" s="1"/>
      <c r="Q129" s="4" t="s">
        <v>26</v>
      </c>
      <c r="R129" s="6">
        <v>5.74</v>
      </c>
      <c r="S129" s="11"/>
      <c r="T129" s="11"/>
      <c r="U129" s="5"/>
      <c r="V129" s="5"/>
    </row>
    <row r="130" spans="1:22" x14ac:dyDescent="0.25">
      <c r="A130" s="1"/>
      <c r="B130" s="4"/>
      <c r="C130" s="5">
        <v>48</v>
      </c>
      <c r="D130" s="5">
        <v>3.3690375889999999</v>
      </c>
      <c r="E130" s="54">
        <v>0.138686</v>
      </c>
      <c r="F130" s="5">
        <f t="shared" ref="F130:F144" si="45">10^D130</f>
        <v>2339.0396781591012</v>
      </c>
      <c r="G130" s="5">
        <f t="shared" ref="G130:G144" si="46">LN(10^D130)</f>
        <v>7.7574957301680012</v>
      </c>
      <c r="H130" s="5">
        <f t="shared" ref="H130:H144" si="47">LN(EXP(-$R$133*C130)+EXP(-$R$128)-EXP(-$R$133*C130-$R$128))+C130</f>
        <v>48</v>
      </c>
      <c r="I130" s="5">
        <f t="shared" ref="I130:I144" si="48">$R$129+($R$133*H130)-LN(1+(((EXP($R$133*H130))-1)/EXP($R$134-$R$129)))</f>
        <v>6.9352732206829568</v>
      </c>
      <c r="J130" s="5">
        <f t="shared" ref="J130:J144" si="49">LOG(EXP(I130))</f>
        <v>3.0119508902340013</v>
      </c>
      <c r="K130" s="5">
        <f t="shared" si="41"/>
        <v>3.0411231304285696E-3</v>
      </c>
      <c r="L130" s="5">
        <f t="shared" si="42"/>
        <v>3.0411231304285696E-3</v>
      </c>
      <c r="M130" s="5">
        <f t="shared" si="43"/>
        <v>0.12751091043559906</v>
      </c>
      <c r="N130" s="5">
        <f t="shared" ref="N130:N144" si="50">O130+M130</f>
        <v>9.199359075616993</v>
      </c>
      <c r="O130" s="6">
        <f t="shared" si="44"/>
        <v>9.0718481651813931</v>
      </c>
      <c r="P130" s="1"/>
      <c r="Q130" s="4"/>
      <c r="R130" s="25"/>
      <c r="S130" s="11"/>
      <c r="T130" s="11"/>
      <c r="U130" s="5"/>
      <c r="V130" s="5"/>
    </row>
    <row r="131" spans="1:22" x14ac:dyDescent="0.25">
      <c r="A131" s="1"/>
      <c r="B131" s="4"/>
      <c r="C131" s="5">
        <v>96</v>
      </c>
      <c r="D131" s="5">
        <v>3.6166205169999999</v>
      </c>
      <c r="E131" s="54">
        <v>0.365929</v>
      </c>
      <c r="F131" s="5">
        <f t="shared" si="45"/>
        <v>4136.3808325864356</v>
      </c>
      <c r="G131" s="5">
        <f t="shared" si="46"/>
        <v>8.3275764894606183</v>
      </c>
      <c r="H131" s="5">
        <f t="shared" si="47"/>
        <v>96</v>
      </c>
      <c r="I131" s="5">
        <f t="shared" si="48"/>
        <v>8.0573142571924539</v>
      </c>
      <c r="J131" s="5">
        <f t="shared" si="49"/>
        <v>3.499247120859081</v>
      </c>
      <c r="K131" s="5">
        <f t="shared" si="41"/>
        <v>8.9552048560970611E-4</v>
      </c>
      <c r="L131" s="5">
        <f t="shared" si="42"/>
        <v>8.9552048560970958E-4</v>
      </c>
      <c r="M131" s="5">
        <f t="shared" si="43"/>
        <v>1.3776514121653077E-2</v>
      </c>
      <c r="N131" s="5">
        <f t="shared" si="50"/>
        <v>12.258506926962221</v>
      </c>
      <c r="O131" s="6">
        <f t="shared" si="44"/>
        <v>12.244730412840568</v>
      </c>
      <c r="P131" s="1"/>
      <c r="Q131" s="4" t="s">
        <v>27</v>
      </c>
      <c r="R131" s="25">
        <v>0</v>
      </c>
      <c r="S131" s="11"/>
      <c r="T131" s="11"/>
      <c r="U131" s="5"/>
      <c r="V131" s="5"/>
    </row>
    <row r="132" spans="1:22" x14ac:dyDescent="0.25">
      <c r="A132" s="1"/>
      <c r="B132" s="4"/>
      <c r="C132" s="5">
        <v>144</v>
      </c>
      <c r="D132" s="5">
        <v>4.0206809940000001</v>
      </c>
      <c r="E132" s="54">
        <v>0.40972199999999998</v>
      </c>
      <c r="F132" s="5">
        <f t="shared" si="45"/>
        <v>10487.717824421827</v>
      </c>
      <c r="G132" s="5">
        <f t="shared" si="46"/>
        <v>9.2579601204688835</v>
      </c>
      <c r="H132" s="5">
        <f t="shared" si="47"/>
        <v>144</v>
      </c>
      <c r="I132" s="5">
        <f t="shared" si="48"/>
        <v>8.988969260508318</v>
      </c>
      <c r="J132" s="5">
        <f t="shared" si="49"/>
        <v>3.9038597478367167</v>
      </c>
      <c r="K132" s="5">
        <f t="shared" si="41"/>
        <v>8.0033815057455016E-4</v>
      </c>
      <c r="L132" s="5">
        <f t="shared" si="42"/>
        <v>8.0033815057455049E-4</v>
      </c>
      <c r="M132" s="5">
        <f t="shared" si="43"/>
        <v>1.3647203555142451E-2</v>
      </c>
      <c r="N132" s="5">
        <f t="shared" si="50"/>
        <v>15.253768134334896</v>
      </c>
      <c r="O132" s="6">
        <f t="shared" si="44"/>
        <v>15.240120930779753</v>
      </c>
      <c r="P132" s="1"/>
      <c r="Q132" s="4"/>
      <c r="R132" s="25"/>
      <c r="S132" s="11"/>
      <c r="T132" s="11"/>
      <c r="U132" s="5"/>
      <c r="V132" s="5"/>
    </row>
    <row r="133" spans="1:22" x14ac:dyDescent="0.25">
      <c r="A133" s="1"/>
      <c r="B133" s="4"/>
      <c r="C133" s="5">
        <v>192</v>
      </c>
      <c r="D133" s="5">
        <v>4.5517890479999998</v>
      </c>
      <c r="E133" s="54">
        <v>0.22645699999999999</v>
      </c>
      <c r="F133" s="5">
        <f t="shared" si="45"/>
        <v>35627.803470316125</v>
      </c>
      <c r="G133" s="5">
        <f t="shared" si="46"/>
        <v>10.480881608378359</v>
      </c>
      <c r="H133" s="5">
        <f t="shared" si="47"/>
        <v>192</v>
      </c>
      <c r="I133" s="5">
        <f t="shared" si="48"/>
        <v>9.5873386610463882</v>
      </c>
      <c r="J133" s="5">
        <f t="shared" si="49"/>
        <v>4.1637282766301569</v>
      </c>
      <c r="K133" s="5">
        <f t="shared" si="41"/>
        <v>2.4187341670754616E-3</v>
      </c>
      <c r="L133" s="5">
        <f t="shared" si="42"/>
        <v>2.4187341670754612E-3</v>
      </c>
      <c r="M133" s="5">
        <f t="shared" si="43"/>
        <v>0.15059116227615754</v>
      </c>
      <c r="N133" s="5">
        <f t="shared" si="50"/>
        <v>17.487224323885695</v>
      </c>
      <c r="O133" s="6">
        <f t="shared" si="44"/>
        <v>17.336633161609537</v>
      </c>
      <c r="P133" s="1"/>
      <c r="Q133" s="4" t="s">
        <v>28</v>
      </c>
      <c r="R133" s="25">
        <v>2.5600000000000001E-2</v>
      </c>
      <c r="S133" s="11"/>
      <c r="T133" s="11"/>
      <c r="U133" s="5"/>
      <c r="V133" s="5"/>
    </row>
    <row r="134" spans="1:22" ht="15.75" customHeight="1" thickBot="1" x14ac:dyDescent="0.3">
      <c r="A134" s="1"/>
      <c r="B134" s="4"/>
      <c r="C134" s="5">
        <v>240</v>
      </c>
      <c r="D134" s="5">
        <v>4.5675928360000002</v>
      </c>
      <c r="E134" s="54">
        <v>0.34393299999999999</v>
      </c>
      <c r="F134" s="5">
        <f t="shared" si="45"/>
        <v>36948.161733850342</v>
      </c>
      <c r="G134" s="5">
        <f t="shared" si="46"/>
        <v>10.517271175039998</v>
      </c>
      <c r="H134" s="5">
        <f t="shared" si="47"/>
        <v>240</v>
      </c>
      <c r="I134" s="5">
        <f t="shared" si="48"/>
        <v>9.8614058084152951</v>
      </c>
      <c r="J134" s="5">
        <f t="shared" si="49"/>
        <v>4.2827541264034386</v>
      </c>
      <c r="K134" s="5">
        <f t="shared" si="41"/>
        <v>1.7477650576199792E-3</v>
      </c>
      <c r="L134" s="5">
        <f t="shared" si="42"/>
        <v>1.7477650576199807E-3</v>
      </c>
      <c r="M134" s="5">
        <f t="shared" si="43"/>
        <v>8.1133090484634379E-2</v>
      </c>
      <c r="N134" s="5">
        <f t="shared" si="50"/>
        <v>18.423115997710315</v>
      </c>
      <c r="O134" s="6">
        <f t="shared" si="44"/>
        <v>18.341982907225681</v>
      </c>
      <c r="P134" s="1"/>
      <c r="Q134" s="34" t="s">
        <v>29</v>
      </c>
      <c r="R134" s="28">
        <v>10.00118</v>
      </c>
      <c r="S134" s="61" t="s">
        <v>42</v>
      </c>
      <c r="T134" s="61"/>
      <c r="U134" s="61"/>
      <c r="V134" s="1"/>
    </row>
    <row r="135" spans="1:22" x14ac:dyDescent="0.25">
      <c r="A135" s="1"/>
      <c r="B135" s="4"/>
      <c r="C135" s="5">
        <v>288</v>
      </c>
      <c r="D135" s="5">
        <v>4.5508039269999996</v>
      </c>
      <c r="E135" s="54">
        <v>0.37606800000000001</v>
      </c>
      <c r="F135" s="5">
        <f t="shared" si="45"/>
        <v>35547.079624093523</v>
      </c>
      <c r="G135" s="5">
        <f t="shared" si="46"/>
        <v>10.478613283448963</v>
      </c>
      <c r="H135" s="5">
        <f t="shared" si="47"/>
        <v>288</v>
      </c>
      <c r="I135" s="5">
        <f t="shared" si="48"/>
        <v>9.9582156747692192</v>
      </c>
      <c r="J135" s="5">
        <f t="shared" si="49"/>
        <v>4.3247981171547396</v>
      </c>
      <c r="K135" s="5">
        <f t="shared" si="41"/>
        <v>1.3826428061053304E-3</v>
      </c>
      <c r="L135" s="5">
        <f t="shared" si="42"/>
        <v>1.3826428061053306E-3</v>
      </c>
      <c r="M135" s="5">
        <f t="shared" si="43"/>
        <v>5.1078626083811814E-2</v>
      </c>
      <c r="N135" s="5">
        <f t="shared" si="50"/>
        <v>18.754957380228991</v>
      </c>
      <c r="O135" s="6">
        <f t="shared" si="44"/>
        <v>18.70387875414518</v>
      </c>
      <c r="P135" s="1"/>
      <c r="Q135" s="1"/>
      <c r="R135" s="5"/>
      <c r="S135" s="61"/>
      <c r="T135" s="61"/>
      <c r="U135" s="61"/>
    </row>
    <row r="136" spans="1:22" x14ac:dyDescent="0.25">
      <c r="A136" s="1"/>
      <c r="B136" s="4"/>
      <c r="C136" s="5">
        <v>336</v>
      </c>
      <c r="D136" s="5">
        <v>4.2598654280000003</v>
      </c>
      <c r="E136" s="54">
        <v>0.753274</v>
      </c>
      <c r="F136" s="5">
        <f t="shared" si="45"/>
        <v>18191.370871179228</v>
      </c>
      <c r="G136" s="5">
        <f t="shared" si="46"/>
        <v>9.8087026326735014</v>
      </c>
      <c r="H136" s="5">
        <f t="shared" si="47"/>
        <v>336</v>
      </c>
      <c r="I136" s="5">
        <f t="shared" si="48"/>
        <v>9.9884145831910267</v>
      </c>
      <c r="J136" s="5">
        <f t="shared" si="49"/>
        <v>4.3379133364418321</v>
      </c>
      <c r="K136" s="5">
        <f t="shared" si="41"/>
        <v>-4.9281198068635592E-4</v>
      </c>
      <c r="L136" s="5">
        <f t="shared" si="42"/>
        <v>4.9281198068635722E-4</v>
      </c>
      <c r="M136" s="5">
        <f t="shared" si="43"/>
        <v>6.0914760121445494E-3</v>
      </c>
      <c r="N136" s="5">
        <f t="shared" si="50"/>
        <v>18.823583590492053</v>
      </c>
      <c r="O136" s="6">
        <f t="shared" si="44"/>
        <v>18.817492114479908</v>
      </c>
      <c r="P136" s="1"/>
      <c r="Q136" s="1"/>
      <c r="S136" s="11"/>
      <c r="T136" s="11"/>
      <c r="U136" s="11"/>
    </row>
    <row r="137" spans="1:22" x14ac:dyDescent="0.25">
      <c r="A137" s="1"/>
      <c r="B137" s="4"/>
      <c r="C137" s="5">
        <v>0</v>
      </c>
      <c r="D137" s="5">
        <v>2.3252574990000001</v>
      </c>
      <c r="E137" s="54">
        <v>0.286721</v>
      </c>
      <c r="F137" s="5">
        <f t="shared" si="45"/>
        <v>211.47425272901802</v>
      </c>
      <c r="G137" s="5">
        <f t="shared" si="46"/>
        <v>5.3541032545700178</v>
      </c>
      <c r="H137" s="5">
        <f t="shared" si="47"/>
        <v>0</v>
      </c>
      <c r="I137" s="5">
        <f t="shared" si="48"/>
        <v>5.74</v>
      </c>
      <c r="J137" s="5">
        <f t="shared" si="49"/>
        <v>2.4928503261246657</v>
      </c>
      <c r="K137" s="5">
        <f t="shared" ref="K137:K144" si="51">LOG(D137/J137)/$B$21</f>
        <v>-1.8890718775841809E-3</v>
      </c>
      <c r="L137" s="5">
        <f t="shared" ref="L137:L144" si="52">ABS(LOG(J137/D137)/$B$21)</f>
        <v>1.8890718775841774E-3</v>
      </c>
      <c r="M137" s="5">
        <f t="shared" si="43"/>
        <v>2.8087355703638052E-2</v>
      </c>
      <c r="N137" s="5">
        <f t="shared" si="50"/>
        <v>6.2423901041634906</v>
      </c>
      <c r="O137" s="6">
        <f t="shared" si="44"/>
        <v>6.2143027484598523</v>
      </c>
      <c r="P137" s="1"/>
      <c r="Q137" s="1"/>
    </row>
    <row r="138" spans="1:22" x14ac:dyDescent="0.25">
      <c r="A138" s="1"/>
      <c r="B138" s="4"/>
      <c r="C138" s="5">
        <v>48</v>
      </c>
      <c r="D138" s="5">
        <v>3.20070027</v>
      </c>
      <c r="E138" s="54">
        <v>0.108766</v>
      </c>
      <c r="F138" s="5">
        <f t="shared" si="45"/>
        <v>1587.4507852103898</v>
      </c>
      <c r="G138" s="5">
        <f t="shared" si="46"/>
        <v>7.3698847288440179</v>
      </c>
      <c r="H138" s="5">
        <f t="shared" si="47"/>
        <v>48</v>
      </c>
      <c r="I138" s="5">
        <f t="shared" si="48"/>
        <v>6.9352732206829568</v>
      </c>
      <c r="J138" s="5">
        <f t="shared" si="49"/>
        <v>3.0119508902340013</v>
      </c>
      <c r="K138" s="5">
        <f t="shared" si="51"/>
        <v>1.6498200034857392E-3</v>
      </c>
      <c r="L138" s="5">
        <f t="shared" si="52"/>
        <v>1.6498200034857408E-3</v>
      </c>
      <c r="M138" s="5">
        <f t="shared" si="43"/>
        <v>3.5626328362049202E-2</v>
      </c>
      <c r="N138" s="5">
        <f t="shared" si="50"/>
        <v>9.1074744935434424</v>
      </c>
      <c r="O138" s="6">
        <f t="shared" si="44"/>
        <v>9.0718481651813931</v>
      </c>
      <c r="P138" s="1"/>
      <c r="Q138" s="1"/>
    </row>
    <row r="139" spans="1:22" x14ac:dyDescent="0.25">
      <c r="A139" s="1"/>
      <c r="B139" s="4"/>
      <c r="C139" s="5">
        <v>96</v>
      </c>
      <c r="D139" s="5">
        <v>3.4513079090000001</v>
      </c>
      <c r="E139" s="54">
        <v>0.28694599999999998</v>
      </c>
      <c r="F139" s="5">
        <f t="shared" si="45"/>
        <v>2826.8834873197497</v>
      </c>
      <c r="G139" s="5">
        <f t="shared" si="46"/>
        <v>7.9469301425958516</v>
      </c>
      <c r="H139" s="5">
        <f t="shared" si="47"/>
        <v>96</v>
      </c>
      <c r="I139" s="5">
        <f t="shared" si="48"/>
        <v>8.0573142571924539</v>
      </c>
      <c r="J139" s="5">
        <f t="shared" si="49"/>
        <v>3.499247120859081</v>
      </c>
      <c r="K139" s="5">
        <f t="shared" si="51"/>
        <v>-3.7443170430477189E-4</v>
      </c>
      <c r="L139" s="5">
        <f t="shared" si="52"/>
        <v>3.7443170430476923E-4</v>
      </c>
      <c r="M139" s="5">
        <f t="shared" si="43"/>
        <v>2.2981680336698427E-3</v>
      </c>
      <c r="N139" s="5">
        <f t="shared" si="50"/>
        <v>12.247028580874238</v>
      </c>
      <c r="O139" s="6">
        <f t="shared" si="44"/>
        <v>12.244730412840568</v>
      </c>
      <c r="P139" s="1"/>
      <c r="Q139" s="1"/>
    </row>
    <row r="140" spans="1:22" x14ac:dyDescent="0.25">
      <c r="A140" s="1"/>
      <c r="B140" s="4"/>
      <c r="C140" s="5">
        <v>144</v>
      </c>
      <c r="D140" s="5">
        <v>3.8490393709999999</v>
      </c>
      <c r="E140" s="54">
        <v>0.27650200000000003</v>
      </c>
      <c r="F140" s="5">
        <f t="shared" si="45"/>
        <v>7063.815884381901</v>
      </c>
      <c r="G140" s="5">
        <f t="shared" si="46"/>
        <v>8.8627406780117788</v>
      </c>
      <c r="H140" s="5">
        <f t="shared" si="47"/>
        <v>144</v>
      </c>
      <c r="I140" s="5">
        <f t="shared" si="48"/>
        <v>8.988969260508318</v>
      </c>
      <c r="J140" s="5">
        <f t="shared" si="49"/>
        <v>3.9038597478367167</v>
      </c>
      <c r="K140" s="5">
        <f t="shared" si="51"/>
        <v>-3.8386582220920236E-4</v>
      </c>
      <c r="L140" s="5">
        <f t="shared" si="52"/>
        <v>3.8386582220920095E-4</v>
      </c>
      <c r="M140" s="5">
        <f t="shared" si="43"/>
        <v>3.0052737165196372E-3</v>
      </c>
      <c r="N140" s="5">
        <f t="shared" si="50"/>
        <v>15.243126204496273</v>
      </c>
      <c r="O140" s="6">
        <f t="shared" si="44"/>
        <v>15.240120930779753</v>
      </c>
      <c r="P140" s="1"/>
      <c r="Q140" s="1"/>
    </row>
    <row r="141" spans="1:22" ht="16.5" customHeight="1" x14ac:dyDescent="0.25">
      <c r="A141" s="1"/>
      <c r="B141" s="4"/>
      <c r="C141" s="5">
        <v>192</v>
      </c>
      <c r="D141" s="5">
        <v>4.2713048000000002</v>
      </c>
      <c r="E141" s="54">
        <v>0.216478</v>
      </c>
      <c r="F141" s="5">
        <f t="shared" si="45"/>
        <v>18676.900280033555</v>
      </c>
      <c r="G141" s="5">
        <f t="shared" si="46"/>
        <v>9.8350427601139145</v>
      </c>
      <c r="H141" s="5">
        <f t="shared" si="47"/>
        <v>192</v>
      </c>
      <c r="I141" s="5">
        <f t="shared" si="48"/>
        <v>9.5873386610463882</v>
      </c>
      <c r="J141" s="5">
        <f t="shared" si="49"/>
        <v>4.1637282766301569</v>
      </c>
      <c r="K141" s="5">
        <f t="shared" si="51"/>
        <v>6.9238649309815521E-4</v>
      </c>
      <c r="L141" s="5">
        <f t="shared" si="52"/>
        <v>6.9238649309815467E-4</v>
      </c>
      <c r="M141" s="5">
        <f t="shared" si="43"/>
        <v>1.1572708380342455E-2</v>
      </c>
      <c r="N141" s="5">
        <f t="shared" si="50"/>
        <v>17.348205869989879</v>
      </c>
      <c r="O141" s="6">
        <f t="shared" si="44"/>
        <v>17.336633161609537</v>
      </c>
      <c r="P141" s="1"/>
      <c r="Q141" s="1"/>
      <c r="S141" s="5"/>
    </row>
    <row r="142" spans="1:22" x14ac:dyDescent="0.25">
      <c r="A142" s="1"/>
      <c r="B142" s="4"/>
      <c r="C142" s="5">
        <v>240</v>
      </c>
      <c r="D142" s="5">
        <v>4.2746090109999999</v>
      </c>
      <c r="E142" s="54">
        <v>0.329872</v>
      </c>
      <c r="F142" s="5">
        <f t="shared" si="45"/>
        <v>18819.540307677908</v>
      </c>
      <c r="G142" s="5">
        <f t="shared" si="46"/>
        <v>9.8426509871066212</v>
      </c>
      <c r="H142" s="5">
        <f t="shared" si="47"/>
        <v>240</v>
      </c>
      <c r="I142" s="5">
        <f t="shared" si="48"/>
        <v>9.8614058084152951</v>
      </c>
      <c r="J142" s="5">
        <f t="shared" si="49"/>
        <v>4.2827541264034386</v>
      </c>
      <c r="K142" s="5">
        <f t="shared" si="51"/>
        <v>-5.1671579282589813E-5</v>
      </c>
      <c r="L142" s="5">
        <f t="shared" si="52"/>
        <v>5.1671579282589305E-5</v>
      </c>
      <c r="M142" s="5">
        <f t="shared" ref="M142:M144" si="53">(D142-J142)^2</f>
        <v>6.63429049353336E-5</v>
      </c>
      <c r="N142" s="5">
        <f t="shared" si="50"/>
        <v>18.342049250130618</v>
      </c>
      <c r="O142" s="6">
        <f t="shared" si="44"/>
        <v>18.341982907225681</v>
      </c>
      <c r="P142" s="1"/>
      <c r="Q142" s="1"/>
      <c r="S142" s="5"/>
    </row>
    <row r="143" spans="1:22" x14ac:dyDescent="0.25">
      <c r="A143" s="1"/>
      <c r="B143" s="4"/>
      <c r="C143" s="5">
        <v>288</v>
      </c>
      <c r="D143" s="5">
        <v>4.3034989039999996</v>
      </c>
      <c r="E143" s="54">
        <v>0.33036399999999999</v>
      </c>
      <c r="F143" s="5">
        <f t="shared" si="45"/>
        <v>20114.021221532024</v>
      </c>
      <c r="G143" s="5">
        <f t="shared" si="46"/>
        <v>9.9091724240666128</v>
      </c>
      <c r="H143" s="5">
        <f t="shared" si="47"/>
        <v>288</v>
      </c>
      <c r="I143" s="5">
        <f t="shared" si="48"/>
        <v>9.9582156747692192</v>
      </c>
      <c r="J143" s="5">
        <f t="shared" si="49"/>
        <v>4.3247981171547396</v>
      </c>
      <c r="K143" s="5">
        <f t="shared" si="51"/>
        <v>-1.3400891143944204E-4</v>
      </c>
      <c r="L143" s="5">
        <f t="shared" si="52"/>
        <v>1.3400891143944296E-4</v>
      </c>
      <c r="M143" s="5">
        <f t="shared" si="53"/>
        <v>4.5365648101105107E-4</v>
      </c>
      <c r="N143" s="5">
        <f t="shared" si="50"/>
        <v>18.70433241062619</v>
      </c>
      <c r="O143" s="6">
        <f t="shared" si="44"/>
        <v>18.70387875414518</v>
      </c>
      <c r="P143" s="1"/>
      <c r="Q143" s="1"/>
      <c r="S143" s="5"/>
    </row>
    <row r="144" spans="1:22" x14ac:dyDescent="0.25">
      <c r="A144" s="1"/>
      <c r="B144" s="4"/>
      <c r="C144" s="5">
        <v>336</v>
      </c>
      <c r="D144" s="5">
        <v>3.979271298</v>
      </c>
      <c r="E144" s="54">
        <v>0.80123900000000003</v>
      </c>
      <c r="F144" s="5">
        <f t="shared" si="45"/>
        <v>9533.9154908945857</v>
      </c>
      <c r="G144" s="5">
        <f t="shared" si="46"/>
        <v>9.162610771753867</v>
      </c>
      <c r="H144" s="5">
        <f t="shared" si="47"/>
        <v>336</v>
      </c>
      <c r="I144" s="5">
        <f t="shared" si="48"/>
        <v>9.9884145831910267</v>
      </c>
      <c r="J144" s="5">
        <f t="shared" si="49"/>
        <v>4.3379133364418321</v>
      </c>
      <c r="K144" s="5">
        <f t="shared" si="51"/>
        <v>-2.3423326221791076E-3</v>
      </c>
      <c r="L144" s="5">
        <f>ABS(LOG(J144/D144)/$B$21)</f>
        <v>2.3423326221791107E-3</v>
      </c>
      <c r="M144" s="5">
        <f t="shared" si="53"/>
        <v>0.12862411173771254</v>
      </c>
      <c r="N144" s="5">
        <f t="shared" si="50"/>
        <v>18.946116226217619</v>
      </c>
      <c r="O144" s="6">
        <f t="shared" si="44"/>
        <v>18.817492114479908</v>
      </c>
      <c r="P144" s="1"/>
      <c r="Q144" s="1"/>
      <c r="S144" s="5"/>
    </row>
    <row r="145" spans="1:19" x14ac:dyDescent="0.25">
      <c r="A145" s="1"/>
      <c r="B145" s="4"/>
      <c r="C145" s="5"/>
      <c r="D145" s="24">
        <f>AVERAGE(D129:D144)</f>
        <v>3.8087055985625002</v>
      </c>
      <c r="E145" s="24"/>
      <c r="F145" s="5"/>
      <c r="G145" s="5"/>
      <c r="H145" s="5"/>
      <c r="I145" s="5"/>
      <c r="J145" s="5"/>
      <c r="K145" s="5">
        <f>SUM(K129:K144)</f>
        <v>5.3342154457372889E-3</v>
      </c>
      <c r="L145" s="5">
        <f>SUM(L129:L144)</f>
        <v>1.9922445142257699E-2</v>
      </c>
      <c r="M145" s="5">
        <f>AVERAGE(M129:M144)</f>
        <v>4.2160660962948848E-2</v>
      </c>
      <c r="N145" s="5">
        <f>SUM(N129:N144)</f>
        <v>232.61654896485089</v>
      </c>
      <c r="O145" s="6">
        <f>SUM(O129:O144)</f>
        <v>231.94197838944373</v>
      </c>
      <c r="P145" s="1"/>
      <c r="Q145" s="1"/>
      <c r="S145" s="5"/>
    </row>
    <row r="146" spans="1:19" x14ac:dyDescent="0.25">
      <c r="A146" s="1"/>
      <c r="B146" s="23"/>
      <c r="C146" s="24"/>
      <c r="D146" s="29"/>
      <c r="E146" s="29"/>
      <c r="F146" s="24"/>
      <c r="G146" s="24"/>
      <c r="H146" s="24"/>
      <c r="I146" s="24"/>
      <c r="J146" s="40" t="s">
        <v>44</v>
      </c>
      <c r="K146" s="40">
        <f>10^K145</f>
        <v>1.012358224458739</v>
      </c>
      <c r="L146" s="40">
        <f>10^L145</f>
        <v>1.0469415720281767</v>
      </c>
      <c r="M146" s="24"/>
      <c r="N146" s="29"/>
      <c r="O146" s="25"/>
      <c r="P146" s="1"/>
      <c r="Q146" s="1"/>
      <c r="S146" s="5"/>
    </row>
    <row r="147" spans="1:19" x14ac:dyDescent="0.25">
      <c r="A147" s="35" t="s">
        <v>35</v>
      </c>
      <c r="B147" s="36">
        <v>16</v>
      </c>
      <c r="C147" s="24"/>
      <c r="D147" s="29"/>
      <c r="E147" s="29"/>
      <c r="F147" s="24"/>
      <c r="G147" s="24"/>
      <c r="H147" s="24"/>
      <c r="I147" s="24"/>
      <c r="J147" s="24"/>
      <c r="K147" s="24"/>
      <c r="L147" s="24"/>
      <c r="M147" s="24">
        <f>(SQRT(N145/(B147-1)))/(SQRT(B147))</f>
        <v>0.98449764889860392</v>
      </c>
      <c r="N147" s="29"/>
      <c r="O147" s="25" t="s">
        <v>37</v>
      </c>
      <c r="P147" s="1"/>
      <c r="Q147" s="1"/>
      <c r="S147" s="5"/>
    </row>
    <row r="148" spans="1:19" x14ac:dyDescent="0.25">
      <c r="B148" s="23"/>
      <c r="C148" s="24"/>
      <c r="D148" s="29"/>
      <c r="E148" s="29"/>
      <c r="F148" s="24"/>
      <c r="G148" s="24"/>
      <c r="H148" s="24"/>
      <c r="I148" s="24"/>
      <c r="J148" s="24"/>
      <c r="K148" s="24"/>
      <c r="L148" s="24"/>
      <c r="M148" s="24">
        <f>O145/N145</f>
        <v>0.99710007487253582</v>
      </c>
      <c r="N148" s="29"/>
      <c r="O148" s="25" t="s">
        <v>22</v>
      </c>
      <c r="S148" s="5"/>
    </row>
    <row r="149" spans="1:19" x14ac:dyDescent="0.25">
      <c r="A149" s="1"/>
      <c r="B149" s="23"/>
      <c r="C149" s="24"/>
      <c r="D149" s="29"/>
      <c r="E149" s="29"/>
      <c r="F149" s="24"/>
      <c r="G149" s="24"/>
      <c r="H149" s="24"/>
      <c r="I149" s="24"/>
      <c r="J149" s="24"/>
      <c r="K149" s="24"/>
      <c r="L149" s="24"/>
      <c r="M149" s="24">
        <f>M145*100/D145</f>
        <v>1.1069551025120272</v>
      </c>
      <c r="N149" s="29"/>
      <c r="O149" s="6" t="s">
        <v>40</v>
      </c>
      <c r="P149" s="18"/>
      <c r="Q149" s="1"/>
      <c r="S149" s="5"/>
    </row>
    <row r="150" spans="1:19" ht="15.75" thickBot="1" x14ac:dyDescent="0.3"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>
        <f>SQRT(M145)</f>
        <v>0.20533061379869502</v>
      </c>
      <c r="N150" s="27"/>
      <c r="O150" s="28" t="s">
        <v>18</v>
      </c>
      <c r="S150" s="5"/>
    </row>
    <row r="151" spans="1:19" x14ac:dyDescent="0.25">
      <c r="S151" s="5"/>
    </row>
    <row r="152" spans="1:19" x14ac:dyDescent="0.25">
      <c r="S152" s="5"/>
    </row>
    <row r="153" spans="1:19" x14ac:dyDescent="0.25">
      <c r="S153" s="5"/>
    </row>
    <row r="154" spans="1:19" x14ac:dyDescent="0.25">
      <c r="S154" s="5"/>
    </row>
    <row r="155" spans="1:19" x14ac:dyDescent="0.25">
      <c r="S155" s="5"/>
    </row>
    <row r="156" spans="1:19" x14ac:dyDescent="0.25">
      <c r="S156" s="5"/>
    </row>
  </sheetData>
  <mergeCells count="4">
    <mergeCell ref="S8:U9"/>
    <mergeCell ref="S49:U50"/>
    <mergeCell ref="S92:U93"/>
    <mergeCell ref="S134:U1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8"/>
  <sheetViews>
    <sheetView tabSelected="1" topLeftCell="O1" zoomScale="85" zoomScaleNormal="85" workbookViewId="0">
      <selection activeCell="AA68" sqref="AA68"/>
    </sheetView>
  </sheetViews>
  <sheetFormatPr defaultRowHeight="15" x14ac:dyDescent="0.25"/>
  <cols>
    <col min="4" max="4" width="15.85546875" customWidth="1"/>
    <col min="7" max="11" width="17.42578125" customWidth="1"/>
    <col min="12" max="12" width="18.140625" customWidth="1"/>
    <col min="13" max="13" width="16.85546875" customWidth="1"/>
    <col min="14" max="15" width="16.28515625" customWidth="1"/>
    <col min="16" max="17" width="21.7109375" customWidth="1"/>
    <col min="22" max="22" width="17.28515625" customWidth="1"/>
    <col min="24" max="25" width="15.5703125" customWidth="1"/>
    <col min="26" max="26" width="19.7109375" customWidth="1"/>
    <col min="27" max="27" width="11.7109375" customWidth="1"/>
    <col min="28" max="28" width="15.5703125" customWidth="1"/>
    <col min="29" max="29" width="11.85546875" customWidth="1"/>
  </cols>
  <sheetData>
    <row r="1" spans="1:34" ht="15.75" thickBo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5"/>
      <c r="AA1" s="11"/>
      <c r="AB1" s="11"/>
      <c r="AC1" s="11"/>
      <c r="AD1" s="11"/>
      <c r="AE1" s="11"/>
    </row>
    <row r="2" spans="1:34" ht="15.75" thickBot="1" x14ac:dyDescent="0.3">
      <c r="A2" s="5"/>
      <c r="B2" s="41" t="s">
        <v>52</v>
      </c>
      <c r="C2" s="2" t="s">
        <v>1</v>
      </c>
      <c r="D2" s="2" t="s">
        <v>33</v>
      </c>
      <c r="E2" s="2" t="s">
        <v>65</v>
      </c>
      <c r="F2" s="2" t="s">
        <v>7</v>
      </c>
      <c r="G2" s="2" t="s">
        <v>32</v>
      </c>
      <c r="H2" s="2" t="s">
        <v>46</v>
      </c>
      <c r="I2" s="2" t="s">
        <v>61</v>
      </c>
      <c r="J2" s="2" t="s">
        <v>60</v>
      </c>
      <c r="K2" s="2" t="s">
        <v>47</v>
      </c>
      <c r="L2" s="2" t="s">
        <v>25</v>
      </c>
      <c r="M2" s="2" t="s">
        <v>16</v>
      </c>
      <c r="N2" s="2" t="s">
        <v>17</v>
      </c>
      <c r="O2" s="2" t="s">
        <v>68</v>
      </c>
      <c r="P2" s="2" t="s">
        <v>66</v>
      </c>
      <c r="Q2" s="2" t="s">
        <v>67</v>
      </c>
      <c r="R2" s="2" t="s">
        <v>39</v>
      </c>
      <c r="S2" s="2" t="s">
        <v>38</v>
      </c>
      <c r="T2" s="2" t="s">
        <v>36</v>
      </c>
      <c r="U2" s="2" t="s">
        <v>21</v>
      </c>
      <c r="V2" s="3" t="s">
        <v>20</v>
      </c>
      <c r="W2" s="5"/>
      <c r="X2" s="71" t="s">
        <v>73</v>
      </c>
      <c r="Y2" s="73" t="s">
        <v>72</v>
      </c>
      <c r="Z2" s="72" t="s">
        <v>45</v>
      </c>
      <c r="AA2" s="73" t="s">
        <v>62</v>
      </c>
      <c r="AB2" s="72" t="s">
        <v>46</v>
      </c>
      <c r="AC2" s="76" t="s">
        <v>29</v>
      </c>
      <c r="AD2" s="5"/>
      <c r="AE2" s="11"/>
      <c r="AF2" s="11"/>
      <c r="AG2" s="11"/>
      <c r="AH2" s="11"/>
    </row>
    <row r="3" spans="1:34" x14ac:dyDescent="0.25">
      <c r="A3" s="5"/>
      <c r="B3" s="77">
        <v>37</v>
      </c>
      <c r="C3" s="5">
        <v>0</v>
      </c>
      <c r="D3" s="5">
        <v>1.731069822</v>
      </c>
      <c r="E3" s="5">
        <v>0.104711</v>
      </c>
      <c r="F3" s="5">
        <f>10^D3</f>
        <v>53.835632769615813</v>
      </c>
      <c r="G3" s="5">
        <f>LN(10^D3)</f>
        <v>3.9859355670690566</v>
      </c>
      <c r="H3" s="5">
        <f>0.0012*(B3-3)^2 + 0.041</f>
        <v>1.4281999999999999</v>
      </c>
      <c r="I3" s="5">
        <f>0.017*(273+B3)^2-9.7375*(273+B3)+1404.9</f>
        <v>19.975000000000136</v>
      </c>
      <c r="J3" s="5">
        <f>-0.0445*(273+B3)+18.429</f>
        <v>4.6339999999999986</v>
      </c>
      <c r="K3" s="5">
        <v>0</v>
      </c>
      <c r="L3" s="5">
        <f>C3+LN(EXP(-H3*C3)+EXP(-H3*K3)-EXP((-H3*C3)-(H3*K3)))*(1/H3)</f>
        <v>0</v>
      </c>
      <c r="M3" s="5">
        <f>J3+(H3*L3)-LN(1+(((EXP(H3*L3))-1)/EXP(I3-J3)))</f>
        <v>4.6339999999999986</v>
      </c>
      <c r="N3" s="5">
        <f>LOG(EXP(M3))</f>
        <v>2.0125206291396682</v>
      </c>
      <c r="O3" s="5">
        <f>LN(10^(D3-P3))</f>
        <v>3.3869950905629898</v>
      </c>
      <c r="P3" s="5">
        <f>_xlfn.CONFIDENCE.T(0.05,E3,3)</f>
        <v>0.26011654393508893</v>
      </c>
      <c r="Q3" s="5">
        <f>LN(10^(D3+P3))</f>
        <v>4.5848760435751235</v>
      </c>
      <c r="R3" s="5">
        <f>LOG(D3/N3)/$C$73</f>
        <v>-1.0385040545051786E-3</v>
      </c>
      <c r="S3" s="5">
        <f>ABS(LOG(N3/D3)/$C$73)</f>
        <v>1.0385040545051786E-3</v>
      </c>
      <c r="T3" s="5">
        <f>(D3-N3)^2</f>
        <v>7.9214556839570696E-2</v>
      </c>
      <c r="U3" s="5">
        <f>V3+T3</f>
        <v>23.662594061150077</v>
      </c>
      <c r="V3" s="6">
        <f>(N3-$D$36)^2</f>
        <v>23.583379504310507</v>
      </c>
      <c r="W3" s="5"/>
      <c r="X3" s="23">
        <v>37</v>
      </c>
      <c r="Y3" s="9">
        <f>37+273</f>
        <v>310</v>
      </c>
      <c r="Z3" s="5">
        <f>(277-Y3)^2</f>
        <v>1089</v>
      </c>
      <c r="AA3" s="9">
        <v>4.7149999999999999</v>
      </c>
      <c r="AB3" s="5">
        <v>1.2709999999999999</v>
      </c>
      <c r="AC3" s="9">
        <v>19.072800000000001</v>
      </c>
      <c r="AD3" s="11"/>
      <c r="AE3" s="11"/>
      <c r="AF3" s="5"/>
      <c r="AG3" s="24"/>
      <c r="AH3" s="11"/>
    </row>
    <row r="4" spans="1:34" x14ac:dyDescent="0.25">
      <c r="A4" s="5"/>
      <c r="B4" s="77">
        <v>37</v>
      </c>
      <c r="C4" s="5">
        <v>4</v>
      </c>
      <c r="D4" s="5">
        <v>4.1901056209999998</v>
      </c>
      <c r="E4" s="5">
        <v>0.21951499999999999</v>
      </c>
      <c r="F4" s="5">
        <f>10^D4</f>
        <v>15491.933389973394</v>
      </c>
      <c r="G4" s="5">
        <f>LN(10^D4)</f>
        <v>9.6480747409851588</v>
      </c>
      <c r="H4" s="5">
        <f>0.0012*(B4-3)^2 + 0.041</f>
        <v>1.4281999999999999</v>
      </c>
      <c r="I4" s="5">
        <f>0.017*(273+B4)^2-9.7375*(273+B4)+1404.9</f>
        <v>19.975000000000136</v>
      </c>
      <c r="J4" s="5">
        <f>-0.0445*(273+B4)+18.429</f>
        <v>4.6339999999999986</v>
      </c>
      <c r="K4" s="5">
        <v>0</v>
      </c>
      <c r="L4" s="5">
        <f>C4+LN(EXP(-H4*C4)+EXP(-H4*K4)-EXP((-H4*C4)-(H4*K4)))*(1/H4)</f>
        <v>4</v>
      </c>
      <c r="M4" s="5">
        <f t="shared" ref="M4:M67" si="0">J4+(H4*L4)-LN(1+(((EXP(H4*L4))-1)/EXP(I4-J4)))</f>
        <v>10.346734374202937</v>
      </c>
      <c r="N4" s="5">
        <f>LOG(EXP(M4))</f>
        <v>4.4935296444350312</v>
      </c>
      <c r="O4" s="5">
        <f t="shared" ref="O4:O67" si="1">LN(10^(D4-P4))</f>
        <v>8.3924624490556656</v>
      </c>
      <c r="P4" s="5">
        <f>_xlfn.CONFIDENCE.T(0.05,E4,3)</f>
        <v>0.54530548979487392</v>
      </c>
      <c r="Q4" s="5">
        <f t="shared" ref="Q4:Q67" si="2">LN(10^(D4+P4))</f>
        <v>10.903687032914652</v>
      </c>
      <c r="R4" s="5">
        <f>LOG(D4/N4)/$C$73</f>
        <v>-4.8194667725413317E-4</v>
      </c>
      <c r="S4" s="5">
        <f>ABS(LOG(N4/D4)/$C$73)</f>
        <v>4.8194667725413339E-4</v>
      </c>
      <c r="T4" s="5">
        <f>(D4-N4)^2</f>
        <v>9.2066137997502476E-2</v>
      </c>
      <c r="U4" s="5">
        <f>V4+T4</f>
        <v>5.733941248437743</v>
      </c>
      <c r="V4" s="6">
        <f>(N4-$D$36)^2</f>
        <v>5.6418751104402407</v>
      </c>
      <c r="W4" s="5"/>
      <c r="X4" s="4">
        <v>30</v>
      </c>
      <c r="Y4" s="9">
        <f>30+273</f>
        <v>303</v>
      </c>
      <c r="Z4" s="5">
        <f>(277-Y4)^2</f>
        <v>676</v>
      </c>
      <c r="AA4" s="74">
        <v>4.6950000000000003</v>
      </c>
      <c r="AB4" s="24">
        <v>1</v>
      </c>
      <c r="AC4" s="9">
        <v>14.448</v>
      </c>
      <c r="AD4" s="11"/>
      <c r="AE4" s="11"/>
      <c r="AF4" s="5"/>
      <c r="AG4" s="5"/>
      <c r="AH4" s="11"/>
    </row>
    <row r="5" spans="1:34" x14ac:dyDescent="0.25">
      <c r="A5" s="5"/>
      <c r="B5" s="77">
        <v>37</v>
      </c>
      <c r="C5" s="5">
        <v>8</v>
      </c>
      <c r="D5" s="5">
        <v>6.3204368019999997</v>
      </c>
      <c r="E5" s="5">
        <v>0.70938500000000004</v>
      </c>
      <c r="F5" s="5">
        <f>10^D5</f>
        <v>2091398.5472085206</v>
      </c>
      <c r="G5" s="5">
        <f>LN(10^D5)</f>
        <v>14.55334356149616</v>
      </c>
      <c r="H5" s="5">
        <f>0.0012*(B5-3)^2 + 0.041</f>
        <v>1.4281999999999999</v>
      </c>
      <c r="I5" s="5">
        <f>0.017*(273+B5)^2-9.7375*(273+B5)+1404.9</f>
        <v>19.975000000000136</v>
      </c>
      <c r="J5" s="5">
        <f>-0.0445*(273+B5)+18.429</f>
        <v>4.6339999999999986</v>
      </c>
      <c r="K5" s="5">
        <v>0</v>
      </c>
      <c r="L5" s="5">
        <f>C5+LN(EXP(-H5*C5)+EXP(-H5*K5)-EXP((-H5*C5)-(H5*K5)))*(1/H5)</f>
        <v>8</v>
      </c>
      <c r="M5" s="5">
        <f t="shared" si="0"/>
        <v>16.039863692053238</v>
      </c>
      <c r="N5" s="5">
        <f>LOG(EXP(M5))</f>
        <v>6.9660242919390409</v>
      </c>
      <c r="O5" s="5">
        <f t="shared" si="1"/>
        <v>10.495705014196869</v>
      </c>
      <c r="P5" s="5">
        <f>_xlfn.CONFIDENCE.T(0.05,E5,3)</f>
        <v>1.7622100306500086</v>
      </c>
      <c r="Q5" s="5">
        <f t="shared" si="2"/>
        <v>18.610982108795451</v>
      </c>
      <c r="R5" s="5">
        <f>LOG(D5/N5)/$C$73</f>
        <v>-6.7044272094169321E-4</v>
      </c>
      <c r="S5" s="5">
        <f>ABS(LOG(N5/D5)/$C$73)</f>
        <v>6.7044272094169321E-4</v>
      </c>
      <c r="T5" s="5">
        <f>(D5-N5)^2</f>
        <v>0.4167832071657917</v>
      </c>
      <c r="U5" s="5">
        <f>V5+T5</f>
        <v>0.42623716805139084</v>
      </c>
      <c r="V5" s="6">
        <f>(N5-$D$36)^2</f>
        <v>9.4539608855991573E-3</v>
      </c>
      <c r="W5" s="5"/>
      <c r="X5" s="4">
        <v>20</v>
      </c>
      <c r="Y5" s="9">
        <f>20+273</f>
        <v>293</v>
      </c>
      <c r="Z5" s="5">
        <f>(277-Y5)^2</f>
        <v>256</v>
      </c>
      <c r="AA5" s="74">
        <v>5.6180000000000003</v>
      </c>
      <c r="AB5" s="24">
        <v>0.33100000000000002</v>
      </c>
      <c r="AC5" s="9">
        <v>10.403</v>
      </c>
      <c r="AD5" s="11"/>
      <c r="AE5" s="11"/>
      <c r="AF5" s="5"/>
      <c r="AG5" s="5"/>
      <c r="AH5" s="11"/>
    </row>
    <row r="6" spans="1:34" ht="15.75" thickBot="1" x14ac:dyDescent="0.3">
      <c r="A6" s="5"/>
      <c r="B6" s="77">
        <v>37</v>
      </c>
      <c r="C6" s="5">
        <v>11</v>
      </c>
      <c r="D6" s="5">
        <v>7.28656346</v>
      </c>
      <c r="E6" s="5">
        <v>0.78587899999999999</v>
      </c>
      <c r="F6" s="5">
        <f>10^D6</f>
        <v>19344765.076411255</v>
      </c>
      <c r="G6" s="5">
        <f>LN(10^D6)</f>
        <v>16.777932402151116</v>
      </c>
      <c r="H6" s="5">
        <f>0.0012*(B6-3)^2 + 0.041</f>
        <v>1.4281999999999999</v>
      </c>
      <c r="I6" s="5">
        <f>0.017*(273+B6)^2-9.7375*(273+B6)+1404.9</f>
        <v>19.975000000000136</v>
      </c>
      <c r="J6" s="5">
        <f>-0.0445*(273+B6)+18.429</f>
        <v>4.6339999999999986</v>
      </c>
      <c r="K6" s="5">
        <v>0</v>
      </c>
      <c r="L6" s="5">
        <f>C6+LN(EXP(-H6*C6)+EXP(-H6*K6)-EXP((-H6*C6)-(H6*K6)))*(1/H6)</f>
        <v>11</v>
      </c>
      <c r="M6" s="5">
        <f t="shared" si="0"/>
        <v>19.449510229030817</v>
      </c>
      <c r="N6" s="5">
        <f>LOG(EXP(M6))</f>
        <v>8.4468149681889351</v>
      </c>
      <c r="O6" s="5">
        <f t="shared" si="1"/>
        <v>12.282752881985029</v>
      </c>
      <c r="P6" s="5">
        <f>_xlfn.CONFIDENCE.T(0.05,E6,3)</f>
        <v>1.9522316607726384</v>
      </c>
      <c r="Q6" s="5">
        <f t="shared" si="2"/>
        <v>21.273111922317202</v>
      </c>
      <c r="R6" s="5">
        <f>LOG(D6/N6)/$C$73</f>
        <v>-1.0185750673029005E-3</v>
      </c>
      <c r="S6" s="5">
        <f>ABS(LOG(N6/D6)/$C$73)</f>
        <v>1.0185750673028997E-3</v>
      </c>
      <c r="T6" s="5">
        <f>(D6-N6)^2</f>
        <v>1.3461835622546985</v>
      </c>
      <c r="U6" s="5">
        <f>V6+T6</f>
        <v>3.8363374908339196</v>
      </c>
      <c r="V6" s="6">
        <f>(N6-$D$36)^2</f>
        <v>2.4901539285792214</v>
      </c>
      <c r="W6" s="5"/>
      <c r="X6" s="34">
        <v>10</v>
      </c>
      <c r="Y6" s="10">
        <f>10+273</f>
        <v>283</v>
      </c>
      <c r="Z6" s="38">
        <f>(277-Y6)^2</f>
        <v>36</v>
      </c>
      <c r="AA6" s="75">
        <v>5.74</v>
      </c>
      <c r="AB6" s="27">
        <v>2.5600000000000001E-2</v>
      </c>
      <c r="AC6" s="10">
        <v>10.00118</v>
      </c>
      <c r="AD6" s="11"/>
      <c r="AE6" s="11"/>
      <c r="AF6" s="5"/>
      <c r="AG6" s="5"/>
      <c r="AH6" s="11"/>
    </row>
    <row r="7" spans="1:34" x14ac:dyDescent="0.25">
      <c r="A7" s="5"/>
      <c r="B7" s="77">
        <v>37</v>
      </c>
      <c r="C7" s="5">
        <v>16</v>
      </c>
      <c r="D7" s="5">
        <v>7.8577170479999996</v>
      </c>
      <c r="E7" s="5">
        <v>0.33977000000000002</v>
      </c>
      <c r="F7" s="5">
        <f>10^D7</f>
        <v>72063781.549019173</v>
      </c>
      <c r="G7" s="5">
        <f>LN(10^D7)</f>
        <v>18.09306213968998</v>
      </c>
      <c r="H7" s="5">
        <f>0.0012*(B7-3)^2 + 0.041</f>
        <v>1.4281999999999999</v>
      </c>
      <c r="I7" s="5">
        <f>0.017*(273+B7)^2-9.7375*(273+B7)+1404.9</f>
        <v>19.975000000000136</v>
      </c>
      <c r="J7" s="5">
        <f>-0.0445*(273+B7)+18.429</f>
        <v>4.6339999999999986</v>
      </c>
      <c r="K7" s="5">
        <v>0</v>
      </c>
      <c r="L7" s="5">
        <f>C7+LN(EXP(-H7*C7)+EXP(-H7*K7)-EXP((-H7*C7)-(H7*K7)))*(1/H7)</f>
        <v>16</v>
      </c>
      <c r="M7" s="5">
        <f t="shared" si="0"/>
        <v>19.974452678343603</v>
      </c>
      <c r="N7" s="5">
        <f>LOG(EXP(M7))</f>
        <v>8.6747945772422561</v>
      </c>
      <c r="O7" s="5">
        <f t="shared" si="1"/>
        <v>16.149598647769682</v>
      </c>
      <c r="P7" s="5">
        <f>_xlfn.CONFIDENCE.T(0.05,E7,3)</f>
        <v>0.84403547032141002</v>
      </c>
      <c r="Q7" s="5">
        <f t="shared" si="2"/>
        <v>20.036525631610278</v>
      </c>
      <c r="R7" s="5">
        <f>LOG(D7/N7)/$C$73</f>
        <v>-6.8194941673436137E-4</v>
      </c>
      <c r="S7" s="5">
        <f>ABS(LOG(N7/D7)/$C$73)</f>
        <v>6.8194941673436127E-4</v>
      </c>
      <c r="T7" s="5">
        <f>(D7-N7)^2</f>
        <v>0.66761568879263056</v>
      </c>
      <c r="U7" s="5">
        <f>V7+T7</f>
        <v>3.9292580684627807</v>
      </c>
      <c r="V7" s="6">
        <f>(N7-$D$36)^2</f>
        <v>3.2616423796701501</v>
      </c>
      <c r="W7" s="5"/>
      <c r="AA7" s="11"/>
      <c r="AB7" s="11"/>
      <c r="AC7" s="5"/>
      <c r="AD7" s="11"/>
      <c r="AE7" s="11"/>
      <c r="AF7" s="5"/>
      <c r="AG7" s="5"/>
      <c r="AH7" s="11"/>
    </row>
    <row r="8" spans="1:34" x14ac:dyDescent="0.25">
      <c r="A8" s="5"/>
      <c r="B8" s="77">
        <v>37</v>
      </c>
      <c r="C8" s="5">
        <v>20</v>
      </c>
      <c r="D8" s="5">
        <v>8.3543969140000005</v>
      </c>
      <c r="E8" s="5">
        <v>0.35564200000000001</v>
      </c>
      <c r="F8" s="5">
        <f>10^D8</f>
        <v>226150167.63233295</v>
      </c>
      <c r="G8" s="5">
        <f>LN(10^D8)</f>
        <v>19.236709795131862</v>
      </c>
      <c r="H8" s="5">
        <f>0.0012*(B8-3)^2 + 0.041</f>
        <v>1.4281999999999999</v>
      </c>
      <c r="I8" s="5">
        <f>0.017*(273+B8)^2-9.7375*(273+B8)+1404.9</f>
        <v>19.975000000000136</v>
      </c>
      <c r="J8" s="5">
        <f>-0.0445*(273+B8)+18.429</f>
        <v>4.6339999999999986</v>
      </c>
      <c r="K8" s="5">
        <v>0</v>
      </c>
      <c r="L8" s="5">
        <f>C8+LN(EXP(-H8*C8)+EXP(-H8*K8)-EXP((-H8*C8)-(H8*K8)))*(1/H8)</f>
        <v>20</v>
      </c>
      <c r="M8" s="5">
        <f t="shared" si="0"/>
        <v>19.974998191479045</v>
      </c>
      <c r="N8" s="5">
        <f>LOG(EXP(M8))</f>
        <v>8.6750314905867842</v>
      </c>
      <c r="O8" s="5">
        <f t="shared" si="1"/>
        <v>17.202459439910626</v>
      </c>
      <c r="P8" s="5">
        <f>_xlfn.CONFIDENCE.T(0.05,E8,3)</f>
        <v>0.88346370408231134</v>
      </c>
      <c r="Q8" s="5">
        <f t="shared" si="2"/>
        <v>21.270960150353094</v>
      </c>
      <c r="R8" s="5">
        <f>LOG(D8/N8)/$C$73</f>
        <v>-2.5961833956189806E-4</v>
      </c>
      <c r="S8" s="5">
        <f>ABS(LOG(N8/D8)/$C$73)</f>
        <v>2.5961833956189708E-4</v>
      </c>
      <c r="T8" s="5">
        <f>(D8-N8)^2</f>
        <v>0.10280653170298609</v>
      </c>
      <c r="U8" s="5">
        <f>V8+T8</f>
        <v>3.3653046993383975</v>
      </c>
      <c r="V8" s="6">
        <f>(N8-$D$36)^2</f>
        <v>3.2624981676354112</v>
      </c>
      <c r="W8" s="5"/>
      <c r="AA8" s="42"/>
      <c r="AB8" s="42"/>
      <c r="AC8" s="42"/>
      <c r="AD8" s="11"/>
      <c r="AE8" s="11"/>
      <c r="AF8" s="5"/>
      <c r="AG8" s="5"/>
      <c r="AH8" s="11"/>
    </row>
    <row r="9" spans="1:34" x14ac:dyDescent="0.25">
      <c r="A9" s="5"/>
      <c r="B9" s="77">
        <v>37</v>
      </c>
      <c r="C9" s="5">
        <v>24</v>
      </c>
      <c r="D9" s="5">
        <v>8.171361611</v>
      </c>
      <c r="E9" s="5">
        <v>0.24330399999999999</v>
      </c>
      <c r="F9" s="5">
        <f>10^D9</f>
        <v>148375300.31995511</v>
      </c>
      <c r="G9" s="5">
        <f>LN(10^D9)</f>
        <v>18.815255434952412</v>
      </c>
      <c r="H9" s="5">
        <f>0.0012*(B9-3)^2 + 0.041</f>
        <v>1.4281999999999999</v>
      </c>
      <c r="I9" s="5">
        <f>0.017*(273+B9)^2-9.7375*(273+B9)+1404.9</f>
        <v>19.975000000000136</v>
      </c>
      <c r="J9" s="5">
        <f>-0.0445*(273+B9)+18.429</f>
        <v>4.6339999999999986</v>
      </c>
      <c r="K9" s="5">
        <v>0</v>
      </c>
      <c r="L9" s="5">
        <f>C9+LN(EXP(-H9*C9)+EXP(-H9*K9)-EXP((-H9*C9)-(H9*K9)))*(1/H9)</f>
        <v>24</v>
      </c>
      <c r="M9" s="5">
        <f t="shared" si="0"/>
        <v>19.974999994025847</v>
      </c>
      <c r="N9" s="5">
        <f>LOG(EXP(M9))</f>
        <v>8.6750322734229144</v>
      </c>
      <c r="O9" s="5">
        <f t="shared" si="1"/>
        <v>17.423571526902332</v>
      </c>
      <c r="P9" s="5">
        <f>_xlfn.CONFIDENCE.T(0.05,E9,3)</f>
        <v>0.60440064181970254</v>
      </c>
      <c r="Q9" s="5">
        <f t="shared" si="2"/>
        <v>20.206939343002492</v>
      </c>
      <c r="R9" s="5">
        <f>LOG(D9/N9)/$C$73</f>
        <v>-4.1232808254603408E-4</v>
      </c>
      <c r="S9" s="5">
        <f>ABS(LOG(N9/D9)/$C$73)</f>
        <v>4.1232808254603381E-4</v>
      </c>
      <c r="T9" s="5">
        <f>(D9-N9)^2</f>
        <v>0.25368413618553737</v>
      </c>
      <c r="U9" s="5">
        <f>V9+T9</f>
        <v>3.5161851317993573</v>
      </c>
      <c r="V9" s="6">
        <f>(N9-$D$36)^2</f>
        <v>3.26250099561382</v>
      </c>
      <c r="W9" s="5"/>
      <c r="AA9" s="42"/>
      <c r="AB9" s="42"/>
      <c r="AC9" s="42"/>
      <c r="AD9" s="11"/>
      <c r="AE9" s="11"/>
      <c r="AF9" s="5"/>
      <c r="AG9" s="24"/>
      <c r="AH9" s="11"/>
    </row>
    <row r="10" spans="1:34" x14ac:dyDescent="0.25">
      <c r="A10" s="5"/>
      <c r="B10" s="77">
        <v>37</v>
      </c>
      <c r="C10" s="5">
        <v>28</v>
      </c>
      <c r="D10" s="5">
        <v>8.3832013300000003</v>
      </c>
      <c r="E10" s="5">
        <v>0.38602199999999998</v>
      </c>
      <c r="F10" s="5">
        <f>10^D10</f>
        <v>241658085.20549512</v>
      </c>
      <c r="G10" s="5">
        <f>LN(10^D10)</f>
        <v>19.303034414025859</v>
      </c>
      <c r="H10" s="5">
        <f>0.0012*(B10-3)^2 + 0.041</f>
        <v>1.4281999999999999</v>
      </c>
      <c r="I10" s="5">
        <f>0.017*(273+B10)^2-9.7375*(273+B10)+1404.9</f>
        <v>19.975000000000136</v>
      </c>
      <c r="J10" s="5">
        <f>-0.0445*(273+B10)+18.429</f>
        <v>4.6339999999999986</v>
      </c>
      <c r="K10" s="5">
        <v>0</v>
      </c>
      <c r="L10" s="5">
        <f>C10+LN(EXP(-H10*C10)+EXP(-H10*K10)-EXP((-H10*C10)-(H10*K10)))*(1/H10)</f>
        <v>28</v>
      </c>
      <c r="M10" s="5">
        <f t="shared" si="0"/>
        <v>19.974999999980401</v>
      </c>
      <c r="N10" s="5">
        <f>LOG(EXP(M10))</f>
        <v>8.6750322760089436</v>
      </c>
      <c r="O10" s="5">
        <f t="shared" si="1"/>
        <v>17.095012328267678</v>
      </c>
      <c r="P10" s="5">
        <f>_xlfn.CONFIDENCE.T(0.05,E10,3)</f>
        <v>0.95893180776528619</v>
      </c>
      <c r="Q10" s="5">
        <f t="shared" si="2"/>
        <v>21.51105649978404</v>
      </c>
      <c r="R10" s="5">
        <f>LOG(D10/N10)/$C$73</f>
        <v>-2.3589211167932068E-4</v>
      </c>
      <c r="S10" s="5">
        <f>ABS(LOG(N10/D10)/$C$73)</f>
        <v>2.3589211167932057E-4</v>
      </c>
      <c r="T10" s="5">
        <f>(D10-N10)^2</f>
        <v>8.5165301048474723E-2</v>
      </c>
      <c r="U10" s="5">
        <f>V10+T10</f>
        <v>3.3476663060042706</v>
      </c>
      <c r="V10" s="6">
        <f>(N10-$D$36)^2</f>
        <v>3.2625010049557961</v>
      </c>
      <c r="W10" s="24"/>
      <c r="AD10" s="5"/>
      <c r="AE10" s="24"/>
      <c r="AF10" s="11"/>
      <c r="AG10" s="11"/>
      <c r="AH10" s="11"/>
    </row>
    <row r="11" spans="1:34" x14ac:dyDescent="0.25">
      <c r="A11" s="5"/>
      <c r="B11" s="77">
        <v>37</v>
      </c>
      <c r="C11" s="5">
        <v>0</v>
      </c>
      <c r="D11" s="5">
        <v>1.920310309</v>
      </c>
      <c r="E11" s="5">
        <v>0.21542500000000001</v>
      </c>
      <c r="F11" s="5">
        <f>10^D11</f>
        <v>83.235828939845916</v>
      </c>
      <c r="G11" s="5">
        <f>LN(10^D11)</f>
        <v>4.4216778914261896</v>
      </c>
      <c r="H11" s="5">
        <f>0.0012*(B11-3)^2 + 0.041</f>
        <v>1.4281999999999999</v>
      </c>
      <c r="I11" s="5">
        <f>0.017*(273+B11)^2-9.7375*(273+B11)+1404.9</f>
        <v>19.975000000000136</v>
      </c>
      <c r="J11" s="5">
        <f>-0.0445*(273+B11)+18.429</f>
        <v>4.6339999999999986</v>
      </c>
      <c r="K11" s="5">
        <v>0</v>
      </c>
      <c r="L11" s="5">
        <f>C11+LN(EXP(-H11*C11)+EXP(-H11*K11)-EXP((-H11*C11)-(H11*K11)))*(1/H11)</f>
        <v>0</v>
      </c>
      <c r="M11" s="5">
        <f t="shared" si="0"/>
        <v>4.6339999999999986</v>
      </c>
      <c r="N11" s="5">
        <f>LOG(EXP(M11))</f>
        <v>2.0125206291396682</v>
      </c>
      <c r="O11" s="5">
        <f t="shared" si="1"/>
        <v>3.189460147814541</v>
      </c>
      <c r="P11" s="5">
        <f>_xlfn.CONFIDENCE.T(0.05,E11,3)</f>
        <v>0.53514536655381506</v>
      </c>
      <c r="Q11" s="5">
        <f t="shared" si="2"/>
        <v>5.6538956350378395</v>
      </c>
      <c r="R11" s="5">
        <f>LOG(D11/N11)/$C$73</f>
        <v>-3.2331630737933008E-4</v>
      </c>
      <c r="S11" s="5">
        <f>ABS(LOG(N11/D11)/$C$73)</f>
        <v>3.2331630737933025E-4</v>
      </c>
      <c r="T11" s="5">
        <f>(D11-N11)^2</f>
        <v>8.5027431402601057E-3</v>
      </c>
      <c r="U11" s="5">
        <f>V11+T11</f>
        <v>27.835946846773098</v>
      </c>
      <c r="V11" s="6">
        <f>(M11-$G$69)^2</f>
        <v>27.827444103632839</v>
      </c>
      <c r="W11" s="24"/>
      <c r="AD11" s="5"/>
      <c r="AE11" s="5"/>
      <c r="AF11" s="11"/>
      <c r="AG11" s="11"/>
      <c r="AH11" s="11"/>
    </row>
    <row r="12" spans="1:34" x14ac:dyDescent="0.25">
      <c r="A12" s="5"/>
      <c r="B12" s="77">
        <v>37</v>
      </c>
      <c r="C12" s="5">
        <v>4</v>
      </c>
      <c r="D12" s="5">
        <v>5.0393371340000002</v>
      </c>
      <c r="E12" s="5">
        <v>9.5812999999999995E-2</v>
      </c>
      <c r="F12" s="5">
        <f>10^D12</f>
        <v>109480.59121167415</v>
      </c>
      <c r="G12" s="5">
        <f>LN(10^D12)</f>
        <v>11.60350256331974</v>
      </c>
      <c r="H12" s="5">
        <f>0.0012*(B12-3)^2 + 0.041</f>
        <v>1.4281999999999999</v>
      </c>
      <c r="I12" s="5">
        <f>0.017*(273+B12)^2-9.7375*(273+B12)+1404.9</f>
        <v>19.975000000000136</v>
      </c>
      <c r="J12" s="5">
        <f>-0.0445*(273+B12)+18.429</f>
        <v>4.6339999999999986</v>
      </c>
      <c r="K12" s="5">
        <v>0</v>
      </c>
      <c r="L12" s="5">
        <f>C12+LN(EXP(-H12*C12)+EXP(-H12*K12)-EXP((-H12*C12)-(H12*K12)))*(1/H12)</f>
        <v>4</v>
      </c>
      <c r="M12" s="5">
        <f t="shared" si="0"/>
        <v>10.346734374202937</v>
      </c>
      <c r="N12" s="5">
        <f>LOG(EXP(M12))</f>
        <v>4.4935296444350312</v>
      </c>
      <c r="O12" s="5">
        <f t="shared" si="1"/>
        <v>11.055458099266529</v>
      </c>
      <c r="P12" s="5">
        <f>_xlfn.CONFIDENCE.T(0.05,E12,3)</f>
        <v>0.23801268657593447</v>
      </c>
      <c r="Q12" s="5">
        <f t="shared" si="2"/>
        <v>12.151547027372949</v>
      </c>
      <c r="R12" s="5">
        <f>LOG(D12/N12)/$C$73</f>
        <v>7.9025083641210293E-4</v>
      </c>
      <c r="S12" s="5">
        <f>ABS(LOG(N12/D12)/$C$73)</f>
        <v>7.9025083641210369E-4</v>
      </c>
      <c r="T12" s="5">
        <f>(D12-N12)^2</f>
        <v>0.29790581566521368</v>
      </c>
      <c r="U12" s="5">
        <f>V12+T12</f>
        <v>0.48936627587231651</v>
      </c>
      <c r="V12" s="6">
        <f t="shared" ref="V12:V18" si="3">(M12-$G$69)^2</f>
        <v>0.19146046020710283</v>
      </c>
      <c r="W12" s="24"/>
      <c r="AD12" s="5"/>
      <c r="AE12" s="24"/>
      <c r="AF12" s="11"/>
      <c r="AG12" s="11"/>
      <c r="AH12" s="11"/>
    </row>
    <row r="13" spans="1:34" x14ac:dyDescent="0.25">
      <c r="A13" s="5"/>
      <c r="B13" s="77">
        <v>37</v>
      </c>
      <c r="C13" s="5">
        <v>8</v>
      </c>
      <c r="D13" s="5">
        <v>6.6355336070000002</v>
      </c>
      <c r="E13" s="5">
        <v>0.42135699999999998</v>
      </c>
      <c r="F13" s="5">
        <f>10^D13</f>
        <v>4320495.9960891744</v>
      </c>
      <c r="G13" s="5">
        <f>LN(10^D13)</f>
        <v>15.278880767539212</v>
      </c>
      <c r="H13" s="5">
        <f>0.0012*(B13-3)^2 + 0.041</f>
        <v>1.4281999999999999</v>
      </c>
      <c r="I13" s="5">
        <f>0.017*(273+B13)^2-9.7375*(273+B13)+1404.9</f>
        <v>19.975000000000136</v>
      </c>
      <c r="J13" s="5">
        <f>-0.0445*(273+B13)+18.429</f>
        <v>4.6339999999999986</v>
      </c>
      <c r="K13" s="5">
        <v>0</v>
      </c>
      <c r="L13" s="5">
        <f>C13+LN(EXP(-H13*C13)+EXP(-H13*K13)-EXP((-H13*C13)-(H13*K13)))*(1/H13)</f>
        <v>8</v>
      </c>
      <c r="M13" s="5">
        <f t="shared" si="0"/>
        <v>16.039863692053238</v>
      </c>
      <c r="N13" s="5">
        <f>LOG(EXP(M13))</f>
        <v>6.9660242919390409</v>
      </c>
      <c r="O13" s="5">
        <f t="shared" si="1"/>
        <v>12.868744656154862</v>
      </c>
      <c r="P13" s="5">
        <f>_xlfn.CONFIDENCE.T(0.05,E13,3)</f>
        <v>1.0467088138099843</v>
      </c>
      <c r="Q13" s="5">
        <f t="shared" si="2"/>
        <v>17.689016878923564</v>
      </c>
      <c r="R13" s="5">
        <f>LOG(D13/N13)/$C$73</f>
        <v>-3.3506557953564084E-4</v>
      </c>
      <c r="S13" s="5">
        <f>ABS(LOG(N13/D13)/$C$73)</f>
        <v>3.3506557953564073E-4</v>
      </c>
      <c r="T13" s="5">
        <f>(D13-N13)^2</f>
        <v>0.10922409283147631</v>
      </c>
      <c r="U13" s="5">
        <f>V13+T13</f>
        <v>37.694599516198934</v>
      </c>
      <c r="V13" s="6">
        <f t="shared" si="3"/>
        <v>37.585375423367459</v>
      </c>
      <c r="W13" s="24"/>
      <c r="AD13" s="5"/>
      <c r="AE13" s="24"/>
      <c r="AF13" s="11"/>
      <c r="AG13" s="11"/>
      <c r="AH13" s="11"/>
    </row>
    <row r="14" spans="1:34" x14ac:dyDescent="0.25">
      <c r="A14" s="5"/>
      <c r="B14" s="77">
        <v>37</v>
      </c>
      <c r="C14" s="5">
        <v>11</v>
      </c>
      <c r="D14" s="5">
        <v>7.6769544720000003</v>
      </c>
      <c r="E14" s="5">
        <v>0.41533399999999998</v>
      </c>
      <c r="F14" s="5">
        <f>10^D14</f>
        <v>47528539.816748597</v>
      </c>
      <c r="G14" s="5">
        <f>LN(10^D14)</f>
        <v>17.676840926821178</v>
      </c>
      <c r="H14" s="5">
        <f>0.0012*(B14-3)^2 + 0.041</f>
        <v>1.4281999999999999</v>
      </c>
      <c r="I14" s="5">
        <f>0.017*(273+B14)^2-9.7375*(273+B14)+1404.9</f>
        <v>19.975000000000136</v>
      </c>
      <c r="J14" s="5">
        <f>-0.0445*(273+B14)+18.429</f>
        <v>4.6339999999999986</v>
      </c>
      <c r="K14" s="5">
        <v>0</v>
      </c>
      <c r="L14" s="5">
        <f>C14+LN(EXP(-H14*C14)+EXP(-H14*K14)-EXP((-H14*C14)-(H14*K14)))*(1/H14)</f>
        <v>11</v>
      </c>
      <c r="M14" s="5">
        <f t="shared" si="0"/>
        <v>19.449510229030817</v>
      </c>
      <c r="N14" s="5">
        <f>LOG(EXP(M14))</f>
        <v>8.4468149681889351</v>
      </c>
      <c r="O14" s="5">
        <f t="shared" si="1"/>
        <v>15.301156004805625</v>
      </c>
      <c r="P14" s="5">
        <f>_xlfn.CONFIDENCE.T(0.05,E14,3)</f>
        <v>1.0317468523721118</v>
      </c>
      <c r="Q14" s="5">
        <f t="shared" si="2"/>
        <v>20.052525848836734</v>
      </c>
      <c r="R14" s="5">
        <f>LOG(D14/N14)/$C$73</f>
        <v>-6.5879390162653935E-4</v>
      </c>
      <c r="S14" s="5">
        <f>ABS(LOG(N14/D14)/$C$73)</f>
        <v>6.5879390162653989E-4</v>
      </c>
      <c r="T14" s="5">
        <f>(D14-N14)^2</f>
        <v>0.59268518359227296</v>
      </c>
      <c r="U14" s="5">
        <f>V14+T14</f>
        <v>91.610730616421492</v>
      </c>
      <c r="V14" s="6">
        <f t="shared" si="3"/>
        <v>91.018045432829226</v>
      </c>
      <c r="W14" s="24"/>
      <c r="AD14" s="5"/>
      <c r="AE14" s="24"/>
      <c r="AF14" s="11"/>
      <c r="AG14" s="11"/>
      <c r="AH14" s="11"/>
    </row>
    <row r="15" spans="1:34" x14ac:dyDescent="0.25">
      <c r="A15" s="5"/>
      <c r="B15" s="77">
        <v>37</v>
      </c>
      <c r="C15" s="5">
        <v>16</v>
      </c>
      <c r="D15" s="5">
        <v>8.4118837370000001</v>
      </c>
      <c r="E15" s="5">
        <v>0.41879699999999997</v>
      </c>
      <c r="F15" s="5">
        <f>10^D15</f>
        <v>258156899.80286703</v>
      </c>
      <c r="G15" s="5">
        <f>LN(10^D15)</f>
        <v>19.369078096815247</v>
      </c>
      <c r="H15" s="5">
        <f>0.0012*(B15-3)^2 + 0.041</f>
        <v>1.4281999999999999</v>
      </c>
      <c r="I15" s="5">
        <f>0.017*(273+B15)^2-9.7375*(273+B15)+1404.9</f>
        <v>19.975000000000136</v>
      </c>
      <c r="J15" s="5">
        <f>-0.0445*(273+B15)+18.429</f>
        <v>4.6339999999999986</v>
      </c>
      <c r="K15" s="5">
        <v>0</v>
      </c>
      <c r="L15" s="5">
        <f>C15+LN(EXP(-H15*C15)+EXP(-H15*K15)-EXP((-H15*C15)-(H15*K15)))*(1/H15)</f>
        <v>16</v>
      </c>
      <c r="M15" s="5">
        <f t="shared" si="0"/>
        <v>19.974452678343603</v>
      </c>
      <c r="N15" s="5">
        <f>LOG(EXP(M15))</f>
        <v>8.6747945772422561</v>
      </c>
      <c r="O15" s="5">
        <f t="shared" si="1"/>
        <v>16.973585027898793</v>
      </c>
      <c r="P15" s="5">
        <f>_xlfn.CONFIDENCE.T(0.05,E15,3)</f>
        <v>1.0403494212679034</v>
      </c>
      <c r="Q15" s="5">
        <f t="shared" si="2"/>
        <v>21.764571165731706</v>
      </c>
      <c r="R15" s="5">
        <f>LOG(D15/N15)/$C$73</f>
        <v>-2.1215774221992922E-4</v>
      </c>
      <c r="S15" s="5">
        <f>ABS(LOG(N15/D15)/$C$73)</f>
        <v>2.1215774221992913E-4</v>
      </c>
      <c r="T15" s="5">
        <f>(D15-N15)^2</f>
        <v>6.9122109916889038E-2</v>
      </c>
      <c r="U15" s="5">
        <f>V15+T15</f>
        <v>101.37898870705516</v>
      </c>
      <c r="V15" s="6">
        <f t="shared" si="3"/>
        <v>101.30986659713827</v>
      </c>
      <c r="W15" s="24"/>
      <c r="X15" s="24"/>
      <c r="Y15" s="24"/>
      <c r="Z15" s="24"/>
      <c r="AA15" s="29"/>
      <c r="AB15" s="29"/>
      <c r="AC15" s="24"/>
      <c r="AD15" s="5"/>
      <c r="AE15" s="24"/>
      <c r="AF15" s="11"/>
      <c r="AG15" s="11"/>
      <c r="AH15" s="11"/>
    </row>
    <row r="16" spans="1:34" x14ac:dyDescent="0.25">
      <c r="A16" s="5"/>
      <c r="B16" s="77">
        <v>37</v>
      </c>
      <c r="C16" s="5">
        <v>20</v>
      </c>
      <c r="D16" s="5">
        <v>8.5223674729999992</v>
      </c>
      <c r="E16" s="5">
        <v>0.21551500000000001</v>
      </c>
      <c r="F16" s="5">
        <f>10^D16</f>
        <v>332941148.25111097</v>
      </c>
      <c r="G16" s="5">
        <f>LN(10^D16)</f>
        <v>19.623476300347136</v>
      </c>
      <c r="H16" s="5">
        <f>0.0012*(B16-3)^2 + 0.041</f>
        <v>1.4281999999999999</v>
      </c>
      <c r="I16" s="5">
        <f>0.017*(273+B16)^2-9.7375*(273+B16)+1404.9</f>
        <v>19.975000000000136</v>
      </c>
      <c r="J16" s="5">
        <f>-0.0445*(273+B16)+18.429</f>
        <v>4.6339999999999986</v>
      </c>
      <c r="K16" s="5">
        <v>0</v>
      </c>
      <c r="L16" s="5">
        <f>C16+LN(EXP(-H16*C16)+EXP(-H16*K16)-EXP((-H16*C16)-(H16*K16)))*(1/H16)</f>
        <v>20</v>
      </c>
      <c r="M16" s="5">
        <f t="shared" si="0"/>
        <v>19.974998191479045</v>
      </c>
      <c r="N16" s="5">
        <f>LOG(EXP(M16))</f>
        <v>8.6750314905867842</v>
      </c>
      <c r="O16" s="5">
        <f t="shared" si="1"/>
        <v>18.390743762273726</v>
      </c>
      <c r="P16" s="5">
        <f>_xlfn.CONFIDENCE.T(0.05,E16,3)</f>
        <v>0.53536893894787263</v>
      </c>
      <c r="Q16" s="5">
        <f t="shared" si="2"/>
        <v>20.856208838420546</v>
      </c>
      <c r="R16" s="5">
        <f>LOG(D16/N16)/$C$73</f>
        <v>-1.2239370642762594E-4</v>
      </c>
      <c r="S16" s="5">
        <f>ABS(LOG(N16/D16)/$C$73)</f>
        <v>1.2239370642762627E-4</v>
      </c>
      <c r="T16" s="5">
        <f>(D16-N16)^2</f>
        <v>2.3306302265738214E-2</v>
      </c>
      <c r="U16" s="5">
        <f>V16+T16</f>
        <v>101.34415468216983</v>
      </c>
      <c r="V16" s="6">
        <f t="shared" si="3"/>
        <v>101.32084837990409</v>
      </c>
      <c r="W16" s="24"/>
      <c r="AB16" s="11"/>
      <c r="AC16" s="11"/>
      <c r="AD16" s="5"/>
      <c r="AE16" s="24"/>
      <c r="AF16" s="11"/>
      <c r="AG16" s="11"/>
      <c r="AH16" s="11"/>
    </row>
    <row r="17" spans="1:34" x14ac:dyDescent="0.25">
      <c r="A17" s="5"/>
      <c r="B17" s="77">
        <v>37</v>
      </c>
      <c r="C17" s="5">
        <v>24</v>
      </c>
      <c r="D17" s="5">
        <v>8.3119982239999999</v>
      </c>
      <c r="E17" s="5">
        <v>0.19914499999999999</v>
      </c>
      <c r="F17" s="5">
        <f>10^D17</f>
        <v>205115379.08383116</v>
      </c>
      <c r="G17" s="5">
        <f>LN(10^D17)</f>
        <v>19.139083203575385</v>
      </c>
      <c r="H17" s="5">
        <f>0.0012*(B17-3)^2 + 0.041</f>
        <v>1.4281999999999999</v>
      </c>
      <c r="I17" s="5">
        <f>0.017*(273+B17)^2-9.7375*(273+B17)+1404.9</f>
        <v>19.975000000000136</v>
      </c>
      <c r="J17" s="5">
        <f>-0.0445*(273+B17)+18.429</f>
        <v>4.6339999999999986</v>
      </c>
      <c r="K17" s="5">
        <v>0</v>
      </c>
      <c r="L17" s="5">
        <f>C17+LN(EXP(-H17*C17)+EXP(-H17*K17)-EXP((-H17*C17)-(H17*K17)))*(1/H17)</f>
        <v>24</v>
      </c>
      <c r="M17" s="5">
        <f t="shared" si="0"/>
        <v>19.974999994025847</v>
      </c>
      <c r="N17" s="5">
        <f>LOG(EXP(M17))</f>
        <v>8.6750322734229144</v>
      </c>
      <c r="O17" s="5">
        <f t="shared" si="1"/>
        <v>17.99998605815799</v>
      </c>
      <c r="P17" s="5">
        <f>_xlfn.CONFIDENCE.T(0.05,E17,3)</f>
        <v>0.49470360460651963</v>
      </c>
      <c r="Q17" s="5">
        <f t="shared" si="2"/>
        <v>20.278180348992777</v>
      </c>
      <c r="R17" s="5">
        <f>LOG(D17/N17)/$C$73</f>
        <v>-2.9469297463426901E-4</v>
      </c>
      <c r="S17" s="5">
        <f>ABS(LOG(N17/D17)/$C$73)</f>
        <v>2.9469297463426901E-4</v>
      </c>
      <c r="T17" s="5">
        <f>(D17-N17)^2</f>
        <v>0.13179372104039913</v>
      </c>
      <c r="U17" s="5">
        <f>V17+T17</f>
        <v>101.45267838919182</v>
      </c>
      <c r="V17" s="6">
        <f t="shared" si="3"/>
        <v>101.32088466815142</v>
      </c>
      <c r="W17" s="24"/>
      <c r="AB17" s="11"/>
      <c r="AC17" s="11"/>
      <c r="AD17" s="5"/>
      <c r="AE17" s="5"/>
      <c r="AF17" s="11"/>
      <c r="AG17" s="11"/>
      <c r="AH17" s="11"/>
    </row>
    <row r="18" spans="1:34" x14ac:dyDescent="0.25">
      <c r="A18" s="5"/>
      <c r="B18" s="77">
        <v>37</v>
      </c>
      <c r="C18" s="5">
        <v>28</v>
      </c>
      <c r="D18" s="5">
        <v>8.429326069</v>
      </c>
      <c r="E18" s="5">
        <v>0.24004</v>
      </c>
      <c r="F18" s="5">
        <f>10^D18</f>
        <v>268736136.3672958</v>
      </c>
      <c r="G18" s="5">
        <f>LN(10^D18)</f>
        <v>19.409240550465501</v>
      </c>
      <c r="H18" s="5">
        <f>0.0012*(B18-3)^2 + 0.041</f>
        <v>1.4281999999999999</v>
      </c>
      <c r="I18" s="5">
        <f>0.017*(273+B18)^2-9.7375*(273+B18)+1404.9</f>
        <v>19.975000000000136</v>
      </c>
      <c r="J18" s="5">
        <f>-0.0445*(273+B18)+18.429</f>
        <v>4.6339999999999986</v>
      </c>
      <c r="K18" s="5">
        <v>0</v>
      </c>
      <c r="L18" s="5">
        <f>C18+LN(EXP(-H18*C18)+EXP(-H18*K18)-EXP((-H18*C18)-(H18*K18)))*(1/H18)</f>
        <v>28</v>
      </c>
      <c r="M18" s="5">
        <f t="shared" si="0"/>
        <v>19.974999999980401</v>
      </c>
      <c r="N18" s="5">
        <f>LOG(EXP(M18))</f>
        <v>8.6750322760089436</v>
      </c>
      <c r="O18" s="5">
        <f t="shared" si="1"/>
        <v>18.036226521561982</v>
      </c>
      <c r="P18" s="5">
        <f>_xlfn.CONFIDENCE.T(0.05,E18,3)</f>
        <v>0.59629241632854946</v>
      </c>
      <c r="Q18" s="5">
        <f t="shared" si="2"/>
        <v>20.78225457936902</v>
      </c>
      <c r="R18" s="5">
        <f>LOG(D18/N18)/$C$73</f>
        <v>-1.9806738803201986E-4</v>
      </c>
      <c r="S18" s="5">
        <f>ABS(LOG(N18/D18)/$C$73)</f>
        <v>1.9806738803202032E-4</v>
      </c>
      <c r="T18" s="5">
        <f>(D18-N18)^2</f>
        <v>6.037154016272181E-2</v>
      </c>
      <c r="U18" s="5">
        <f>V18+T18</f>
        <v>101.38125632818917</v>
      </c>
      <c r="V18" s="6">
        <f t="shared" si="3"/>
        <v>101.32088478802645</v>
      </c>
      <c r="W18" s="24"/>
      <c r="AB18" s="11"/>
      <c r="AC18" s="11"/>
      <c r="AD18" s="11"/>
      <c r="AE18" s="11"/>
      <c r="AF18" s="5"/>
      <c r="AG18" s="24"/>
      <c r="AH18" s="11"/>
    </row>
    <row r="19" spans="1:34" x14ac:dyDescent="0.25">
      <c r="A19" s="5"/>
      <c r="B19" s="78">
        <v>30</v>
      </c>
      <c r="C19" s="5">
        <v>0</v>
      </c>
      <c r="D19" s="5">
        <v>2.0523787539999998</v>
      </c>
      <c r="E19" s="5">
        <v>9.7292000000000003E-2</v>
      </c>
      <c r="F19" s="5">
        <f>10^D19</f>
        <v>112.81809288723814</v>
      </c>
      <c r="G19" s="5">
        <f>LN(10^D19)</f>
        <v>4.7257767241380932</v>
      </c>
      <c r="H19" s="5">
        <f>0.0012*(B19-3)^2 + 0.041</f>
        <v>0.91579999999999995</v>
      </c>
      <c r="I19" s="5">
        <f>0.017*(273+B19)^2-9.7375*(273+B19)+1404.9</f>
        <v>15.190500000000156</v>
      </c>
      <c r="J19" s="5">
        <f>-0.0445*(273+B19)+18.429</f>
        <v>4.9454999999999991</v>
      </c>
      <c r="K19" s="5">
        <v>0</v>
      </c>
      <c r="L19" s="5">
        <f>C19+LN(EXP(-H19*C19)+EXP(-H19*K19)-EXP((-H19*C19)-(H19*K19)))*(1/H19)</f>
        <v>0</v>
      </c>
      <c r="M19" s="5">
        <f t="shared" si="0"/>
        <v>4.9454999999999991</v>
      </c>
      <c r="N19" s="5">
        <f>LOG(EXP(M19))</f>
        <v>2.1478033602525315</v>
      </c>
      <c r="O19" s="5">
        <f t="shared" si="1"/>
        <v>4.1692724710965967</v>
      </c>
      <c r="P19" s="5">
        <f>_xlfn.CONFIDENCE.T(0.05,E19,3)</f>
        <v>0.24168672625161322</v>
      </c>
      <c r="Q19" s="5">
        <f t="shared" si="2"/>
        <v>5.2822809771795907</v>
      </c>
      <c r="R19" s="5">
        <f>LOG(D19/N19)/$C$73</f>
        <v>-3.1328582954998269E-4</v>
      </c>
      <c r="S19" s="5">
        <f>ABS(LOG(N19/D19)/$C$73)</f>
        <v>3.1328582954998286E-4</v>
      </c>
      <c r="T19" s="5">
        <f>(D19-N19)^2</f>
        <v>9.1058554784507091E-3</v>
      </c>
      <c r="U19" s="5">
        <f>V19+T19</f>
        <v>4.622165129790516</v>
      </c>
      <c r="V19" s="6">
        <f>(N19-$D$108)^2</f>
        <v>4.6130592743120653</v>
      </c>
      <c r="W19" s="24"/>
      <c r="AB19" s="11"/>
      <c r="AC19" s="11"/>
      <c r="AD19" s="11"/>
      <c r="AE19" s="11"/>
      <c r="AF19" s="5"/>
      <c r="AG19" s="5"/>
      <c r="AH19" s="11"/>
    </row>
    <row r="20" spans="1:34" x14ac:dyDescent="0.25">
      <c r="A20" s="5"/>
      <c r="B20" s="78">
        <v>30</v>
      </c>
      <c r="C20" s="5">
        <v>6</v>
      </c>
      <c r="D20" s="5">
        <v>4.7719247730000003</v>
      </c>
      <c r="E20" s="5">
        <v>0.19089700000000001</v>
      </c>
      <c r="F20" s="5">
        <f>10^D20</f>
        <v>59145.917477306379</v>
      </c>
      <c r="G20" s="5">
        <f>LN(10^D20)</f>
        <v>10.987762847198796</v>
      </c>
      <c r="H20" s="5">
        <f>0.0012*(B20-3)^2 + 0.041</f>
        <v>0.91579999999999995</v>
      </c>
      <c r="I20" s="5">
        <f>0.017*(273+B20)^2-9.7375*(273+B20)+1404.9</f>
        <v>15.190500000000156</v>
      </c>
      <c r="J20" s="5">
        <f>-0.0445*(273+B20)+18.429</f>
        <v>4.9454999999999991</v>
      </c>
      <c r="K20" s="5">
        <v>0</v>
      </c>
      <c r="L20" s="5">
        <f>C20+LN(EXP(-H20*C20)+EXP(-H20*K20)-EXP((-H20*C20)-(H20*K20)))*(1/H20)</f>
        <v>6</v>
      </c>
      <c r="M20" s="5">
        <f t="shared" si="0"/>
        <v>10.431722462178286</v>
      </c>
      <c r="N20" s="5">
        <f>LOG(EXP(M20))</f>
        <v>4.5304395020702328</v>
      </c>
      <c r="O20" s="5">
        <f t="shared" si="1"/>
        <v>9.8958437542326454</v>
      </c>
      <c r="P20" s="5">
        <f>_xlfn.CONFIDENCE.T(0.05,E20,3)</f>
        <v>0.47421443676000302</v>
      </c>
      <c r="Q20" s="5">
        <f t="shared" si="2"/>
        <v>12.079681940164948</v>
      </c>
      <c r="R20" s="5">
        <f>LOG(D20/N20)/$C$73</f>
        <v>3.5798814693791827E-4</v>
      </c>
      <c r="S20" s="5">
        <f>ABS(LOG(N20/D20)/$C$73)</f>
        <v>3.57988146937918E-4</v>
      </c>
      <c r="T20" s="5">
        <f>(D20-N20)^2</f>
        <v>5.8315136076023191E-2</v>
      </c>
      <c r="U20" s="5">
        <f>V20+T20</f>
        <v>20.5831972179944</v>
      </c>
      <c r="V20" s="6">
        <f>(N20-$D$108)^2</f>
        <v>20.524882081918378</v>
      </c>
      <c r="W20" s="24"/>
      <c r="AC20" s="11"/>
      <c r="AD20" s="11"/>
      <c r="AE20" s="11"/>
      <c r="AF20" s="5"/>
      <c r="AG20" s="24"/>
      <c r="AH20" s="11"/>
    </row>
    <row r="21" spans="1:34" x14ac:dyDescent="0.25">
      <c r="A21" s="5"/>
      <c r="B21" s="78">
        <v>30</v>
      </c>
      <c r="C21" s="5">
        <v>12</v>
      </c>
      <c r="D21" s="5">
        <v>5.2638557449999999</v>
      </c>
      <c r="E21" s="5">
        <v>0.14196900000000001</v>
      </c>
      <c r="F21" s="5">
        <f>10^D21</f>
        <v>183592.84211523287</v>
      </c>
      <c r="G21" s="5">
        <f>LN(10^D21)</f>
        <v>12.120475770108067</v>
      </c>
      <c r="H21" s="5">
        <f>0.0012*(B21-3)^2 + 0.041</f>
        <v>0.91579999999999995</v>
      </c>
      <c r="I21" s="5">
        <f>0.017*(273+B21)^2-9.7375*(273+B21)+1404.9</f>
        <v>15.190500000000156</v>
      </c>
      <c r="J21" s="5">
        <f>-0.0445*(273+B21)+18.429</f>
        <v>4.9454999999999991</v>
      </c>
      <c r="K21" s="5">
        <v>0</v>
      </c>
      <c r="L21" s="5">
        <f>C21+LN(EXP(-H21*C21)+EXP(-H21*K21)-EXP((-H21*C21)-(H21*K21)))*(1/H21)</f>
        <v>12</v>
      </c>
      <c r="M21" s="5">
        <f t="shared" si="0"/>
        <v>14.801904822120711</v>
      </c>
      <c r="N21" s="5">
        <f>LOG(EXP(M21))</f>
        <v>6.4283855859041594</v>
      </c>
      <c r="O21" s="5">
        <f t="shared" si="1"/>
        <v>11.30842182630952</v>
      </c>
      <c r="P21" s="5">
        <f>_xlfn.CONFIDENCE.T(0.05,E21,3)</f>
        <v>0.35267054679948273</v>
      </c>
      <c r="Q21" s="5">
        <f t="shared" si="2"/>
        <v>12.932529713906616</v>
      </c>
      <c r="R21" s="5">
        <f>LOG(D21/N21)/$C$73</f>
        <v>-1.3777450732230833E-3</v>
      </c>
      <c r="S21" s="5">
        <f>ABS(LOG(N21/D21)/$C$73)</f>
        <v>1.3777450732230835E-3</v>
      </c>
      <c r="T21" s="5">
        <f>(D21-N21)^2</f>
        <v>1.3561297503562673</v>
      </c>
      <c r="U21" s="5">
        <f>V21+T21</f>
        <v>42.680270991416627</v>
      </c>
      <c r="V21" s="6">
        <f>(N21-$D$108)^2</f>
        <v>41.32414124106036</v>
      </c>
      <c r="W21" s="24"/>
      <c r="AC21" s="24"/>
      <c r="AD21" s="11"/>
      <c r="AE21" s="11"/>
      <c r="AF21" s="5"/>
      <c r="AG21" s="24"/>
      <c r="AH21" s="11"/>
    </row>
    <row r="22" spans="1:34" x14ac:dyDescent="0.25">
      <c r="A22" s="5"/>
      <c r="B22" s="78">
        <v>30</v>
      </c>
      <c r="C22" s="5">
        <v>18</v>
      </c>
      <c r="D22" s="5">
        <v>5.8333349969999997</v>
      </c>
      <c r="E22" s="5">
        <v>0.38352199999999997</v>
      </c>
      <c r="F22" s="5">
        <f>10^D22</f>
        <v>681294.6789116991</v>
      </c>
      <c r="G22" s="5">
        <f>LN(10^D22)</f>
        <v>13.431750206532667</v>
      </c>
      <c r="H22" s="5">
        <f>0.0012*(B22-3)^2 + 0.041</f>
        <v>0.91579999999999995</v>
      </c>
      <c r="I22" s="5">
        <f>0.017*(273+B22)^2-9.7375*(273+B22)+1404.9</f>
        <v>15.190500000000156</v>
      </c>
      <c r="J22" s="5">
        <f>-0.0445*(273+B22)+18.429</f>
        <v>4.9454999999999991</v>
      </c>
      <c r="K22" s="5">
        <v>0</v>
      </c>
      <c r="L22" s="5">
        <f>C22+LN(EXP(-H22*C22)+EXP(-H22*K22)-EXP((-H22*C22)-(H22*K22)))*(1/H22)</f>
        <v>18</v>
      </c>
      <c r="M22" s="5">
        <f t="shared" si="0"/>
        <v>15.188550944186034</v>
      </c>
      <c r="N22" s="5">
        <f>LOG(EXP(M22))</f>
        <v>6.5963038631664199</v>
      </c>
      <c r="O22" s="5">
        <f t="shared" si="1"/>
        <v>11.238027966934538</v>
      </c>
      <c r="P22" s="5">
        <f>_xlfn.CONFIDENCE.T(0.05,E22,3)</f>
        <v>0.95272146348591036</v>
      </c>
      <c r="Q22" s="5">
        <f t="shared" si="2"/>
        <v>15.625472446130795</v>
      </c>
      <c r="R22" s="5">
        <f>LOG(D22/N22)/$C$73</f>
        <v>-8.4736088369522043E-4</v>
      </c>
      <c r="S22" s="5">
        <f>ABS(LOG(N22/D22)/$C$73)</f>
        <v>8.4736088369521999E-4</v>
      </c>
      <c r="T22" s="5">
        <f>(D22-N22)^2</f>
        <v>0.58212149073927288</v>
      </c>
      <c r="U22" s="5">
        <f>V22+T22</f>
        <v>44.093346145963508</v>
      </c>
      <c r="V22" s="6">
        <f>(N22-$D$108)^2</f>
        <v>43.511224655224233</v>
      </c>
      <c r="W22" s="24"/>
      <c r="AD22" s="11"/>
      <c r="AE22" s="11"/>
      <c r="AF22" s="5"/>
      <c r="AG22" s="24"/>
      <c r="AH22" s="11"/>
    </row>
    <row r="23" spans="1:34" x14ac:dyDescent="0.25">
      <c r="A23" s="5"/>
      <c r="B23" s="78">
        <v>30</v>
      </c>
      <c r="C23" s="5">
        <v>24</v>
      </c>
      <c r="D23" s="5">
        <v>6.1995849749999996</v>
      </c>
      <c r="E23" s="5">
        <v>0.29651</v>
      </c>
      <c r="F23" s="5">
        <f>10^D23</f>
        <v>1583379.3438352402</v>
      </c>
      <c r="G23" s="5">
        <f>LN(10^D23)</f>
        <v>14.275071946184864</v>
      </c>
      <c r="H23" s="5">
        <f>0.0012*(B23-3)^2 + 0.041</f>
        <v>0.91579999999999995</v>
      </c>
      <c r="I23" s="5">
        <f>0.017*(273+B23)^2-9.7375*(273+B23)+1404.9</f>
        <v>15.190500000000156</v>
      </c>
      <c r="J23" s="5">
        <f>-0.0445*(273+B23)+18.429</f>
        <v>4.9454999999999991</v>
      </c>
      <c r="K23" s="5">
        <v>0</v>
      </c>
      <c r="L23" s="5">
        <f>C23+LN(EXP(-H23*C23)+EXP(-H23*K23)-EXP((-H23*C23)-(H23*K23)))*(1/H23)</f>
        <v>24</v>
      </c>
      <c r="M23" s="5">
        <f t="shared" si="0"/>
        <v>15.190491985350972</v>
      </c>
      <c r="N23" s="5">
        <f>LOG(EXP(M23))</f>
        <v>6.5971468466334997</v>
      </c>
      <c r="O23" s="5">
        <f t="shared" si="1"/>
        <v>12.579052992218099</v>
      </c>
      <c r="P23" s="5">
        <f>_xlfn.CONFIDENCE.T(0.05,E23,3)</f>
        <v>0.73657167291109071</v>
      </c>
      <c r="Q23" s="5">
        <f t="shared" si="2"/>
        <v>15.971090900151628</v>
      </c>
      <c r="R23" s="5">
        <f>LOG(D23/N23)/$C$73</f>
        <v>-4.2846879579417458E-4</v>
      </c>
      <c r="S23" s="5">
        <f>ABS(LOG(N23/D23)/$C$73)</f>
        <v>4.2846879579417485E-4</v>
      </c>
      <c r="T23" s="5">
        <f>(D23-N23)^2</f>
        <v>0.15805544177673161</v>
      </c>
      <c r="U23" s="5">
        <f>V23+T23</f>
        <v>43.680401957823058</v>
      </c>
      <c r="V23" s="6">
        <f>(N23-$D$108)^2</f>
        <v>43.522346516046326</v>
      </c>
      <c r="W23" s="24"/>
      <c r="AD23" s="11"/>
      <c r="AE23" s="11"/>
      <c r="AF23" s="5"/>
      <c r="AG23" s="24"/>
      <c r="AH23" s="11"/>
    </row>
    <row r="24" spans="1:34" x14ac:dyDescent="0.25">
      <c r="A24" s="5"/>
      <c r="B24" s="78">
        <v>30</v>
      </c>
      <c r="C24" s="5">
        <v>30</v>
      </c>
      <c r="D24" s="5">
        <v>6.012722793</v>
      </c>
      <c r="E24" s="5">
        <v>0.42579099999999998</v>
      </c>
      <c r="F24" s="5">
        <f>10^D24</f>
        <v>1029728.6423507631</v>
      </c>
      <c r="G24" s="5">
        <f>LN(10^D24)</f>
        <v>13.844805871467324</v>
      </c>
      <c r="H24" s="5">
        <f>0.0012*(B24-3)^2 + 0.041</f>
        <v>0.91579999999999995</v>
      </c>
      <c r="I24" s="5">
        <f>0.017*(273+B24)^2-9.7375*(273+B24)+1404.9</f>
        <v>15.190500000000156</v>
      </c>
      <c r="J24" s="5">
        <f>-0.0445*(273+B24)+18.429</f>
        <v>4.9454999999999991</v>
      </c>
      <c r="K24" s="5">
        <v>0</v>
      </c>
      <c r="L24" s="5">
        <f>C24+LN(EXP(-H24*C24)+EXP(-H24*K24)-EXP((-H24*C24)-(H24*K24)))*(1/H24)</f>
        <v>30</v>
      </c>
      <c r="M24" s="5">
        <f t="shared" si="0"/>
        <v>15.190499967075226</v>
      </c>
      <c r="N24" s="5">
        <f>LOG(EXP(M24))</f>
        <v>6.5971503130522988</v>
      </c>
      <c r="O24" s="5">
        <f t="shared" si="1"/>
        <v>11.409307552933507</v>
      </c>
      <c r="P24" s="5">
        <f>_xlfn.CONFIDENCE.T(0.05,E24,3)</f>
        <v>1.0577234804238853</v>
      </c>
      <c r="Q24" s="5">
        <f t="shared" si="2"/>
        <v>16.280304190001143</v>
      </c>
      <c r="R24" s="5">
        <f>LOG(D24/N24)/$C$73</f>
        <v>-6.3944758003307291E-4</v>
      </c>
      <c r="S24" s="5">
        <f>ABS(LOG(N24/D24)/$C$73)</f>
        <v>6.3944758003307313E-4</v>
      </c>
      <c r="T24" s="5">
        <f>(D24-N24)^2</f>
        <v>0.34155552619448015</v>
      </c>
      <c r="U24" s="5">
        <f>V24+T24</f>
        <v>43.863947779200529</v>
      </c>
      <c r="V24" s="6">
        <f>(N24-$D$108)^2</f>
        <v>43.522392253006046</v>
      </c>
      <c r="W24" s="24"/>
      <c r="AD24" s="11"/>
      <c r="AE24" s="11"/>
      <c r="AF24" s="5"/>
      <c r="AG24" s="24"/>
      <c r="AH24" s="11"/>
    </row>
    <row r="25" spans="1:34" x14ac:dyDescent="0.25">
      <c r="A25" s="5"/>
      <c r="B25" s="78">
        <v>30</v>
      </c>
      <c r="C25" s="5">
        <v>36</v>
      </c>
      <c r="D25" s="5">
        <v>6.2475402979999997</v>
      </c>
      <c r="E25" s="5">
        <v>0.29510399999999998</v>
      </c>
      <c r="F25" s="5">
        <f>10^D25</f>
        <v>1768236.2840140453</v>
      </c>
      <c r="G25" s="5">
        <f>LN(10^D25)</f>
        <v>14.385493158054379</v>
      </c>
      <c r="H25" s="5">
        <f>0.0012*(B25-3)^2 + 0.041</f>
        <v>0.91579999999999995</v>
      </c>
      <c r="I25" s="5">
        <f>0.017*(273+B25)^2-9.7375*(273+B25)+1404.9</f>
        <v>15.190500000000156</v>
      </c>
      <c r="J25" s="5">
        <f>-0.0445*(273+B25)+18.429</f>
        <v>4.9454999999999991</v>
      </c>
      <c r="K25" s="5">
        <v>0</v>
      </c>
      <c r="L25" s="5">
        <f>C25+LN(EXP(-H25*C25)+EXP(-H25*K25)-EXP((-H25*C25)-(H25*K25)))*(1/H25)</f>
        <v>36</v>
      </c>
      <c r="M25" s="5">
        <f t="shared" si="0"/>
        <v>15.190499999864894</v>
      </c>
      <c r="N25" s="5">
        <f>LOG(EXP(M25))</f>
        <v>6.5971503272926713</v>
      </c>
      <c r="O25" s="5">
        <f t="shared" si="1"/>
        <v>12.697516437568027</v>
      </c>
      <c r="P25" s="5">
        <f>_xlfn.CONFIDENCE.T(0.05,E25,3)</f>
        <v>0.73307897528836963</v>
      </c>
      <c r="Q25" s="5">
        <f t="shared" si="2"/>
        <v>16.073469878540731</v>
      </c>
      <c r="R25" s="5">
        <f>LOG(D25/N25)/$C$73</f>
        <v>-3.7535419412592882E-4</v>
      </c>
      <c r="S25" s="5">
        <f>ABS(LOG(N25/D25)/$C$73)</f>
        <v>3.7535419412592903E-4</v>
      </c>
      <c r="T25" s="5">
        <f>(D25-N25)^2</f>
        <v>0.12222717258202269</v>
      </c>
      <c r="U25" s="5">
        <f>V25+T25</f>
        <v>43.644619613479819</v>
      </c>
      <c r="V25" s="6">
        <f>(N25-$D$108)^2</f>
        <v>43.522392440897796</v>
      </c>
      <c r="W25" s="24"/>
      <c r="AD25" s="5"/>
      <c r="AE25" s="24"/>
      <c r="AF25" s="11"/>
      <c r="AG25" s="11"/>
      <c r="AH25" s="11"/>
    </row>
    <row r="26" spans="1:34" x14ac:dyDescent="0.25">
      <c r="A26" s="5"/>
      <c r="B26" s="78">
        <v>30</v>
      </c>
      <c r="C26" s="5">
        <v>42</v>
      </c>
      <c r="D26" s="5">
        <v>6.4082812310000001</v>
      </c>
      <c r="E26" s="5">
        <v>0.30677300000000002</v>
      </c>
      <c r="F26" s="5">
        <f>10^D26</f>
        <v>2560243.2570181591</v>
      </c>
      <c r="G26" s="5">
        <f>LN(10^D26)</f>
        <v>14.755612834214133</v>
      </c>
      <c r="H26" s="5">
        <f>0.0012*(B26-3)^2 + 0.041</f>
        <v>0.91579999999999995</v>
      </c>
      <c r="I26" s="5">
        <f>0.017*(273+B26)^2-9.7375*(273+B26)+1404.9</f>
        <v>15.190500000000156</v>
      </c>
      <c r="J26" s="5">
        <f>-0.0445*(273+B26)+18.429</f>
        <v>4.9454999999999991</v>
      </c>
      <c r="K26" s="5">
        <v>0</v>
      </c>
      <c r="L26" s="5">
        <f>C26+LN(EXP(-H26*C26)+EXP(-H26*K26)-EXP((-H26*C26)-(H26*K26)))*(1/H26)</f>
        <v>42</v>
      </c>
      <c r="M26" s="5">
        <f t="shared" si="0"/>
        <v>15.190499999999599</v>
      </c>
      <c r="N26" s="5">
        <f>LOG(EXP(M26))</f>
        <v>6.5971503273511729</v>
      </c>
      <c r="O26" s="5">
        <f t="shared" si="1"/>
        <v>13.000890151791127</v>
      </c>
      <c r="P26" s="5">
        <f>_xlfn.CONFIDENCE.T(0.05,E26,3)</f>
        <v>0.76206637824678436</v>
      </c>
      <c r="Q26" s="5">
        <f t="shared" si="2"/>
        <v>16.510335516637141</v>
      </c>
      <c r="R26" s="5">
        <f>LOG(D26/N26)/$C$73</f>
        <v>-2.0023519976772875E-4</v>
      </c>
      <c r="S26" s="5">
        <f>ABS(LOG(N26/D26)/$C$73)</f>
        <v>2.0023519976772875E-4</v>
      </c>
      <c r="T26" s="5">
        <f>(D26-N26)^2</f>
        <v>3.5671535556508586E-2</v>
      </c>
      <c r="U26" s="5">
        <f>V26+T26</f>
        <v>43.558063977226197</v>
      </c>
      <c r="V26" s="6">
        <f>(N26-$D$108)^2</f>
        <v>43.522392441669687</v>
      </c>
      <c r="W26" s="24"/>
      <c r="AD26" s="5"/>
      <c r="AE26" s="5"/>
      <c r="AF26" s="11"/>
      <c r="AG26" s="11"/>
      <c r="AH26" s="11"/>
    </row>
    <row r="27" spans="1:34" x14ac:dyDescent="0.25">
      <c r="A27" s="5"/>
      <c r="B27" s="78">
        <v>30</v>
      </c>
      <c r="C27" s="5">
        <v>48</v>
      </c>
      <c r="D27" s="5">
        <v>6.7704433679999996</v>
      </c>
      <c r="E27" s="5">
        <v>0.18940699999999999</v>
      </c>
      <c r="F27" s="5">
        <f>10^D27</f>
        <v>5894451.0841222508</v>
      </c>
      <c r="G27" s="5">
        <f>LN(10^D27)</f>
        <v>15.5895219721172</v>
      </c>
      <c r="H27" s="5">
        <f>0.0012*(B27-3)^2 + 0.041</f>
        <v>0.91579999999999995</v>
      </c>
      <c r="I27" s="5">
        <f>0.017*(273+B27)^2-9.7375*(273+B27)+1404.9</f>
        <v>15.190500000000156</v>
      </c>
      <c r="J27" s="5">
        <f>-0.0445*(273+B27)+18.429</f>
        <v>4.9454999999999991</v>
      </c>
      <c r="K27" s="5">
        <v>0</v>
      </c>
      <c r="L27" s="5">
        <f>C27+LN(EXP(-H27*C27)+EXP(-H27*K27)-EXP((-H27*C27)-(H27*K27)))*(1/H27)</f>
        <v>48</v>
      </c>
      <c r="M27" s="5">
        <f t="shared" si="0"/>
        <v>15.190500000000149</v>
      </c>
      <c r="N27" s="5">
        <f>LOG(EXP(M27))</f>
        <v>6.5971503273514118</v>
      </c>
      <c r="O27" s="5">
        <f t="shared" si="1"/>
        <v>14.50612558746244</v>
      </c>
      <c r="P27" s="5">
        <f>_xlfn.CONFIDENCE.T(0.05,E27,3)</f>
        <v>0.47051307156949496</v>
      </c>
      <c r="Q27" s="5">
        <f t="shared" si="2"/>
        <v>16.672918356771959</v>
      </c>
      <c r="R27" s="5">
        <f>LOG(D27/N27)/$C$73</f>
        <v>1.7874173664685208E-4</v>
      </c>
      <c r="S27" s="5">
        <f>ABS(LOG(N27/D27)/$C$73)</f>
        <v>1.7874173664685276E-4</v>
      </c>
      <c r="T27" s="5">
        <f>(D27-N27)^2</f>
        <v>3.0030477937233086E-2</v>
      </c>
      <c r="U27" s="5">
        <f>V27+T27</f>
        <v>43.552422919610073</v>
      </c>
      <c r="V27" s="6">
        <f>(N27-$D$108)^2</f>
        <v>43.522392441672842</v>
      </c>
      <c r="W27" s="24"/>
      <c r="X27" s="5"/>
      <c r="Y27" s="5"/>
      <c r="AA27" s="29"/>
      <c r="AB27" s="29"/>
      <c r="AC27" s="29"/>
      <c r="AD27" s="5"/>
      <c r="AE27" s="24"/>
      <c r="AF27" s="11"/>
    </row>
    <row r="28" spans="1:34" x14ac:dyDescent="0.25">
      <c r="A28" s="5"/>
      <c r="B28" s="78">
        <v>30</v>
      </c>
      <c r="C28" s="5">
        <v>0</v>
      </c>
      <c r="D28" s="5">
        <v>2.003103844</v>
      </c>
      <c r="E28" s="5">
        <v>0.18285899999999999</v>
      </c>
      <c r="F28" s="5">
        <f>10^D28</f>
        <v>100.7172464714249</v>
      </c>
      <c r="G28" s="5">
        <f>LN(10^D28)</f>
        <v>4.6123170509134708</v>
      </c>
      <c r="H28" s="5">
        <f>0.0012*(B28-3)^2 + 0.041</f>
        <v>0.91579999999999995</v>
      </c>
      <c r="I28" s="5">
        <f>0.017*(273+B28)^2-9.7375*(273+B28)+1404.9</f>
        <v>15.190500000000156</v>
      </c>
      <c r="J28" s="5">
        <f>-0.0445*(273+B28)+18.429</f>
        <v>4.9454999999999991</v>
      </c>
      <c r="K28" s="5">
        <v>0</v>
      </c>
      <c r="L28" s="5">
        <f>C28+LN(EXP(-H28*C28)+EXP(-H28*K28)-EXP((-H28*C28)-(H28*K28)))*(1/H28)</f>
        <v>0</v>
      </c>
      <c r="M28" s="5">
        <f t="shared" si="0"/>
        <v>4.9454999999999991</v>
      </c>
      <c r="N28" s="5">
        <f>LOG(EXP(M28))</f>
        <v>2.1478033602525315</v>
      </c>
      <c r="O28" s="5">
        <f t="shared" si="1"/>
        <v>3.5663748233211181</v>
      </c>
      <c r="P28" s="5">
        <f>_xlfn.CONFIDENCE.T(0.05,E28,3)</f>
        <v>0.45424693783295378</v>
      </c>
      <c r="Q28" s="5">
        <f t="shared" si="2"/>
        <v>5.6582592785058239</v>
      </c>
      <c r="R28" s="5">
        <f>LOG(D28/N28)/$C$73</f>
        <v>-4.8081036706088519E-4</v>
      </c>
      <c r="S28" s="5">
        <f>ABS(LOG(N28/D28)/$C$73)</f>
        <v>4.8081036706088519E-4</v>
      </c>
      <c r="T28" s="5">
        <f>(D28-N28)^2</f>
        <v>2.0937950003716635E-2</v>
      </c>
      <c r="U28" s="5">
        <f>V28+T28</f>
        <v>4.6339972243157819</v>
      </c>
      <c r="V28" s="6">
        <f>(N28-$D$108)^2</f>
        <v>4.6130592743120653</v>
      </c>
      <c r="W28" s="5"/>
      <c r="X28" s="5"/>
      <c r="Y28" s="24"/>
      <c r="AC28" s="11"/>
      <c r="AD28" s="5"/>
      <c r="AE28" s="24"/>
      <c r="AF28" s="11"/>
    </row>
    <row r="29" spans="1:34" x14ac:dyDescent="0.25">
      <c r="A29" s="5"/>
      <c r="B29" s="78">
        <v>30</v>
      </c>
      <c r="C29" s="5">
        <v>6</v>
      </c>
      <c r="D29" s="5">
        <v>5.0320470689999999</v>
      </c>
      <c r="E29" s="5">
        <v>0.232068</v>
      </c>
      <c r="F29" s="5">
        <f>10^D29</f>
        <v>107658.18876587879</v>
      </c>
      <c r="G29" s="5">
        <f>LN(10^D29)</f>
        <v>11.58671656832378</v>
      </c>
      <c r="H29" s="5">
        <f>0.0012*(B29-3)^2 + 0.041</f>
        <v>0.91579999999999995</v>
      </c>
      <c r="I29" s="5">
        <f>0.017*(273+B29)^2-9.7375*(273+B29)+1404.9</f>
        <v>15.190500000000156</v>
      </c>
      <c r="J29" s="5">
        <f>-0.0445*(273+B29)+18.429</f>
        <v>4.9454999999999991</v>
      </c>
      <c r="K29" s="5">
        <v>0</v>
      </c>
      <c r="L29" s="5">
        <f>C29+LN(EXP(-H29*C29)+EXP(-H29*K29)-EXP((-H29*C29)-(H29*K29)))*(1/H29)</f>
        <v>6</v>
      </c>
      <c r="M29" s="5">
        <f t="shared" si="0"/>
        <v>10.431722462178286</v>
      </c>
      <c r="N29" s="5">
        <f>LOG(EXP(M29))</f>
        <v>4.5304395020702328</v>
      </c>
      <c r="O29" s="5">
        <f t="shared" si="1"/>
        <v>10.259301888855436</v>
      </c>
      <c r="P29" s="5">
        <f>_xlfn.CONFIDENCE.T(0.05,E29,3)</f>
        <v>0.57648887049047581</v>
      </c>
      <c r="Q29" s="5">
        <f t="shared" si="2"/>
        <v>12.914131247792126</v>
      </c>
      <c r="R29" s="5">
        <f>LOG(D29/N29)/$C$73</f>
        <v>7.2387872095130599E-4</v>
      </c>
      <c r="S29" s="5">
        <f>ABS(LOG(N29/D29)/$C$73)</f>
        <v>7.2387872095130664E-4</v>
      </c>
      <c r="T29" s="5">
        <f>(D29-N29)^2</f>
        <v>0.25161015120120073</v>
      </c>
      <c r="U29" s="5">
        <f>V29+T29</f>
        <v>20.77649223311958</v>
      </c>
      <c r="V29" s="6">
        <f>(N29-$D$108)^2</f>
        <v>20.524882081918378</v>
      </c>
      <c r="W29" s="5"/>
      <c r="X29" s="5"/>
      <c r="Y29" s="24"/>
      <c r="Z29" s="11"/>
      <c r="AC29" s="11"/>
      <c r="AD29" s="5"/>
      <c r="AE29" s="24"/>
      <c r="AF29" s="11"/>
    </row>
    <row r="30" spans="1:34" x14ac:dyDescent="0.25">
      <c r="A30" s="5"/>
      <c r="B30" s="78">
        <v>30</v>
      </c>
      <c r="C30" s="5">
        <v>12</v>
      </c>
      <c r="D30" s="5">
        <v>6.0392000210000001</v>
      </c>
      <c r="E30" s="5">
        <v>0.25769500000000001</v>
      </c>
      <c r="F30" s="5">
        <f>10^D30</f>
        <v>1094460.3207369277</v>
      </c>
      <c r="G30" s="5">
        <f>LN(10^D30)</f>
        <v>13.905771941963929</v>
      </c>
      <c r="H30" s="5">
        <f>0.0012*(B30-3)^2 + 0.041</f>
        <v>0.91579999999999995</v>
      </c>
      <c r="I30" s="5">
        <f>0.017*(273+B30)^2-9.7375*(273+B30)+1404.9</f>
        <v>15.190500000000156</v>
      </c>
      <c r="J30" s="5">
        <f>-0.0445*(273+B30)+18.429</f>
        <v>4.9454999999999991</v>
      </c>
      <c r="K30" s="5">
        <v>0</v>
      </c>
      <c r="L30" s="5">
        <f>C30+LN(EXP(-H30*C30)+EXP(-H30*K30)-EXP((-H30*C30)-(H30*K30)))*(1/H30)</f>
        <v>12</v>
      </c>
      <c r="M30" s="5">
        <f t="shared" si="0"/>
        <v>14.801904822120711</v>
      </c>
      <c r="N30" s="5">
        <f>LOG(EXP(M30))</f>
        <v>6.4283855859041594</v>
      </c>
      <c r="O30" s="5">
        <f t="shared" si="1"/>
        <v>12.431772399478128</v>
      </c>
      <c r="P30" s="5">
        <f>_xlfn.CONFIDENCE.T(0.05,E30,3)</f>
        <v>0.64014986762950155</v>
      </c>
      <c r="Q30" s="5">
        <f t="shared" si="2"/>
        <v>15.379771484449732</v>
      </c>
      <c r="R30" s="5">
        <f>LOG(D30/N30)/$C$73</f>
        <v>-4.3051594837970779E-4</v>
      </c>
      <c r="S30" s="5">
        <f>ABS(LOG(N30/D30)/$C$73)</f>
        <v>4.3051594837970855E-4</v>
      </c>
      <c r="T30" s="5">
        <f>(D30-N30)^2</f>
        <v>0.15146540392976962</v>
      </c>
      <c r="U30" s="5">
        <f>V30+T30</f>
        <v>41.47560664499013</v>
      </c>
      <c r="V30" s="6">
        <f>(N30-$D$108)^2</f>
        <v>41.32414124106036</v>
      </c>
      <c r="W30" s="5"/>
      <c r="X30" s="5"/>
      <c r="Y30" s="24"/>
      <c r="AC30" s="11"/>
      <c r="AD30" s="5"/>
      <c r="AE30" s="24"/>
      <c r="AF30" s="11"/>
    </row>
    <row r="31" spans="1:34" x14ac:dyDescent="0.25">
      <c r="A31" s="5"/>
      <c r="B31" s="78">
        <v>30</v>
      </c>
      <c r="C31" s="5">
        <v>18</v>
      </c>
      <c r="D31" s="5">
        <v>5.9639257529999998</v>
      </c>
      <c r="E31" s="5">
        <v>0.186893</v>
      </c>
      <c r="F31" s="5">
        <f>10^D31</f>
        <v>920292.22511217871</v>
      </c>
      <c r="G31" s="5">
        <f>LN(10^D31)</f>
        <v>13.73244653458109</v>
      </c>
      <c r="H31" s="5">
        <f>0.0012*(B31-3)^2 + 0.041</f>
        <v>0.91579999999999995</v>
      </c>
      <c r="I31" s="5">
        <f>0.017*(273+B31)^2-9.7375*(273+B31)+1404.9</f>
        <v>15.190500000000156</v>
      </c>
      <c r="J31" s="5">
        <f>-0.0445*(273+B31)+18.429</f>
        <v>4.9454999999999991</v>
      </c>
      <c r="K31" s="5">
        <v>0</v>
      </c>
      <c r="L31" s="5">
        <f>C31+LN(EXP(-H31*C31)+EXP(-H31*K31)-EXP((-H31*C31)-(H31*K31)))*(1/H31)</f>
        <v>18</v>
      </c>
      <c r="M31" s="5">
        <f t="shared" si="0"/>
        <v>15.188550944186034</v>
      </c>
      <c r="N31" s="5">
        <f t="shared" ref="N31:N36" si="4">LOG(EXP(M31))</f>
        <v>6.5963038631664199</v>
      </c>
      <c r="O31" s="5">
        <f t="shared" si="1"/>
        <v>12.663430075224879</v>
      </c>
      <c r="P31" s="5">
        <f>_xlfn.CONFIDENCE.T(0.05,E31,3)</f>
        <v>0.46426794936215465</v>
      </c>
      <c r="Q31" s="5">
        <f t="shared" si="2"/>
        <v>14.801462993937301</v>
      </c>
      <c r="R31" s="5">
        <f>LOG(D31/N31)/$C$73</f>
        <v>-6.9473691062958264E-4</v>
      </c>
      <c r="S31" s="5">
        <f>ABS(LOG(N31/D31)/$C$73)</f>
        <v>6.9473691062958221E-4</v>
      </c>
      <c r="T31" s="5">
        <f>(D31-N31)^2</f>
        <v>0.39990207421765295</v>
      </c>
      <c r="U31" s="5">
        <f t="shared" ref="U31:U36" si="5">V31+T31</f>
        <v>43.911126729441882</v>
      </c>
      <c r="V31" s="6">
        <f t="shared" ref="V31:V36" si="6">(N31-$D$108)^2</f>
        <v>43.511224655224233</v>
      </c>
      <c r="W31" s="5"/>
      <c r="X31" s="5"/>
      <c r="Y31" s="24"/>
      <c r="AC31" s="11"/>
      <c r="AD31" s="5"/>
      <c r="AE31" s="24"/>
      <c r="AF31" s="11"/>
    </row>
    <row r="32" spans="1:34" x14ac:dyDescent="0.25">
      <c r="A32" s="5"/>
      <c r="B32" s="78">
        <v>30</v>
      </c>
      <c r="C32" s="5">
        <v>24</v>
      </c>
      <c r="D32" s="5">
        <v>6.5507256710000004</v>
      </c>
      <c r="E32" s="5">
        <v>0.19458400000000001</v>
      </c>
      <c r="F32" s="5">
        <f>10^D32</f>
        <v>3554067.4933799985</v>
      </c>
      <c r="G32" s="5">
        <f>LN(10^D32)</f>
        <v>15.083603278338019</v>
      </c>
      <c r="H32" s="5">
        <f>0.0012*(B32-3)^2 + 0.041</f>
        <v>0.91579999999999995</v>
      </c>
      <c r="I32" s="5">
        <f>0.017*(273+B32)^2-9.7375*(273+B32)+1404.9</f>
        <v>15.190500000000156</v>
      </c>
      <c r="J32" s="5">
        <f>-0.0445*(273+B32)+18.429</f>
        <v>4.9454999999999991</v>
      </c>
      <c r="K32" s="5">
        <v>0</v>
      </c>
      <c r="L32" s="5">
        <f>C32+LN(EXP(-H32*C32)+EXP(-H32*K32)-EXP((-H32*C32)-(H32*K32)))*(1/H32)</f>
        <v>24</v>
      </c>
      <c r="M32" s="5">
        <f t="shared" si="0"/>
        <v>15.190491985350972</v>
      </c>
      <c r="N32" s="5">
        <f t="shared" si="4"/>
        <v>6.5971468466334997</v>
      </c>
      <c r="O32" s="5">
        <f t="shared" si="1"/>
        <v>13.970594772255025</v>
      </c>
      <c r="P32" s="5">
        <f>_xlfn.CONFIDENCE.T(0.05,E32,3)</f>
        <v>0.48337345250322644</v>
      </c>
      <c r="Q32" s="5">
        <f t="shared" si="2"/>
        <v>16.196611784421012</v>
      </c>
      <c r="R32" s="5">
        <f>LOG(D32/N32)/$C$73</f>
        <v>-4.8678390754283494E-5</v>
      </c>
      <c r="S32" s="5">
        <f>ABS(LOG(N32/D32)/$C$73)</f>
        <v>4.867839075428386E-5</v>
      </c>
      <c r="T32" s="5">
        <f>(D32-N32)^2</f>
        <v>2.1549255471961935E-3</v>
      </c>
      <c r="U32" s="5">
        <f t="shared" si="5"/>
        <v>43.524501441593522</v>
      </c>
      <c r="V32" s="6">
        <f t="shared" si="6"/>
        <v>43.522346516046326</v>
      </c>
      <c r="W32" s="5"/>
      <c r="X32" s="5"/>
      <c r="Y32" s="24"/>
      <c r="AC32" s="11"/>
      <c r="AD32" s="11"/>
      <c r="AE32" s="11"/>
      <c r="AF32" s="11"/>
    </row>
    <row r="33" spans="1:32" x14ac:dyDescent="0.25">
      <c r="A33" s="5"/>
      <c r="B33" s="78">
        <v>30</v>
      </c>
      <c r="C33" s="5">
        <v>30</v>
      </c>
      <c r="D33" s="5">
        <v>6.4138057450000003</v>
      </c>
      <c r="E33" s="5">
        <v>0.55965100000000001</v>
      </c>
      <c r="F33" s="5">
        <f>10^D33</f>
        <v>2593019.2745557097</v>
      </c>
      <c r="G33" s="5">
        <f>LN(10^D33)</f>
        <v>14.768333497796572</v>
      </c>
      <c r="H33" s="5">
        <f>0.0012*(B33-3)^2 + 0.041</f>
        <v>0.91579999999999995</v>
      </c>
      <c r="I33" s="5">
        <f>0.017*(273+B33)^2-9.7375*(273+B33)+1404.9</f>
        <v>15.190500000000156</v>
      </c>
      <c r="J33" s="5">
        <f>-0.0445*(273+B33)+18.429</f>
        <v>4.9454999999999991</v>
      </c>
      <c r="K33" s="5">
        <v>0</v>
      </c>
      <c r="L33" s="5">
        <f>C33+LN(EXP(-H33*C33)+EXP(-H33*K33)-EXP((-H33*C33)-(H33*K33)))*(1/H33)</f>
        <v>30</v>
      </c>
      <c r="M33" s="5">
        <f t="shared" si="0"/>
        <v>15.190499967075226</v>
      </c>
      <c r="N33" s="5">
        <f t="shared" si="4"/>
        <v>6.5971503130522988</v>
      </c>
      <c r="O33" s="5">
        <f t="shared" si="1"/>
        <v>11.567164216468949</v>
      </c>
      <c r="P33" s="5">
        <f>_xlfn.CONFIDENCE.T(0.05,E33,3)</f>
        <v>1.3902501545187846</v>
      </c>
      <c r="Q33" s="5">
        <f t="shared" si="2"/>
        <v>17.969502779124195</v>
      </c>
      <c r="R33" s="5">
        <f>LOG(D33/N33)/$C$73</f>
        <v>-1.9429487435076989E-4</v>
      </c>
      <c r="S33" s="5">
        <f>ABS(LOG(N33/D33)/$C$73)</f>
        <v>1.9429487435077006E-4</v>
      </c>
      <c r="T33" s="5">
        <f>(D33-N33)^2</f>
        <v>3.3615230634283913E-2</v>
      </c>
      <c r="U33" s="5">
        <f t="shared" si="5"/>
        <v>43.556007483640329</v>
      </c>
      <c r="V33" s="6">
        <f t="shared" si="6"/>
        <v>43.522392253006046</v>
      </c>
      <c r="W33" s="5"/>
      <c r="AC33" s="11"/>
      <c r="AD33" s="11"/>
      <c r="AE33" s="11"/>
      <c r="AF33" s="11"/>
    </row>
    <row r="34" spans="1:32" x14ac:dyDescent="0.25">
      <c r="A34" s="5"/>
      <c r="B34" s="78">
        <v>30</v>
      </c>
      <c r="C34" s="5">
        <v>36</v>
      </c>
      <c r="D34" s="5">
        <v>6.6842459490000001</v>
      </c>
      <c r="E34" s="5">
        <v>0.21376300000000001</v>
      </c>
      <c r="F34" s="5">
        <f>10^D34</f>
        <v>4833324.4465358155</v>
      </c>
      <c r="G34" s="5">
        <f>LN(10^D34)</f>
        <v>15.391045080073241</v>
      </c>
      <c r="H34" s="5">
        <f>0.0012*(B34-3)^2 + 0.041</f>
        <v>0.91579999999999995</v>
      </c>
      <c r="I34" s="5">
        <f>0.017*(273+B34)^2-9.7375*(273+B34)+1404.9</f>
        <v>15.190500000000156</v>
      </c>
      <c r="J34" s="5">
        <f>-0.0445*(273+B34)+18.429</f>
        <v>4.9454999999999991</v>
      </c>
      <c r="K34" s="5">
        <v>0</v>
      </c>
      <c r="L34" s="5">
        <f>C34+LN(EXP(-H34*C34)+EXP(-H34*K34)-EXP((-H34*C34)-(H34*K34)))*(1/H34)</f>
        <v>36</v>
      </c>
      <c r="M34" s="5">
        <f t="shared" si="0"/>
        <v>15.190499999864894</v>
      </c>
      <c r="N34" s="5">
        <f t="shared" si="4"/>
        <v>6.5971503272926713</v>
      </c>
      <c r="O34" s="5">
        <f t="shared" si="1"/>
        <v>14.168333874188793</v>
      </c>
      <c r="P34" s="5">
        <f>_xlfn.CONFIDENCE.T(0.05,E34,3)</f>
        <v>0.53101672967688607</v>
      </c>
      <c r="Q34" s="5">
        <f t="shared" si="2"/>
        <v>16.613756285957688</v>
      </c>
      <c r="R34" s="5">
        <f>LOG(D34/N34)/$C$73</f>
        <v>9.0413352223361266E-5</v>
      </c>
      <c r="S34" s="5">
        <f>ABS(LOG(N34/D34)/$C$73)</f>
        <v>9.0413352223360534E-5</v>
      </c>
      <c r="T34" s="5">
        <f>(D34-N34)^2</f>
        <v>7.5856473205861367E-3</v>
      </c>
      <c r="U34" s="5">
        <f t="shared" si="5"/>
        <v>43.529978088218385</v>
      </c>
      <c r="V34" s="6">
        <f t="shared" si="6"/>
        <v>43.522392440897796</v>
      </c>
      <c r="W34" s="5"/>
      <c r="AC34" s="11"/>
      <c r="AD34" s="11"/>
      <c r="AE34" s="11"/>
      <c r="AF34" s="11"/>
    </row>
    <row r="35" spans="1:32" x14ac:dyDescent="0.25">
      <c r="A35" s="5"/>
      <c r="B35" s="78">
        <v>30</v>
      </c>
      <c r="C35" s="5">
        <v>42</v>
      </c>
      <c r="D35" s="5">
        <v>6.4990173179999999</v>
      </c>
      <c r="E35" s="5">
        <v>0.42107899999999998</v>
      </c>
      <c r="F35" s="5">
        <f>10^D35</f>
        <v>3155130.4353794884</v>
      </c>
      <c r="G35" s="5">
        <f>LN(10^D35)</f>
        <v>14.964540395536945</v>
      </c>
      <c r="H35" s="5">
        <f>0.0012*(B35-3)^2 + 0.041</f>
        <v>0.91579999999999995</v>
      </c>
      <c r="I35" s="5">
        <f>0.017*(273+B35)^2-9.7375*(273+B35)+1404.9</f>
        <v>15.190500000000156</v>
      </c>
      <c r="J35" s="5">
        <f>-0.0445*(273+B35)+18.429</f>
        <v>4.9454999999999991</v>
      </c>
      <c r="K35" s="5">
        <v>0</v>
      </c>
      <c r="L35" s="5">
        <f>C35+LN(EXP(-H35*C35)+EXP(-H35*K35)-EXP((-H35*C35)-(H35*K35)))*(1/H35)</f>
        <v>42</v>
      </c>
      <c r="M35" s="5">
        <f t="shared" si="0"/>
        <v>15.190499999999599</v>
      </c>
      <c r="N35" s="5">
        <f t="shared" si="4"/>
        <v>6.5971503273511729</v>
      </c>
      <c r="O35" s="5">
        <f t="shared" si="1"/>
        <v>12.555994427045592</v>
      </c>
      <c r="P35" s="5">
        <f>_xlfn.CONFIDENCE.T(0.05,E35,3)</f>
        <v>1.0460182235261177</v>
      </c>
      <c r="Q35" s="5">
        <f t="shared" si="2"/>
        <v>17.373086364028296</v>
      </c>
      <c r="R35" s="5">
        <f>LOG(D35/N35)/$C$73</f>
        <v>-1.0331247774456665E-4</v>
      </c>
      <c r="S35" s="5">
        <f>ABS(LOG(N35/D35)/$C$73)</f>
        <v>1.0331247774456691E-4</v>
      </c>
      <c r="T35" s="5">
        <f>(D35-N35)^2</f>
        <v>9.6300875243174027E-3</v>
      </c>
      <c r="U35" s="5">
        <f t="shared" si="5"/>
        <v>43.532022529194002</v>
      </c>
      <c r="V35" s="6">
        <f t="shared" si="6"/>
        <v>43.522392441669687</v>
      </c>
      <c r="W35" s="5"/>
      <c r="X35" s="24"/>
      <c r="Y35" s="24"/>
      <c r="Z35" s="24"/>
    </row>
    <row r="36" spans="1:32" x14ac:dyDescent="0.25">
      <c r="A36" s="5"/>
      <c r="B36" s="78">
        <v>30</v>
      </c>
      <c r="C36" s="5">
        <v>48</v>
      </c>
      <c r="D36" s="5">
        <v>6.8687928109999996</v>
      </c>
      <c r="E36" s="5">
        <v>0.46417199999999997</v>
      </c>
      <c r="F36" s="5">
        <f>10^D36</f>
        <v>7392525.1549793612</v>
      </c>
      <c r="G36" s="5">
        <f>LN(10^D36)</f>
        <v>15.815979933473269</v>
      </c>
      <c r="H36" s="5">
        <f>0.0012*(B36-3)^2 + 0.041</f>
        <v>0.91579999999999995</v>
      </c>
      <c r="I36" s="5">
        <f>0.017*(273+B36)^2-9.7375*(273+B36)+1404.9</f>
        <v>15.190500000000156</v>
      </c>
      <c r="J36" s="5">
        <f>-0.0445*(273+B36)+18.429</f>
        <v>4.9454999999999991</v>
      </c>
      <c r="K36" s="5">
        <v>0</v>
      </c>
      <c r="L36" s="5">
        <f>C36+LN(EXP(-H36*C36)+EXP(-H36*K36)-EXP((-H36*C36)-(H36*K36)))*(1/H36)</f>
        <v>48</v>
      </c>
      <c r="M36" s="5">
        <f t="shared" si="0"/>
        <v>15.190500000000149</v>
      </c>
      <c r="N36" s="5">
        <f t="shared" si="4"/>
        <v>6.5971503273514118</v>
      </c>
      <c r="O36" s="5">
        <f t="shared" si="1"/>
        <v>13.160944656751875</v>
      </c>
      <c r="P36" s="5">
        <f>_xlfn.CONFIDENCE.T(0.05,E36,3)</f>
        <v>1.1530671699385746</v>
      </c>
      <c r="Q36" s="5">
        <f t="shared" si="2"/>
        <v>18.471015210194661</v>
      </c>
      <c r="R36" s="5">
        <f>LOG(D36/N36)/$C$73</f>
        <v>2.7815930570943806E-4</v>
      </c>
      <c r="S36" s="5">
        <f>ABS(LOG(N36/D36)/$C$73)</f>
        <v>2.7815930570943774E-4</v>
      </c>
      <c r="T36" s="5">
        <f>(D36-N36)^2</f>
        <v>7.3789638922773279E-2</v>
      </c>
      <c r="U36" s="5">
        <f t="shared" si="5"/>
        <v>43.596182080595618</v>
      </c>
      <c r="V36" s="6">
        <f t="shared" si="6"/>
        <v>43.522392441672842</v>
      </c>
      <c r="W36" s="5"/>
      <c r="X36" s="5"/>
      <c r="Y36" s="5"/>
      <c r="Z36" s="11"/>
    </row>
    <row r="37" spans="1:32" x14ac:dyDescent="0.25">
      <c r="A37" s="5"/>
      <c r="B37" s="79">
        <v>20</v>
      </c>
      <c r="C37" s="5">
        <v>0</v>
      </c>
      <c r="D37" s="5">
        <v>2.11</v>
      </c>
      <c r="E37" s="5">
        <v>0.14000000000000001</v>
      </c>
      <c r="F37" s="5">
        <f>10^D37</f>
        <v>128.82495516931343</v>
      </c>
      <c r="G37" s="5">
        <f>LN(10^D37)</f>
        <v>4.8584545462174367</v>
      </c>
      <c r="H37" s="5">
        <f>0.0012*(B37-3)^2 + 0.041</f>
        <v>0.38779999999999998</v>
      </c>
      <c r="I37" s="5">
        <f>0.017*(273+B37)^2-9.7375*(273+B37)+1404.9</f>
        <v>11.245499999999993</v>
      </c>
      <c r="J37" s="5">
        <f>-0.0445*(273+B37)+18.429</f>
        <v>5.3904999999999994</v>
      </c>
      <c r="K37" s="5">
        <v>0</v>
      </c>
      <c r="L37" s="5">
        <f>C37+LN(EXP(-H37*C37)+EXP(-H37*K37)-EXP((-H37*C37)-(H37*K37)))*(1/H37)</f>
        <v>0</v>
      </c>
      <c r="M37" s="5">
        <f t="shared" si="0"/>
        <v>5.3904999999999994</v>
      </c>
      <c r="N37" s="5">
        <f t="shared" ref="N37:N70" si="7">LOG(EXP(M37))</f>
        <v>2.3410644046994786</v>
      </c>
      <c r="O37" s="5">
        <f t="shared" si="1"/>
        <v>4.0576631612545455</v>
      </c>
      <c r="P37" s="5">
        <f>_xlfn.CONFIDENCE.T(0.05,E37,3)</f>
        <v>0.3477792796450464</v>
      </c>
      <c r="Q37" s="5">
        <f t="shared" si="2"/>
        <v>5.6592459311803278</v>
      </c>
      <c r="R37" s="5">
        <f>LOG(D37/N37)/$C$73</f>
        <v>-7.1636359331407736E-4</v>
      </c>
      <c r="S37" s="5">
        <f>ABS(LOG(N37/D37)/$C$73)</f>
        <v>7.1636359331407802E-4</v>
      </c>
      <c r="T37" s="5">
        <f>(D37-N37)^2</f>
        <v>5.3390759119124498E-2</v>
      </c>
      <c r="U37" s="5">
        <f t="shared" ref="U37:U70" si="8">V37+T37</f>
        <v>5.5339733060700489</v>
      </c>
      <c r="V37" s="6">
        <f t="shared" ref="V37:V70" si="9">(N37-$D$108)^2</f>
        <v>5.4805825469509246</v>
      </c>
      <c r="W37" s="5"/>
      <c r="X37" s="5"/>
      <c r="Y37" s="5"/>
      <c r="Z37" s="11"/>
    </row>
    <row r="38" spans="1:32" x14ac:dyDescent="0.25">
      <c r="A38" s="5"/>
      <c r="B38" s="79">
        <v>20</v>
      </c>
      <c r="C38" s="5">
        <v>12</v>
      </c>
      <c r="D38" s="5">
        <v>3.91</v>
      </c>
      <c r="E38" s="5">
        <v>0.14000000000000001</v>
      </c>
      <c r="F38" s="5">
        <f>10^D38</f>
        <v>8128.3051616410066</v>
      </c>
      <c r="G38" s="5">
        <f>LN(10^D38)</f>
        <v>9.0031077136067204</v>
      </c>
      <c r="H38" s="5">
        <f>0.0012*(B38-3)^2 + 0.041</f>
        <v>0.38779999999999998</v>
      </c>
      <c r="I38" s="5">
        <f>0.017*(273+B38)^2-9.7375*(273+B38)+1404.9</f>
        <v>11.245499999999993</v>
      </c>
      <c r="J38" s="5">
        <f>-0.0445*(273+B38)+18.429</f>
        <v>5.3904999999999994</v>
      </c>
      <c r="K38" s="5">
        <v>0</v>
      </c>
      <c r="L38" s="5">
        <f>C38+LN(EXP(-H38*C38)+EXP(-H38*K38)-EXP((-H38*C38)-(H38*K38)))*(1/H38)</f>
        <v>12</v>
      </c>
      <c r="M38" s="5">
        <f t="shared" si="0"/>
        <v>9.783346802259981</v>
      </c>
      <c r="N38" s="5">
        <f t="shared" si="7"/>
        <v>4.2488535307673336</v>
      </c>
      <c r="O38" s="5">
        <f t="shared" si="1"/>
        <v>8.2023163286438283</v>
      </c>
      <c r="P38" s="5">
        <f>_xlfn.CONFIDENCE.T(0.05,E38,3)</f>
        <v>0.3477792796450464</v>
      </c>
      <c r="Q38" s="5">
        <f t="shared" si="2"/>
        <v>9.8038990985696124</v>
      </c>
      <c r="R38" s="5">
        <f>LOG(D38/N38)/$C$73</f>
        <v>-5.7293655033075776E-4</v>
      </c>
      <c r="S38" s="5">
        <f>ABS(LOG(N38/D38)/$C$73)</f>
        <v>5.7293655033075809E-4</v>
      </c>
      <c r="T38" s="5">
        <f>(D38-N38)^2</f>
        <v>0.11482171531348823</v>
      </c>
      <c r="U38" s="5">
        <f t="shared" si="8"/>
        <v>18.167578041227525</v>
      </c>
      <c r="V38" s="6">
        <f t="shared" si="9"/>
        <v>18.052756325914036</v>
      </c>
      <c r="W38" s="5"/>
      <c r="X38" s="5"/>
      <c r="Y38" s="5"/>
      <c r="Z38" s="11"/>
    </row>
    <row r="39" spans="1:32" x14ac:dyDescent="0.25">
      <c r="A39" s="5"/>
      <c r="B39" s="79">
        <v>20</v>
      </c>
      <c r="C39" s="5">
        <v>24</v>
      </c>
      <c r="D39" s="5">
        <v>4.3</v>
      </c>
      <c r="E39" s="5">
        <v>0.09</v>
      </c>
      <c r="F39" s="5">
        <f>10^D39</f>
        <v>19952.623149688792</v>
      </c>
      <c r="G39" s="5">
        <f>LN(10^D39)</f>
        <v>9.9011158998743962</v>
      </c>
      <c r="H39" s="5">
        <f>0.0012*(B39-3)^2 + 0.041</f>
        <v>0.38779999999999998</v>
      </c>
      <c r="I39" s="5">
        <f>0.017*(273+B39)^2-9.7375*(273+B39)+1404.9</f>
        <v>11.245499999999993</v>
      </c>
      <c r="J39" s="5">
        <f>-0.0445*(273+B39)+18.429</f>
        <v>5.3904999999999994</v>
      </c>
      <c r="K39" s="5">
        <v>0</v>
      </c>
      <c r="L39" s="5">
        <f>C39+LN(EXP(-H39*C39)+EXP(-H39*K39)-EXP((-H39*C39)-(H39*K39)))*(1/H39)</f>
        <v>24</v>
      </c>
      <c r="M39" s="5">
        <f t="shared" si="0"/>
        <v>11.214403444391792</v>
      </c>
      <c r="N39" s="5">
        <f t="shared" si="7"/>
        <v>4.8703535337361759</v>
      </c>
      <c r="O39" s="5">
        <f t="shared" si="1"/>
        <v>9.3863214381125388</v>
      </c>
      <c r="P39" s="5">
        <f>_xlfn.CONFIDENCE.T(0.05,E39,3)</f>
        <v>0.22357239405752979</v>
      </c>
      <c r="Q39" s="5">
        <f t="shared" si="2"/>
        <v>10.415910361636255</v>
      </c>
      <c r="R39" s="5">
        <f>LOG(D39/N39)/$C$73</f>
        <v>-8.5860367856577583E-4</v>
      </c>
      <c r="S39" s="5">
        <f>ABS(LOG(N39/D39)/$C$73)</f>
        <v>8.5860367856577518E-4</v>
      </c>
      <c r="T39" s="5">
        <f>(D39-N39)^2</f>
        <v>0.32530315344534327</v>
      </c>
      <c r="U39" s="5">
        <f t="shared" si="8"/>
        <v>24.045646697021798</v>
      </c>
      <c r="V39" s="6">
        <f t="shared" si="9"/>
        <v>23.720343543576455</v>
      </c>
      <c r="W39" s="5"/>
      <c r="X39" s="5"/>
      <c r="Y39" s="5"/>
      <c r="Z39" s="11"/>
    </row>
    <row r="40" spans="1:32" x14ac:dyDescent="0.25">
      <c r="A40" s="5"/>
      <c r="B40" s="79">
        <v>20</v>
      </c>
      <c r="C40" s="5">
        <v>36</v>
      </c>
      <c r="D40" s="5">
        <v>4.13</v>
      </c>
      <c r="E40" s="5">
        <v>0.46</v>
      </c>
      <c r="F40" s="5">
        <f>10^D40</f>
        <v>13489.628825916556</v>
      </c>
      <c r="G40" s="5">
        <f>LN(10^D40)</f>
        <v>9.5096764340654101</v>
      </c>
      <c r="H40" s="5">
        <f>0.0012*(B40-3)^2 + 0.041</f>
        <v>0.38779999999999998</v>
      </c>
      <c r="I40" s="5">
        <f>0.017*(273+B40)^2-9.7375*(273+B40)+1404.9</f>
        <v>11.245499999999993</v>
      </c>
      <c r="J40" s="5">
        <f>-0.0445*(273+B40)+18.429</f>
        <v>5.3904999999999994</v>
      </c>
      <c r="K40" s="5">
        <v>0</v>
      </c>
      <c r="L40" s="5">
        <f>C40+LN(EXP(-H40*C40)+EXP(-H40*K40)-EXP((-H40*C40)-(H40*K40)))*(1/H40)</f>
        <v>36</v>
      </c>
      <c r="M40" s="5">
        <f t="shared" si="0"/>
        <v>11.245199126332221</v>
      </c>
      <c r="N40" s="5">
        <f t="shared" si="7"/>
        <v>4.8837279284693516</v>
      </c>
      <c r="O40" s="5">
        <f t="shared" si="1"/>
        <v>6.8785047406159094</v>
      </c>
      <c r="P40" s="5">
        <f>_xlfn.CONFIDENCE.T(0.05,E40,3)</f>
        <v>1.1427033474051522</v>
      </c>
      <c r="Q40" s="5">
        <f t="shared" si="2"/>
        <v>12.140848127514909</v>
      </c>
      <c r="R40" s="5">
        <f>LOG(D40/N40)/$C$73</f>
        <v>-1.1555779338007397E-3</v>
      </c>
      <c r="S40" s="5">
        <f>ABS(LOG(N40/D40)/$C$73)</f>
        <v>1.1555779338007395E-3</v>
      </c>
      <c r="T40" s="5">
        <f>(D40-N40)^2</f>
        <v>0.56810579015470009</v>
      </c>
      <c r="U40" s="5">
        <f t="shared" si="8"/>
        <v>24.418904269466243</v>
      </c>
      <c r="V40" s="6">
        <f t="shared" si="9"/>
        <v>23.850798479311543</v>
      </c>
      <c r="W40" s="5"/>
      <c r="X40" s="5"/>
      <c r="Y40" s="5"/>
      <c r="Z40" s="11"/>
    </row>
    <row r="41" spans="1:32" x14ac:dyDescent="0.25">
      <c r="A41" s="5"/>
      <c r="B41" s="79">
        <v>20</v>
      </c>
      <c r="C41" s="5">
        <v>48</v>
      </c>
      <c r="D41" s="5">
        <v>4.03</v>
      </c>
      <c r="E41" s="5">
        <v>0.25</v>
      </c>
      <c r="F41" s="5">
        <f>10^D41</f>
        <v>10715.193052376071</v>
      </c>
      <c r="G41" s="5">
        <f>LN(10^D41)</f>
        <v>9.2794179247660047</v>
      </c>
      <c r="H41" s="5">
        <f>0.0012*(B41-3)^2 + 0.041</f>
        <v>0.38779999999999998</v>
      </c>
      <c r="I41" s="5">
        <f>0.017*(273+B41)^2-9.7375*(273+B41)+1404.9</f>
        <v>11.245499999999993</v>
      </c>
      <c r="J41" s="5">
        <f>-0.0445*(273+B41)+18.429</f>
        <v>5.3904999999999994</v>
      </c>
      <c r="K41" s="5">
        <v>0</v>
      </c>
      <c r="L41" s="5">
        <f>C41+LN(EXP(-H41*C41)+EXP(-H41*K41)-EXP((-H41*C41)-(H41*K41)))*(1/H41)</f>
        <v>48</v>
      </c>
      <c r="M41" s="5">
        <f t="shared" si="0"/>
        <v>11.245497133076574</v>
      </c>
      <c r="N41" s="5">
        <f t="shared" si="7"/>
        <v>4.8838573511539947</v>
      </c>
      <c r="O41" s="5">
        <f t="shared" si="1"/>
        <v>7.8494333087608421</v>
      </c>
      <c r="P41" s="5">
        <f>_xlfn.CONFIDENCE.T(0.05,E41,3)</f>
        <v>0.62103442793758279</v>
      </c>
      <c r="Q41" s="5">
        <f t="shared" si="2"/>
        <v>10.709402540771169</v>
      </c>
      <c r="R41" s="5">
        <f>LOG(D41/N41)/$C$73</f>
        <v>-1.3247289578149121E-3</v>
      </c>
      <c r="S41" s="5">
        <f>ABS(LOG(N41/D41)/$C$73)</f>
        <v>1.3247289578149125E-3</v>
      </c>
      <c r="T41" s="5">
        <f>(D41-N41)^2</f>
        <v>0.72907237611971576</v>
      </c>
      <c r="U41" s="5">
        <f t="shared" si="8"/>
        <v>24.581135002540631</v>
      </c>
      <c r="V41" s="6">
        <f t="shared" si="9"/>
        <v>23.852062626420913</v>
      </c>
      <c r="W41" s="24"/>
      <c r="X41" s="5"/>
      <c r="Y41" s="5"/>
      <c r="Z41" s="11"/>
    </row>
    <row r="42" spans="1:32" ht="15" customHeight="1" x14ac:dyDescent="0.25">
      <c r="A42" s="5"/>
      <c r="B42" s="79">
        <v>20</v>
      </c>
      <c r="C42" s="5">
        <v>60</v>
      </c>
      <c r="D42" s="5">
        <v>4.17</v>
      </c>
      <c r="E42" s="5">
        <v>0.35</v>
      </c>
      <c r="F42" s="5">
        <f>10^D42</f>
        <v>14791.083881682089</v>
      </c>
      <c r="G42" s="5">
        <f>LN(10^D42)</f>
        <v>9.6017798377851715</v>
      </c>
      <c r="H42" s="5">
        <f>0.0012*(B42-3)^2 + 0.041</f>
        <v>0.38779999999999998</v>
      </c>
      <c r="I42" s="5">
        <f>0.017*(273+B42)^2-9.7375*(273+B42)+1404.9</f>
        <v>11.245499999999993</v>
      </c>
      <c r="J42" s="5">
        <f>-0.0445*(273+B42)+18.429</f>
        <v>5.3904999999999994</v>
      </c>
      <c r="K42" s="5">
        <v>0</v>
      </c>
      <c r="L42" s="5">
        <f>C42+LN(EXP(-H42*C42)+EXP(-H42*K42)-EXP((-H42*C42)-(H42*K42)))*(1/H42)</f>
        <v>60</v>
      </c>
      <c r="M42" s="5">
        <f t="shared" si="0"/>
        <v>11.24549997268608</v>
      </c>
      <c r="N42" s="5">
        <f t="shared" si="7"/>
        <v>4.8838585843807332</v>
      </c>
      <c r="O42" s="5">
        <f t="shared" si="1"/>
        <v>7.5998013753779423</v>
      </c>
      <c r="P42" s="5">
        <f>_xlfn.CONFIDENCE.T(0.05,E42,3)</f>
        <v>0.86944819911261584</v>
      </c>
      <c r="Q42" s="5">
        <f t="shared" si="2"/>
        <v>11.603758300192398</v>
      </c>
      <c r="R42" s="5">
        <f>LOG(D42/N42)/$C$73</f>
        <v>-1.0893178599004076E-3</v>
      </c>
      <c r="S42" s="5">
        <f>ABS(LOG(N42/D42)/$C$73)</f>
        <v>1.0893178599004076E-3</v>
      </c>
      <c r="T42" s="5">
        <f>(D42-N42)^2</f>
        <v>0.50959407849406446</v>
      </c>
      <c r="U42" s="5">
        <f t="shared" si="8"/>
        <v>24.361668750723442</v>
      </c>
      <c r="V42" s="6">
        <f t="shared" si="9"/>
        <v>23.852074672229378</v>
      </c>
      <c r="W42" s="24"/>
      <c r="X42" s="5"/>
      <c r="Y42" s="5"/>
      <c r="Z42" s="11"/>
    </row>
    <row r="43" spans="1:32" x14ac:dyDescent="0.25">
      <c r="A43" s="5"/>
      <c r="B43" s="79">
        <v>20</v>
      </c>
      <c r="C43" s="5">
        <v>72</v>
      </c>
      <c r="D43" s="5">
        <v>4.0999999999999996</v>
      </c>
      <c r="E43" s="5">
        <v>0.38</v>
      </c>
      <c r="F43" s="5">
        <f>10^D43</f>
        <v>12589.254117941671</v>
      </c>
      <c r="G43" s="5">
        <f>LN(10^D43)</f>
        <v>9.4405988812755872</v>
      </c>
      <c r="H43" s="5">
        <f>0.0012*(B43-3)^2 + 0.041</f>
        <v>0.38779999999999998</v>
      </c>
      <c r="I43" s="5">
        <f>0.017*(273+B43)^2-9.7375*(273+B43)+1404.9</f>
        <v>11.245499999999993</v>
      </c>
      <c r="J43" s="5">
        <f>-0.0445*(273+B43)+18.429</f>
        <v>5.3904999999999994</v>
      </c>
      <c r="K43" s="5">
        <v>0</v>
      </c>
      <c r="L43" s="5">
        <f>C43+LN(EXP(-H43*C43)+EXP(-H43*K43)-EXP((-H43*C43)-(H43*K43)))*(1/H43)</f>
        <v>72</v>
      </c>
      <c r="M43" s="5">
        <f t="shared" si="0"/>
        <v>11.245499999739771</v>
      </c>
      <c r="N43" s="5">
        <f t="shared" si="7"/>
        <v>4.8838585961300023</v>
      </c>
      <c r="O43" s="5">
        <f t="shared" si="1"/>
        <v>7.2670222649477392</v>
      </c>
      <c r="P43" s="5">
        <f>_xlfn.CONFIDENCE.T(0.05,E43,3)</f>
        <v>0.94397233046512585</v>
      </c>
      <c r="Q43" s="5">
        <f t="shared" si="2"/>
        <v>11.614175497603435</v>
      </c>
      <c r="R43" s="5">
        <f>LOG(D43/N43)/$C$73</f>
        <v>-1.206019436072145E-3</v>
      </c>
      <c r="S43" s="5">
        <f>ABS(LOG(N43/D43)/$C$73)</f>
        <v>1.206019436072145E-3</v>
      </c>
      <c r="T43" s="5">
        <f>(D43-N43)^2</f>
        <v>0.61443429872689859</v>
      </c>
      <c r="U43" s="5">
        <f t="shared" si="8"/>
        <v>24.466509085719814</v>
      </c>
      <c r="V43" s="6">
        <f t="shared" si="9"/>
        <v>23.852074786992915</v>
      </c>
      <c r="W43" s="24"/>
      <c r="X43" s="5"/>
      <c r="Y43" s="5"/>
      <c r="Z43" s="11"/>
    </row>
    <row r="44" spans="1:32" x14ac:dyDescent="0.25">
      <c r="A44" s="5"/>
      <c r="B44" s="79">
        <v>20</v>
      </c>
      <c r="C44" s="5">
        <v>84</v>
      </c>
      <c r="D44" s="5">
        <v>4.54</v>
      </c>
      <c r="E44" s="5">
        <v>0.57999999999999996</v>
      </c>
      <c r="F44" s="5">
        <f>10^D44</f>
        <v>34673.685045253202</v>
      </c>
      <c r="G44" s="5">
        <f>LN(10^D44)</f>
        <v>10.453736322192968</v>
      </c>
      <c r="H44" s="5">
        <f>0.0012*(B44-3)^2 + 0.041</f>
        <v>0.38779999999999998</v>
      </c>
      <c r="I44" s="5">
        <f>0.017*(273+B44)^2-9.7375*(273+B44)+1404.9</f>
        <v>11.245499999999993</v>
      </c>
      <c r="J44" s="5">
        <f>-0.0445*(273+B44)+18.429</f>
        <v>5.3904999999999994</v>
      </c>
      <c r="K44" s="5">
        <v>0</v>
      </c>
      <c r="L44" s="5">
        <f>C44+LN(EXP(-H44*C44)+EXP(-H44*K44)-EXP((-H44*C44)-(H44*K44)))*(1/H44)</f>
        <v>84</v>
      </c>
      <c r="M44" s="5">
        <f t="shared" si="0"/>
        <v>11.245499999997516</v>
      </c>
      <c r="N44" s="5">
        <f t="shared" si="7"/>
        <v>4.8838585962419403</v>
      </c>
      <c r="O44" s="5">
        <f t="shared" si="1"/>
        <v>7.1361720130609907</v>
      </c>
      <c r="P44" s="5">
        <f>_xlfn.CONFIDENCE.T(0.05,E44,3)</f>
        <v>1.4407998728151921</v>
      </c>
      <c r="Q44" s="5">
        <f t="shared" si="2"/>
        <v>13.771300631324946</v>
      </c>
      <c r="R44" s="5">
        <f>LOG(D44/N44)/$C$73</f>
        <v>-5.0328933881159876E-4</v>
      </c>
      <c r="S44" s="5">
        <f>ABS(LOG(N44/D44)/$C$73)</f>
        <v>5.0328933881159876E-4</v>
      </c>
      <c r="T44" s="5">
        <f>(D44-N44)^2</f>
        <v>0.1182387342094777</v>
      </c>
      <c r="U44" s="5">
        <f t="shared" si="8"/>
        <v>23.970313522295772</v>
      </c>
      <c r="V44" s="6">
        <f t="shared" si="9"/>
        <v>23.852074788086295</v>
      </c>
      <c r="W44" s="24"/>
      <c r="X44" s="5"/>
      <c r="Y44" s="5"/>
      <c r="Z44" s="11"/>
    </row>
    <row r="45" spans="1:32" x14ac:dyDescent="0.25">
      <c r="A45" s="5"/>
      <c r="B45" s="79">
        <v>20</v>
      </c>
      <c r="C45" s="5">
        <v>96</v>
      </c>
      <c r="D45" s="5">
        <v>4.28</v>
      </c>
      <c r="E45" s="5">
        <v>0.2</v>
      </c>
      <c r="F45" s="5">
        <f>10^D45</f>
        <v>19054.607179632505</v>
      </c>
      <c r="G45" s="5">
        <f>LN(10^D45)</f>
        <v>9.8550641980145173</v>
      </c>
      <c r="H45" s="5">
        <f>0.0012*(B45-3)^2 + 0.041</f>
        <v>0.38779999999999998</v>
      </c>
      <c r="I45" s="5">
        <f>0.017*(273+B45)^2-9.7375*(273+B45)+1404.9</f>
        <v>11.245499999999993</v>
      </c>
      <c r="J45" s="5">
        <f>-0.0445*(273+B45)+18.429</f>
        <v>5.3904999999999994</v>
      </c>
      <c r="K45" s="5">
        <v>0</v>
      </c>
      <c r="L45" s="5">
        <f>C45+LN(EXP(-H45*C45)+EXP(-H45*K45)-EXP((-H45*C45)-(H45*K45)))*(1/H45)</f>
        <v>96</v>
      </c>
      <c r="M45" s="5">
        <f t="shared" si="0"/>
        <v>11.245499999999964</v>
      </c>
      <c r="N45" s="5">
        <f t="shared" si="7"/>
        <v>4.8838585962430026</v>
      </c>
      <c r="O45" s="5">
        <f t="shared" si="1"/>
        <v>8.7110765052103858</v>
      </c>
      <c r="P45" s="5">
        <f>_xlfn.CONFIDENCE.T(0.05,E45,3)</f>
        <v>0.49682754235006621</v>
      </c>
      <c r="Q45" s="5">
        <f t="shared" si="2"/>
        <v>10.999051890818647</v>
      </c>
      <c r="R45" s="5">
        <f>LOG(D45/N45)/$C$73</f>
        <v>-9.0983035220884199E-4</v>
      </c>
      <c r="S45" s="5">
        <f>ABS(LOG(N45/D45)/$C$73)</f>
        <v>9.0983035220884112E-4</v>
      </c>
      <c r="T45" s="5">
        <f>(D45-N45)^2</f>
        <v>0.36464520425656927</v>
      </c>
      <c r="U45" s="5">
        <f t="shared" si="8"/>
        <v>24.216719992353241</v>
      </c>
      <c r="V45" s="6">
        <f t="shared" si="9"/>
        <v>23.852074788096672</v>
      </c>
      <c r="W45" s="24"/>
      <c r="X45" s="5"/>
      <c r="Y45" s="5"/>
      <c r="Z45" s="11"/>
    </row>
    <row r="46" spans="1:32" x14ac:dyDescent="0.25">
      <c r="A46" s="5"/>
      <c r="B46" s="79">
        <v>20</v>
      </c>
      <c r="C46" s="5">
        <v>0</v>
      </c>
      <c r="D46" s="5">
        <v>2.77</v>
      </c>
      <c r="E46" s="5">
        <v>0.14000000000000001</v>
      </c>
      <c r="F46" s="5">
        <f>10^D46</f>
        <v>588.84365535558959</v>
      </c>
      <c r="G46" s="5">
        <f>LN(10^D46)</f>
        <v>6.3781607075935076</v>
      </c>
      <c r="H46" s="5">
        <f>0.0012*(B46-3)^2 + 0.041</f>
        <v>0.38779999999999998</v>
      </c>
      <c r="I46" s="5">
        <f>0.017*(273+B46)^2-9.7375*(273+B46)+1404.9</f>
        <v>11.245499999999993</v>
      </c>
      <c r="J46" s="5">
        <f>-0.0445*(273+B46)+18.429</f>
        <v>5.3904999999999994</v>
      </c>
      <c r="K46" s="5">
        <v>0</v>
      </c>
      <c r="L46" s="5">
        <f>C46+LN(EXP(-H46*C46)+EXP(-H46*K46)-EXP((-H46*C46)-(H46*K46)))*(1/H46)</f>
        <v>0</v>
      </c>
      <c r="M46" s="5">
        <f t="shared" si="0"/>
        <v>5.3904999999999994</v>
      </c>
      <c r="N46" s="5">
        <f t="shared" si="7"/>
        <v>2.3410644046994786</v>
      </c>
      <c r="O46" s="5">
        <f t="shared" si="1"/>
        <v>5.5773693226306156</v>
      </c>
      <c r="P46" s="5">
        <f>_xlfn.CONFIDENCE.T(0.05,E46,3)</f>
        <v>0.3477792796450464</v>
      </c>
      <c r="Q46" s="5">
        <f t="shared" si="2"/>
        <v>7.1789520925563988</v>
      </c>
      <c r="R46" s="5">
        <f>LOG(D46/N46)/$C$73</f>
        <v>1.1597842442534773E-3</v>
      </c>
      <c r="S46" s="5">
        <f>ABS(LOG(N46/D46)/$C$73)</f>
        <v>1.1597842442534773E-3</v>
      </c>
      <c r="T46" s="5">
        <f>(D46-N46)^2</f>
        <v>0.18398574491581265</v>
      </c>
      <c r="U46" s="5">
        <f t="shared" si="8"/>
        <v>5.664568291866737</v>
      </c>
      <c r="V46" s="6">
        <f t="shared" si="9"/>
        <v>5.4805825469509246</v>
      </c>
      <c r="W46" s="24"/>
      <c r="X46" s="5"/>
      <c r="Y46" s="5"/>
      <c r="Z46" s="11"/>
    </row>
    <row r="47" spans="1:32" x14ac:dyDescent="0.25">
      <c r="A47" s="5"/>
      <c r="B47" s="79">
        <v>20</v>
      </c>
      <c r="C47" s="5">
        <v>12</v>
      </c>
      <c r="D47" s="5">
        <v>4.3499999999999996</v>
      </c>
      <c r="E47" s="5">
        <v>0.14000000000000001</v>
      </c>
      <c r="F47" s="5">
        <f>10^D47</f>
        <v>22387.211385683382</v>
      </c>
      <c r="G47" s="5">
        <f>LN(10^D47)</f>
        <v>10.016245154524098</v>
      </c>
      <c r="H47" s="5">
        <f>0.0012*(B47-3)^2 + 0.041</f>
        <v>0.38779999999999998</v>
      </c>
      <c r="I47" s="5">
        <f>0.017*(273+B47)^2-9.7375*(273+B47)+1404.9</f>
        <v>11.245499999999993</v>
      </c>
      <c r="J47" s="5">
        <f>-0.0445*(273+B47)+18.429</f>
        <v>5.3904999999999994</v>
      </c>
      <c r="K47" s="5">
        <v>0</v>
      </c>
      <c r="L47" s="5">
        <f>C47+LN(EXP(-H47*C47)+EXP(-H47*K47)-EXP((-H47*C47)-(H47*K47)))*(1/H47)</f>
        <v>12</v>
      </c>
      <c r="M47" s="5">
        <f t="shared" si="0"/>
        <v>9.783346802259981</v>
      </c>
      <c r="N47" s="5">
        <f t="shared" si="7"/>
        <v>4.2488535307673336</v>
      </c>
      <c r="O47" s="5">
        <f t="shared" si="1"/>
        <v>9.215453769561206</v>
      </c>
      <c r="P47" s="5">
        <f>_xlfn.CONFIDENCE.T(0.05,E47,3)</f>
        <v>0.3477792796450464</v>
      </c>
      <c r="Q47" s="5">
        <f t="shared" si="2"/>
        <v>10.817036539486992</v>
      </c>
      <c r="R47" s="5">
        <f>LOG(D47/N47)/$C$73</f>
        <v>1.6218249028464605E-4</v>
      </c>
      <c r="S47" s="5">
        <f>ABS(LOG(N47/D47)/$C$73)</f>
        <v>1.621824902846464E-4</v>
      </c>
      <c r="T47" s="5">
        <f>(D47-N47)^2</f>
        <v>1.0230608238234653E-2</v>
      </c>
      <c r="U47" s="5">
        <f t="shared" si="8"/>
        <v>18.062986934152271</v>
      </c>
      <c r="V47" s="6">
        <f t="shared" si="9"/>
        <v>18.052756325914036</v>
      </c>
      <c r="W47" s="24"/>
      <c r="X47" s="5"/>
      <c r="Y47" s="5"/>
      <c r="Z47" s="11"/>
    </row>
    <row r="48" spans="1:32" x14ac:dyDescent="0.25">
      <c r="A48" s="5"/>
      <c r="B48" s="79">
        <v>20</v>
      </c>
      <c r="C48" s="5">
        <v>24</v>
      </c>
      <c r="D48" s="5">
        <v>4.7</v>
      </c>
      <c r="E48" s="5">
        <v>0.09</v>
      </c>
      <c r="F48" s="5">
        <f>10^D48</f>
        <v>50118.723362727294</v>
      </c>
      <c r="G48" s="5">
        <f>LN(10^D48)</f>
        <v>10.822149937072016</v>
      </c>
      <c r="H48" s="5">
        <f>0.0012*(B48-3)^2 + 0.041</f>
        <v>0.38779999999999998</v>
      </c>
      <c r="I48" s="5">
        <f>0.017*(273+B48)^2-9.7375*(273+B48)+1404.9</f>
        <v>11.245499999999993</v>
      </c>
      <c r="J48" s="5">
        <f>-0.0445*(273+B48)+18.429</f>
        <v>5.3904999999999994</v>
      </c>
      <c r="K48" s="5">
        <v>0</v>
      </c>
      <c r="L48" s="5">
        <f>C48+LN(EXP(-H48*C48)+EXP(-H48*K48)-EXP((-H48*C48)-(H48*K48)))*(1/H48)</f>
        <v>24</v>
      </c>
      <c r="M48" s="5">
        <f t="shared" si="0"/>
        <v>11.214403444391792</v>
      </c>
      <c r="N48" s="5">
        <f t="shared" si="7"/>
        <v>4.8703535337361759</v>
      </c>
      <c r="O48" s="5">
        <f t="shared" si="1"/>
        <v>10.307355475310159</v>
      </c>
      <c r="P48" s="5">
        <f>_xlfn.CONFIDENCE.T(0.05,E48,3)</f>
        <v>0.22357239405752979</v>
      </c>
      <c r="Q48" s="5">
        <f t="shared" si="2"/>
        <v>11.336944398833875</v>
      </c>
      <c r="R48" s="5">
        <f>LOG(D48/N48)/$C$73</f>
        <v>-2.4543856180179221E-4</v>
      </c>
      <c r="S48" s="5">
        <f>ABS(LOG(N48/D48)/$C$73)</f>
        <v>2.4543856180179259E-4</v>
      </c>
      <c r="T48" s="5">
        <f>(D48-N48)^2</f>
        <v>2.9020326456402346E-2</v>
      </c>
      <c r="U48" s="5">
        <f t="shared" si="8"/>
        <v>23.749363870032855</v>
      </c>
      <c r="V48" s="6">
        <f t="shared" si="9"/>
        <v>23.720343543576455</v>
      </c>
      <c r="W48" s="24"/>
      <c r="X48" s="5"/>
      <c r="Y48" s="5"/>
      <c r="Z48" s="11"/>
    </row>
    <row r="49" spans="1:31" x14ac:dyDescent="0.25">
      <c r="A49" s="5"/>
      <c r="B49" s="79">
        <v>20</v>
      </c>
      <c r="C49" s="5">
        <v>36</v>
      </c>
      <c r="D49" s="5">
        <v>4.7699999999999996</v>
      </c>
      <c r="E49" s="5">
        <v>0.46</v>
      </c>
      <c r="F49" s="5">
        <f>10^D49</f>
        <v>58884.365535558936</v>
      </c>
      <c r="G49" s="5">
        <f>LN(10^D49)</f>
        <v>10.983330893581599</v>
      </c>
      <c r="H49" s="5">
        <f>0.0012*(B49-3)^2 + 0.041</f>
        <v>0.38779999999999998</v>
      </c>
      <c r="I49" s="5">
        <f>0.017*(273+B49)^2-9.7375*(273+B49)+1404.9</f>
        <v>11.245499999999993</v>
      </c>
      <c r="J49" s="5">
        <f>-0.0445*(273+B49)+18.429</f>
        <v>5.3904999999999994</v>
      </c>
      <c r="K49" s="5">
        <v>0</v>
      </c>
      <c r="L49" s="5">
        <f>C49+LN(EXP(-H49*C49)+EXP(-H49*K49)-EXP((-H49*C49)-(H49*K49)))*(1/H49)</f>
        <v>36</v>
      </c>
      <c r="M49" s="5">
        <f t="shared" si="0"/>
        <v>11.245199126332221</v>
      </c>
      <c r="N49" s="5">
        <f t="shared" si="7"/>
        <v>4.8837279284693516</v>
      </c>
      <c r="O49" s="5">
        <f t="shared" si="1"/>
        <v>8.3521592001320979</v>
      </c>
      <c r="P49" s="5">
        <f>_xlfn.CONFIDENCE.T(0.05,E49,3)</f>
        <v>1.1427033474051522</v>
      </c>
      <c r="Q49" s="5">
        <f t="shared" si="2"/>
        <v>13.614502587031099</v>
      </c>
      <c r="R49" s="5">
        <f>LOG(D49/N49)/$C$73</f>
        <v>-1.6242988009101207E-4</v>
      </c>
      <c r="S49" s="5">
        <f>ABS(LOG(N49/D49)/$C$73)</f>
        <v>1.6242988009101267E-4</v>
      </c>
      <c r="T49" s="5">
        <f>(D49-N49)^2</f>
        <v>1.293404171393004E-2</v>
      </c>
      <c r="U49" s="5">
        <f t="shared" si="8"/>
        <v>23.863732521025472</v>
      </c>
      <c r="V49" s="6">
        <f t="shared" si="9"/>
        <v>23.850798479311543</v>
      </c>
      <c r="W49" s="24"/>
      <c r="X49" s="5"/>
      <c r="Y49" s="5"/>
      <c r="Z49" s="11"/>
    </row>
    <row r="50" spans="1:31" x14ac:dyDescent="0.25">
      <c r="A50" s="5"/>
      <c r="B50" s="79">
        <v>20</v>
      </c>
      <c r="C50" s="5">
        <v>48</v>
      </c>
      <c r="D50" s="5">
        <v>4.7</v>
      </c>
      <c r="E50" s="5">
        <v>0.25</v>
      </c>
      <c r="F50" s="5">
        <f>10^D50</f>
        <v>50118.723362727294</v>
      </c>
      <c r="G50" s="5">
        <f>LN(10^D50)</f>
        <v>10.822149937072016</v>
      </c>
      <c r="H50" s="5">
        <f>0.0012*(B50-3)^2 + 0.041</f>
        <v>0.38779999999999998</v>
      </c>
      <c r="I50" s="5">
        <f>0.017*(273+B50)^2-9.7375*(273+B50)+1404.9</f>
        <v>11.245499999999993</v>
      </c>
      <c r="J50" s="5">
        <f>-0.0445*(273+B50)+18.429</f>
        <v>5.3904999999999994</v>
      </c>
      <c r="K50" s="5">
        <v>0</v>
      </c>
      <c r="L50" s="5">
        <f>C50+LN(EXP(-H50*C50)+EXP(-H50*K50)-EXP((-H50*C50)-(H50*K50)))*(1/H50)</f>
        <v>48</v>
      </c>
      <c r="M50" s="5">
        <f t="shared" si="0"/>
        <v>11.245497133076574</v>
      </c>
      <c r="N50" s="5">
        <f t="shared" si="7"/>
        <v>4.8838573511539947</v>
      </c>
      <c r="O50" s="5">
        <f t="shared" si="1"/>
        <v>9.3921653210668516</v>
      </c>
      <c r="P50" s="5">
        <f>_xlfn.CONFIDENCE.T(0.05,E50,3)</f>
        <v>0.62103442793758279</v>
      </c>
      <c r="Q50" s="5">
        <f t="shared" si="2"/>
        <v>12.25213455307718</v>
      </c>
      <c r="R50" s="5">
        <f>LOG(D50/N50)/$C$73</f>
        <v>-2.6452559599573773E-4</v>
      </c>
      <c r="S50" s="5">
        <f>ABS(LOG(N50/D50)/$C$73)</f>
        <v>2.6452559599573816E-4</v>
      </c>
      <c r="T50" s="5">
        <f>(D50-N50)^2</f>
        <v>3.380352557336324E-2</v>
      </c>
      <c r="U50" s="5">
        <f t="shared" si="8"/>
        <v>23.885866151994275</v>
      </c>
      <c r="V50" s="6">
        <f t="shared" si="9"/>
        <v>23.852062626420913</v>
      </c>
      <c r="W50" s="24"/>
      <c r="X50" s="5"/>
      <c r="Y50" s="5"/>
      <c r="Z50" s="11"/>
    </row>
    <row r="51" spans="1:31" x14ac:dyDescent="0.25">
      <c r="A51" s="5"/>
      <c r="B51" s="79">
        <v>20</v>
      </c>
      <c r="C51" s="5">
        <v>60</v>
      </c>
      <c r="D51" s="5">
        <v>4.8099999999999996</v>
      </c>
      <c r="E51" s="5">
        <v>0.35</v>
      </c>
      <c r="F51" s="5">
        <f>10^D51</f>
        <v>64565.422903465565</v>
      </c>
      <c r="G51" s="5">
        <f>LN(10^D51)</f>
        <v>11.07543429730136</v>
      </c>
      <c r="H51" s="5">
        <f>0.0012*(B51-3)^2 + 0.041</f>
        <v>0.38779999999999998</v>
      </c>
      <c r="I51" s="5">
        <f>0.017*(273+B51)^2-9.7375*(273+B51)+1404.9</f>
        <v>11.245499999999993</v>
      </c>
      <c r="J51" s="5">
        <f>-0.0445*(273+B51)+18.429</f>
        <v>5.3904999999999994</v>
      </c>
      <c r="K51" s="5">
        <v>0</v>
      </c>
      <c r="L51" s="5">
        <f>C51+LN(EXP(-H51*C51)+EXP(-H51*K51)-EXP((-H51*C51)-(H51*K51)))*(1/H51)</f>
        <v>60</v>
      </c>
      <c r="M51" s="5">
        <f t="shared" si="0"/>
        <v>11.24549997268608</v>
      </c>
      <c r="N51" s="5">
        <f t="shared" si="7"/>
        <v>4.8838585843807332</v>
      </c>
      <c r="O51" s="5">
        <f t="shared" si="1"/>
        <v>9.0734558348941317</v>
      </c>
      <c r="P51" s="5">
        <f>_xlfn.CONFIDENCE.T(0.05,E51,3)</f>
        <v>0.86944819911261584</v>
      </c>
      <c r="Q51" s="5">
        <f t="shared" si="2"/>
        <v>13.077412759708587</v>
      </c>
      <c r="R51" s="5">
        <f>LOG(D51/N51)/$C$73</f>
        <v>-1.0504767894684872E-4</v>
      </c>
      <c r="S51" s="5">
        <f>ABS(LOG(N51/D51)/$C$73)</f>
        <v>1.0504767894684942E-4</v>
      </c>
      <c r="T51" s="5">
        <f>(D51-N51)^2</f>
        <v>5.4550904867259392E-3</v>
      </c>
      <c r="U51" s="5">
        <f t="shared" si="8"/>
        <v>23.857529762716105</v>
      </c>
      <c r="V51" s="6">
        <f t="shared" si="9"/>
        <v>23.852074672229378</v>
      </c>
      <c r="W51" s="24"/>
      <c r="X51" s="5"/>
      <c r="Y51" s="5"/>
      <c r="Z51" s="11"/>
    </row>
    <row r="52" spans="1:31" x14ac:dyDescent="0.25">
      <c r="A52" s="5"/>
      <c r="B52" s="79">
        <v>20</v>
      </c>
      <c r="C52" s="5">
        <v>72</v>
      </c>
      <c r="D52" s="5">
        <v>4.8099999999999996</v>
      </c>
      <c r="E52" s="5">
        <v>0.38</v>
      </c>
      <c r="F52" s="5">
        <f>10^D52</f>
        <v>64565.422903465565</v>
      </c>
      <c r="G52" s="5">
        <f>LN(10^D52)</f>
        <v>11.07543429730136</v>
      </c>
      <c r="H52" s="5">
        <f>0.0012*(B52-3)^2 + 0.041</f>
        <v>0.38779999999999998</v>
      </c>
      <c r="I52" s="5">
        <f>0.017*(273+B52)^2-9.7375*(273+B52)+1404.9</f>
        <v>11.245499999999993</v>
      </c>
      <c r="J52" s="5">
        <f>-0.0445*(273+B52)+18.429</f>
        <v>5.3904999999999994</v>
      </c>
      <c r="K52" s="5">
        <v>0</v>
      </c>
      <c r="L52" s="5">
        <f>C52+LN(EXP(-H52*C52)+EXP(-H52*K52)-EXP((-H52*C52)-(H52*K52)))*(1/H52)</f>
        <v>72</v>
      </c>
      <c r="M52" s="5">
        <f t="shared" si="0"/>
        <v>11.245499999739771</v>
      </c>
      <c r="N52" s="5">
        <f t="shared" si="7"/>
        <v>4.8838585961300023</v>
      </c>
      <c r="O52" s="5">
        <f t="shared" si="1"/>
        <v>8.9018576809735119</v>
      </c>
      <c r="P52" s="5">
        <f>_xlfn.CONFIDENCE.T(0.05,E52,3)</f>
        <v>0.94397233046512585</v>
      </c>
      <c r="Q52" s="5">
        <f t="shared" si="2"/>
        <v>13.249010913629208</v>
      </c>
      <c r="R52" s="5">
        <f>LOG(D52/N52)/$C$73</f>
        <v>-1.0504769553093405E-4</v>
      </c>
      <c r="S52" s="5">
        <f>ABS(LOG(N52/D52)/$C$73)</f>
        <v>1.0504769553093444E-4</v>
      </c>
      <c r="T52" s="5">
        <f>(D52-N52)^2</f>
        <v>5.4550922222948457E-3</v>
      </c>
      <c r="U52" s="5">
        <f t="shared" si="8"/>
        <v>23.85752987921521</v>
      </c>
      <c r="V52" s="6">
        <f t="shared" si="9"/>
        <v>23.852074786992915</v>
      </c>
      <c r="W52" s="24"/>
      <c r="X52" s="5"/>
      <c r="Y52" s="5"/>
      <c r="Z52" s="11"/>
    </row>
    <row r="53" spans="1:31" x14ac:dyDescent="0.25">
      <c r="A53" s="5"/>
      <c r="B53" s="79">
        <v>20</v>
      </c>
      <c r="C53" s="5">
        <v>84</v>
      </c>
      <c r="D53" s="5">
        <v>4.84</v>
      </c>
      <c r="E53" s="5">
        <v>0.57999999999999996</v>
      </c>
      <c r="F53" s="5">
        <f>10^D53</f>
        <v>69183.097091893651</v>
      </c>
      <c r="G53" s="5">
        <f>LN(10^D53)</f>
        <v>11.144511850091181</v>
      </c>
      <c r="H53" s="5">
        <f>0.0012*(B53-3)^2 + 0.041</f>
        <v>0.38779999999999998</v>
      </c>
      <c r="I53" s="5">
        <f>0.017*(273+B53)^2-9.7375*(273+B53)+1404.9</f>
        <v>11.245499999999993</v>
      </c>
      <c r="J53" s="5">
        <f>-0.0445*(273+B53)+18.429</f>
        <v>5.3904999999999994</v>
      </c>
      <c r="K53" s="5">
        <v>0</v>
      </c>
      <c r="L53" s="5">
        <f>C53+LN(EXP(-H53*C53)+EXP(-H53*K53)-EXP((-H53*C53)-(H53*K53)))*(1/H53)</f>
        <v>84</v>
      </c>
      <c r="M53" s="5">
        <f t="shared" si="0"/>
        <v>11.245499999997516</v>
      </c>
      <c r="N53" s="5">
        <f t="shared" si="7"/>
        <v>4.8838585962419403</v>
      </c>
      <c r="O53" s="5">
        <f t="shared" si="1"/>
        <v>7.8269475409592042</v>
      </c>
      <c r="P53" s="5">
        <f>_xlfn.CONFIDENCE.T(0.05,E53,3)</f>
        <v>1.4407998728151921</v>
      </c>
      <c r="Q53" s="5">
        <f t="shared" si="2"/>
        <v>14.462076159223161</v>
      </c>
      <c r="R53" s="5">
        <f>LOG(D53/N53)/$C$73</f>
        <v>-6.2186024727335905E-5</v>
      </c>
      <c r="S53" s="5">
        <f>ABS(LOG(N53/D53)/$C$73)</f>
        <v>6.2186024727335214E-5</v>
      </c>
      <c r="T53" s="5">
        <f>(D53-N53)^2</f>
        <v>1.923576464313552E-3</v>
      </c>
      <c r="U53" s="5">
        <f t="shared" si="8"/>
        <v>23.853998364550609</v>
      </c>
      <c r="V53" s="6">
        <f t="shared" si="9"/>
        <v>23.852074788086295</v>
      </c>
      <c r="W53" s="24"/>
      <c r="X53" s="5"/>
      <c r="Y53" s="5"/>
      <c r="Z53" s="11"/>
    </row>
    <row r="54" spans="1:31" x14ac:dyDescent="0.25">
      <c r="A54" s="5"/>
      <c r="B54" s="79">
        <v>20</v>
      </c>
      <c r="C54" s="5">
        <v>96</v>
      </c>
      <c r="D54" s="5">
        <v>5.07</v>
      </c>
      <c r="E54" s="5">
        <v>0.2</v>
      </c>
      <c r="F54" s="5">
        <f>10^D54</f>
        <v>117489.75549395311</v>
      </c>
      <c r="G54" s="5">
        <f>LN(10^D54)</f>
        <v>11.674106421479813</v>
      </c>
      <c r="H54" s="5">
        <f>0.0012*(B54-3)^2 + 0.041</f>
        <v>0.38779999999999998</v>
      </c>
      <c r="I54" s="5">
        <f>0.017*(273+B54)^2-9.7375*(273+B54)+1404.9</f>
        <v>11.245499999999993</v>
      </c>
      <c r="J54" s="5">
        <f>-0.0445*(273+B54)+18.429</f>
        <v>5.3904999999999994</v>
      </c>
      <c r="K54" s="5">
        <v>0</v>
      </c>
      <c r="L54" s="5">
        <f>C54+LN(EXP(-H54*C54)+EXP(-H54*K54)-EXP((-H54*C54)-(H54*K54)))*(1/H54)</f>
        <v>96</v>
      </c>
      <c r="M54" s="5">
        <f t="shared" si="0"/>
        <v>11.245499999999964</v>
      </c>
      <c r="N54" s="5">
        <f t="shared" si="7"/>
        <v>4.8838585962430026</v>
      </c>
      <c r="O54" s="5">
        <f t="shared" si="1"/>
        <v>10.530118728675683</v>
      </c>
      <c r="P54" s="5">
        <f>_xlfn.CONFIDENCE.T(0.05,E54,3)</f>
        <v>0.49682754235006621</v>
      </c>
      <c r="Q54" s="5">
        <f t="shared" si="2"/>
        <v>12.818094114283943</v>
      </c>
      <c r="R54" s="5">
        <f>LOG(D54/N54)/$C$73</f>
        <v>2.5785520842868141E-4</v>
      </c>
      <c r="S54" s="5">
        <f>ABS(LOG(N54/D54)/$C$73)</f>
        <v>2.5785520842868135E-4</v>
      </c>
      <c r="T54" s="5">
        <f>(D54-N54)^2</f>
        <v>3.4648622192625649E-2</v>
      </c>
      <c r="U54" s="5">
        <f t="shared" si="8"/>
        <v>23.886723410289299</v>
      </c>
      <c r="V54" s="6">
        <f t="shared" si="9"/>
        <v>23.852074788096672</v>
      </c>
      <c r="W54" s="24"/>
      <c r="X54" s="5"/>
      <c r="Y54" s="5"/>
      <c r="Z54" s="11"/>
    </row>
    <row r="55" spans="1:31" x14ac:dyDescent="0.25">
      <c r="A55" s="5"/>
      <c r="B55" s="80">
        <v>10</v>
      </c>
      <c r="C55" s="24">
        <v>0</v>
      </c>
      <c r="D55" s="24">
        <v>2.3479101760000001</v>
      </c>
      <c r="E55" s="24">
        <v>0.47383799999999998</v>
      </c>
      <c r="F55" s="5">
        <f>10^D55</f>
        <v>222.79742954749918</v>
      </c>
      <c r="G55" s="5">
        <f>LN(10^D55)</f>
        <v>5.406262970946627</v>
      </c>
      <c r="H55" s="5">
        <f>0.0012*(B55-3)^2 + 0.041</f>
        <v>9.98E-2</v>
      </c>
      <c r="I55" s="5">
        <f>0.017*(273+B55)^2-9.7375*(273+B55)+1404.9</f>
        <v>10.700500000000147</v>
      </c>
      <c r="J55" s="5">
        <f>-0.0445*(273+B55)+18.429</f>
        <v>5.8354999999999997</v>
      </c>
      <c r="K55" s="5">
        <v>0</v>
      </c>
      <c r="L55" s="5">
        <f>C55+LN(EXP(-H55*C55)+EXP(-H55*K55)-EXP((-H55*C55)-(H55*K55)))*(1/H55)</f>
        <v>0</v>
      </c>
      <c r="M55" s="5">
        <f t="shared" si="0"/>
        <v>5.8354999999999997</v>
      </c>
      <c r="N55" s="5">
        <f t="shared" si="7"/>
        <v>2.5343254491464258</v>
      </c>
      <c r="O55" s="5">
        <f t="shared" si="1"/>
        <v>2.6959387690320091</v>
      </c>
      <c r="P55" s="5">
        <f>_xlfn.CONFIDENCE.T(0.05,E55,3)</f>
        <v>1.1770788450603533</v>
      </c>
      <c r="Q55" s="5">
        <f t="shared" si="2"/>
        <v>8.1165871728612444</v>
      </c>
      <c r="R55" s="5">
        <f>LOG(D55/N55)/$C$73</f>
        <v>-5.2668105725085345E-4</v>
      </c>
      <c r="S55" s="5">
        <f>ABS(LOG(N55/D55)/$C$73)</f>
        <v>5.2668105725085378E-4</v>
      </c>
      <c r="T55" s="5">
        <f>(D55-N55)^2</f>
        <v>3.4750654062256504E-2</v>
      </c>
      <c r="U55" s="5">
        <f t="shared" si="8"/>
        <v>6.4575561362534897</v>
      </c>
      <c r="V55" s="6">
        <f t="shared" si="9"/>
        <v>6.422805482191233</v>
      </c>
      <c r="W55" s="24"/>
      <c r="X55" s="5"/>
      <c r="Y55" s="5"/>
      <c r="Z55" s="11"/>
    </row>
    <row r="56" spans="1:31" x14ac:dyDescent="0.25">
      <c r="A56" s="5"/>
      <c r="B56" s="80">
        <v>10</v>
      </c>
      <c r="C56" s="24">
        <v>2</v>
      </c>
      <c r="D56" s="24">
        <v>3.3690375889999999</v>
      </c>
      <c r="E56" s="24">
        <v>0.138686</v>
      </c>
      <c r="F56" s="5">
        <f>10^D56</f>
        <v>2339.0396781591012</v>
      </c>
      <c r="G56" s="5">
        <f>LN(10^D56)</f>
        <v>7.7574957301680012</v>
      </c>
      <c r="H56" s="5">
        <f>0.0012*(B56-3)^2 + 0.041</f>
        <v>9.98E-2</v>
      </c>
      <c r="I56" s="5">
        <f>0.017*(273+B56)^2-9.7375*(273+B56)+1404.9</f>
        <v>10.700500000000147</v>
      </c>
      <c r="J56" s="5">
        <f>-0.0445*(273+B56)+18.429</f>
        <v>5.8354999999999997</v>
      </c>
      <c r="K56" s="5">
        <v>0</v>
      </c>
      <c r="L56" s="5">
        <f>C56+LN(EXP(-H56*C56)+EXP(-H56*K56)-EXP((-H56*C56)-(H56*K56)))*(1/H56)</f>
        <v>2</v>
      </c>
      <c r="M56" s="5">
        <f t="shared" si="0"/>
        <v>6.0333977964845786</v>
      </c>
      <c r="N56" s="5">
        <f t="shared" si="7"/>
        <v>2.6202713701404914</v>
      </c>
      <c r="O56" s="5">
        <f t="shared" si="1"/>
        <v>6.9642203443468329</v>
      </c>
      <c r="P56" s="5">
        <f>_xlfn.CONFIDENCE.T(0.05,E56,3)</f>
        <v>0.34451512269180645</v>
      </c>
      <c r="Q56" s="5">
        <f t="shared" si="2"/>
        <v>8.5507711159891695</v>
      </c>
      <c r="R56" s="5">
        <f>LOG(D56/N56)/$C$73</f>
        <v>1.7326918233399647E-3</v>
      </c>
      <c r="S56" s="5">
        <f>ABS(LOG(N56/D56)/$C$73)</f>
        <v>1.7326918233399656E-3</v>
      </c>
      <c r="T56" s="5">
        <f>(D56-N56)^2</f>
        <v>0.5606508505051655</v>
      </c>
      <c r="U56" s="5">
        <f t="shared" si="8"/>
        <v>7.4264729036830941</v>
      </c>
      <c r="V56" s="6">
        <f t="shared" si="9"/>
        <v>6.8658220531779284</v>
      </c>
      <c r="W56" s="24"/>
      <c r="X56" s="5"/>
      <c r="Y56" s="5"/>
      <c r="Z56" s="11"/>
    </row>
    <row r="57" spans="1:31" x14ac:dyDescent="0.25">
      <c r="A57" s="5"/>
      <c r="B57" s="80">
        <v>10</v>
      </c>
      <c r="C57" s="24">
        <v>4</v>
      </c>
      <c r="D57" s="24">
        <v>3.6166205169999999</v>
      </c>
      <c r="E57" s="24">
        <v>0.365929</v>
      </c>
      <c r="F57" s="5">
        <f>10^D57</f>
        <v>4136.3808325864356</v>
      </c>
      <c r="G57" s="5">
        <f>LN(10^D57)</f>
        <v>8.3275764894606183</v>
      </c>
      <c r="H57" s="5">
        <f>0.0012*(B57-3)^2 + 0.041</f>
        <v>9.98E-2</v>
      </c>
      <c r="I57" s="5">
        <f>0.017*(273+B57)^2-9.7375*(273+B57)+1404.9</f>
        <v>10.700500000000147</v>
      </c>
      <c r="J57" s="5">
        <f>-0.0445*(273+B57)+18.429</f>
        <v>5.8354999999999997</v>
      </c>
      <c r="K57" s="5">
        <v>0</v>
      </c>
      <c r="L57" s="5">
        <f>C57+LN(EXP(-H57*C57)+EXP(-H57*K57)-EXP((-H57*C57)-(H57*K57)))*(1/H57)</f>
        <v>3.9999999999999987</v>
      </c>
      <c r="M57" s="5">
        <f t="shared" si="0"/>
        <v>6.2309234725726519</v>
      </c>
      <c r="N57" s="5">
        <f t="shared" si="7"/>
        <v>2.7060556812997505</v>
      </c>
      <c r="O57" s="5">
        <f t="shared" si="1"/>
        <v>6.2344851272600055</v>
      </c>
      <c r="P57" s="5">
        <f>_xlfn.CONFIDENCE.T(0.05,E57,3)</f>
        <v>0.9090180287230869</v>
      </c>
      <c r="Q57" s="5">
        <f t="shared" si="2"/>
        <v>10.420667851661232</v>
      </c>
      <c r="R57" s="5">
        <f>LOG(D57/N57)/$C$73</f>
        <v>1.9994636995973318E-3</v>
      </c>
      <c r="S57" s="5">
        <f>ABS(LOG(N57/D57)/$C$73)</f>
        <v>1.9994636995973327E-3</v>
      </c>
      <c r="T57" s="5">
        <f>(D57-N57)^2</f>
        <v>0.82912832001382208</v>
      </c>
      <c r="U57" s="5">
        <f t="shared" si="8"/>
        <v>8.151865670308478</v>
      </c>
      <c r="V57" s="6">
        <f t="shared" si="9"/>
        <v>7.3227373502946564</v>
      </c>
      <c r="W57" s="24"/>
      <c r="X57" s="5"/>
      <c r="Y57" s="5"/>
      <c r="Z57" s="11"/>
    </row>
    <row r="58" spans="1:31" x14ac:dyDescent="0.25">
      <c r="A58" s="24"/>
      <c r="B58" s="80">
        <v>10</v>
      </c>
      <c r="C58" s="24">
        <v>6</v>
      </c>
      <c r="D58" s="24">
        <v>4.0206809940000001</v>
      </c>
      <c r="E58" s="24">
        <v>0.40972199999999998</v>
      </c>
      <c r="F58" s="5">
        <f>10^D58</f>
        <v>10487.717824421827</v>
      </c>
      <c r="G58" s="5">
        <f>LN(10^D58)</f>
        <v>9.2579601204688835</v>
      </c>
      <c r="H58" s="5">
        <f>0.0012*(B58-3)^2 + 0.041</f>
        <v>9.98E-2</v>
      </c>
      <c r="I58" s="5">
        <f>0.017*(273+B58)^2-9.7375*(273+B58)+1404.9</f>
        <v>10.700500000000147</v>
      </c>
      <c r="J58" s="5">
        <f>-0.0445*(273+B58)+18.429</f>
        <v>5.8354999999999997</v>
      </c>
      <c r="K58" s="5">
        <v>0</v>
      </c>
      <c r="L58" s="5">
        <f>C58+LN(EXP(-H58*C58)+EXP(-H58*K58)-EXP((-H58*C58)-(H58*K58)))*(1/H58)</f>
        <v>6</v>
      </c>
      <c r="M58" s="5">
        <f t="shared" si="0"/>
        <v>6.4279967206563899</v>
      </c>
      <c r="N58" s="5">
        <f t="shared" si="7"/>
        <v>2.7916435054732687</v>
      </c>
      <c r="O58" s="5">
        <f t="shared" si="1"/>
        <v>6.9143754931134147</v>
      </c>
      <c r="P58" s="5">
        <f>_xlfn.CONFIDENCE.T(0.05,E58,3)</f>
        <v>1.017805871533769</v>
      </c>
      <c r="Q58" s="5">
        <f t="shared" si="2"/>
        <v>11.601544747824352</v>
      </c>
      <c r="R58" s="5">
        <f>LOG(D58/N58)/$C$73</f>
        <v>2.514915224720997E-3</v>
      </c>
      <c r="S58" s="5">
        <f>ABS(LOG(N58/D58)/$C$73)</f>
        <v>2.5149152247209974E-3</v>
      </c>
      <c r="T58" s="5">
        <f>(D58-N58)^2</f>
        <v>1.5105331482040956</v>
      </c>
      <c r="U58" s="5">
        <f t="shared" si="8"/>
        <v>9.3038066098551759</v>
      </c>
      <c r="V58" s="6">
        <f t="shared" si="9"/>
        <v>7.7932734616510801</v>
      </c>
      <c r="W58" s="24"/>
      <c r="X58" s="24"/>
      <c r="Y58" s="24"/>
      <c r="Z58" s="11"/>
      <c r="AC58" s="19"/>
      <c r="AD58" s="19"/>
      <c r="AE58" s="19"/>
    </row>
    <row r="59" spans="1:31" s="29" customFormat="1" x14ac:dyDescent="0.25">
      <c r="A59" s="24"/>
      <c r="B59" s="80">
        <v>10</v>
      </c>
      <c r="C59" s="24">
        <v>8</v>
      </c>
      <c r="D59" s="24">
        <v>4.5517890479999998</v>
      </c>
      <c r="E59" s="24">
        <v>0.22645699999999999</v>
      </c>
      <c r="F59" s="5">
        <f>10^D59</f>
        <v>35627.803470316125</v>
      </c>
      <c r="G59" s="5">
        <f>LN(10^D59)</f>
        <v>10.480881608378359</v>
      </c>
      <c r="H59" s="5">
        <f>0.0012*(B59-3)^2 + 0.041</f>
        <v>9.98E-2</v>
      </c>
      <c r="I59" s="5">
        <f>0.017*(273+B59)^2-9.7375*(273+B59)+1404.9</f>
        <v>10.700500000000147</v>
      </c>
      <c r="J59" s="5">
        <f>-0.0445*(273+B59)+18.429</f>
        <v>5.8354999999999997</v>
      </c>
      <c r="K59" s="5">
        <v>0</v>
      </c>
      <c r="L59" s="5">
        <f>C59+LN(EXP(-H59*C59)+EXP(-H59*K59)-EXP((-H59*C59)-(H59*K59)))*(1/H59)</f>
        <v>8</v>
      </c>
      <c r="M59" s="5">
        <f t="shared" si="0"/>
        <v>6.6245204040085417</v>
      </c>
      <c r="N59" s="5">
        <f t="shared" si="7"/>
        <v>2.8769926567164101</v>
      </c>
      <c r="O59" s="5">
        <f t="shared" si="1"/>
        <v>9.185561503631634</v>
      </c>
      <c r="P59" s="5">
        <f>_xlfn.CONFIDENCE.T(0.05,E59,3)</f>
        <v>0.56255037378984474</v>
      </c>
      <c r="Q59" s="5">
        <f t="shared" si="2"/>
        <v>11.776201713125085</v>
      </c>
      <c r="R59" s="5">
        <f>LOG(D59/N59)/$C$73</f>
        <v>3.1625932245651503E-3</v>
      </c>
      <c r="S59" s="5">
        <f>ABS(LOG(N59/D59)/$C$73)</f>
        <v>3.1625932245651503E-3</v>
      </c>
      <c r="T59" s="5">
        <f>(D59-N59)^2</f>
        <v>2.804942952256535</v>
      </c>
      <c r="U59" s="5">
        <f t="shared" si="8"/>
        <v>11.082029699056683</v>
      </c>
      <c r="V59" s="6">
        <f t="shared" si="9"/>
        <v>8.2770867468001477</v>
      </c>
      <c r="W59" s="24"/>
      <c r="X59" s="24"/>
      <c r="Y59" s="24"/>
    </row>
    <row r="60" spans="1:31" s="29" customFormat="1" x14ac:dyDescent="0.25">
      <c r="A60" s="24"/>
      <c r="B60" s="80">
        <v>10</v>
      </c>
      <c r="C60" s="24">
        <v>10</v>
      </c>
      <c r="D60" s="24">
        <v>4.5675928360000002</v>
      </c>
      <c r="E60" s="24">
        <v>0.34393299999999999</v>
      </c>
      <c r="F60" s="5">
        <f>10^D60</f>
        <v>36948.161733850342</v>
      </c>
      <c r="G60" s="5">
        <f>LN(10^D60)</f>
        <v>10.517271175039998</v>
      </c>
      <c r="H60" s="5">
        <f>0.0012*(B60-3)^2 + 0.041</f>
        <v>9.98E-2</v>
      </c>
      <c r="I60" s="5">
        <f>0.017*(273+B60)^2-9.7375*(273+B60)+1404.9</f>
        <v>10.700500000000147</v>
      </c>
      <c r="J60" s="5">
        <f>-0.0445*(273+B60)+18.429</f>
        <v>5.8354999999999997</v>
      </c>
      <c r="K60" s="5">
        <v>0</v>
      </c>
      <c r="L60" s="5">
        <f>C60+LN(EXP(-H60*C60)+EXP(-H60*K60)-EXP((-H60*C60)-(H60*K60)))*(1/H60)</f>
        <v>10</v>
      </c>
      <c r="M60" s="5">
        <f t="shared" si="0"/>
        <v>6.8203772705893595</v>
      </c>
      <c r="N60" s="5">
        <f t="shared" si="7"/>
        <v>2.9620522131153209</v>
      </c>
      <c r="O60" s="5">
        <f t="shared" si="1"/>
        <v>8.5499955792939826</v>
      </c>
      <c r="P60" s="5">
        <f>_xlfn.CONFIDENCE.T(0.05,E60,3)</f>
        <v>0.8543769356154266</v>
      </c>
      <c r="Q60" s="5">
        <f t="shared" si="2"/>
        <v>12.484546770786013</v>
      </c>
      <c r="R60" s="5">
        <f>LOG(D60/N60)/$C$73</f>
        <v>2.9856297366284666E-3</v>
      </c>
      <c r="S60" s="5">
        <f>ABS(LOG(N60/D60)/$C$73)</f>
        <v>2.9856297366284671E-3</v>
      </c>
      <c r="T60" s="5">
        <f>(D60-N60)^2</f>
        <v>2.5777606917329243</v>
      </c>
      <c r="U60" s="5">
        <f t="shared" si="8"/>
        <v>11.351514004954295</v>
      </c>
      <c r="V60" s="6">
        <f t="shared" si="9"/>
        <v>8.7737533132213699</v>
      </c>
      <c r="W60" s="24"/>
      <c r="X60" s="24"/>
      <c r="Y60" s="24"/>
      <c r="Z60" s="24"/>
      <c r="AC60" s="24"/>
      <c r="AD60" s="24"/>
    </row>
    <row r="61" spans="1:31" s="29" customFormat="1" x14ac:dyDescent="0.25">
      <c r="A61" s="24"/>
      <c r="B61" s="80">
        <v>10</v>
      </c>
      <c r="C61" s="24">
        <v>12</v>
      </c>
      <c r="D61" s="24">
        <v>4.5508039269999996</v>
      </c>
      <c r="E61" s="24">
        <v>0.37606800000000001</v>
      </c>
      <c r="F61" s="5">
        <f>10^D61</f>
        <v>35547.079624093523</v>
      </c>
      <c r="G61" s="5">
        <f>LN(10^D61)</f>
        <v>10.478613283448963</v>
      </c>
      <c r="H61" s="5">
        <f>0.0012*(B61-3)^2 + 0.041</f>
        <v>9.98E-2</v>
      </c>
      <c r="I61" s="5">
        <f>0.017*(273+B61)^2-9.7375*(273+B61)+1404.9</f>
        <v>10.700500000000147</v>
      </c>
      <c r="J61" s="5">
        <f>-0.0445*(273+B61)+18.429</f>
        <v>5.8354999999999997</v>
      </c>
      <c r="K61" s="5">
        <v>0</v>
      </c>
      <c r="L61" s="5">
        <f>C61+LN(EXP(-H61*C61)+EXP(-H61*K61)-EXP((-H61*C61)-(H61*K61)))*(1/H61)</f>
        <v>12</v>
      </c>
      <c r="M61" s="5">
        <f t="shared" si="0"/>
        <v>7.0154261400964675</v>
      </c>
      <c r="N61" s="5">
        <f t="shared" si="7"/>
        <v>3.0467608608437251</v>
      </c>
      <c r="O61" s="5">
        <f t="shared" si="1"/>
        <v>8.3275274651616442</v>
      </c>
      <c r="P61" s="5">
        <f>_xlfn.CONFIDENCE.T(0.05,E61,3)</f>
        <v>0.93420470098252362</v>
      </c>
      <c r="Q61" s="5">
        <f t="shared" si="2"/>
        <v>12.629699101736282</v>
      </c>
      <c r="R61" s="5">
        <f>LOG(D61/N61)/$C$73</f>
        <v>2.7658691465715919E-3</v>
      </c>
      <c r="S61" s="5">
        <f>ABS(LOG(N61/D61)/$C$73)</f>
        <v>2.7658691465715919E-3</v>
      </c>
      <c r="T61" s="5">
        <f>(D61-N61)^2</f>
        <v>2.2621455448527676</v>
      </c>
      <c r="U61" s="5">
        <f t="shared" si="8"/>
        <v>11.544897288021964</v>
      </c>
      <c r="V61" s="6">
        <f t="shared" si="9"/>
        <v>9.2827517431691966</v>
      </c>
      <c r="W61" s="24"/>
      <c r="X61" s="24"/>
      <c r="Y61" s="24"/>
      <c r="Z61" s="24"/>
      <c r="AC61" s="24"/>
      <c r="AD61" s="24"/>
    </row>
    <row r="62" spans="1:31" s="29" customFormat="1" x14ac:dyDescent="0.25">
      <c r="A62" s="24"/>
      <c r="B62" s="80">
        <v>10</v>
      </c>
      <c r="C62" s="24">
        <v>14</v>
      </c>
      <c r="D62" s="24">
        <v>4.2598654280000003</v>
      </c>
      <c r="E62" s="24">
        <v>0.753274</v>
      </c>
      <c r="F62" s="5">
        <f>10^D62</f>
        <v>18191.370871179228</v>
      </c>
      <c r="G62" s="5">
        <f>LN(10^D62)</f>
        <v>9.8087026326735014</v>
      </c>
      <c r="H62" s="5">
        <f>0.0012*(B62-3)^2 + 0.041</f>
        <v>9.98E-2</v>
      </c>
      <c r="I62" s="5">
        <f>0.017*(273+B62)^2-9.7375*(273+B62)+1404.9</f>
        <v>10.700500000000147</v>
      </c>
      <c r="J62" s="5">
        <f>-0.0445*(273+B62)+18.429</f>
        <v>5.8354999999999997</v>
      </c>
      <c r="K62" s="5">
        <v>0</v>
      </c>
      <c r="L62" s="5">
        <f>C62+LN(EXP(-H62*C62)+EXP(-H62*K62)-EXP((-H62*C62)-(H62*K62)))*(1/H62)</f>
        <v>14</v>
      </c>
      <c r="M62" s="5">
        <f t="shared" si="0"/>
        <v>7.2094975358656361</v>
      </c>
      <c r="N62" s="5">
        <f t="shared" si="7"/>
        <v>3.1310449971215371</v>
      </c>
      <c r="O62" s="5">
        <f t="shared" si="1"/>
        <v>5.5000217061268089</v>
      </c>
      <c r="P62" s="5">
        <f>_xlfn.CONFIDENCE.T(0.05,E62,3)</f>
        <v>1.8712363506810188</v>
      </c>
      <c r="Q62" s="5">
        <f t="shared" si="2"/>
        <v>14.117383559220196</v>
      </c>
      <c r="R62" s="5">
        <f>LOG(D62/N62)/$C$73</f>
        <v>2.1223265180490155E-3</v>
      </c>
      <c r="S62" s="5">
        <f>ABS(LOG(N62/D62)/$C$73)</f>
        <v>2.1223265180490163E-3</v>
      </c>
      <c r="T62" s="5">
        <f>(D62-N62)^2</f>
        <v>1.2742355651686395</v>
      </c>
      <c r="U62" s="5">
        <f t="shared" si="8"/>
        <v>11.077678339168445</v>
      </c>
      <c r="V62" s="6">
        <f t="shared" si="9"/>
        <v>9.8034427739998051</v>
      </c>
      <c r="W62" s="24"/>
      <c r="X62" s="24"/>
      <c r="Y62" s="24"/>
      <c r="Z62" s="24"/>
      <c r="AC62" s="24"/>
      <c r="AD62" s="24"/>
    </row>
    <row r="63" spans="1:31" s="29" customFormat="1" x14ac:dyDescent="0.25">
      <c r="A63" s="24"/>
      <c r="B63" s="80">
        <v>10</v>
      </c>
      <c r="C63" s="24">
        <v>0</v>
      </c>
      <c r="D63" s="24">
        <v>2.3252574990000001</v>
      </c>
      <c r="E63" s="24">
        <v>0.286721</v>
      </c>
      <c r="F63" s="5">
        <f>10^D63</f>
        <v>211.47425272901802</v>
      </c>
      <c r="G63" s="5">
        <f>LN(10^D63)</f>
        <v>5.3541032545700178</v>
      </c>
      <c r="H63" s="5">
        <f>0.0012*(B63-3)^2 + 0.041</f>
        <v>9.98E-2</v>
      </c>
      <c r="I63" s="5">
        <f>0.017*(273+B63)^2-9.7375*(273+B63)+1404.9</f>
        <v>10.700500000000147</v>
      </c>
      <c r="J63" s="5">
        <f>-0.0445*(273+B63)+18.429</f>
        <v>5.8354999999999997</v>
      </c>
      <c r="K63" s="5">
        <v>0</v>
      </c>
      <c r="L63" s="5">
        <f>C63+LN(EXP(-H63*C63)+EXP(-H63*K63)-EXP((-H63*C63)-(H63*K63)))*(1/H63)</f>
        <v>0</v>
      </c>
      <c r="M63" s="5">
        <f t="shared" si="0"/>
        <v>5.8354999999999997</v>
      </c>
      <c r="N63" s="5">
        <f t="shared" si="7"/>
        <v>2.5343254491464258</v>
      </c>
      <c r="O63" s="5">
        <f t="shared" si="1"/>
        <v>3.7140767782275521</v>
      </c>
      <c r="P63" s="5">
        <f>_xlfn.CONFIDENCE.T(0.05,E63,3)</f>
        <v>0.71225444885076672</v>
      </c>
      <c r="Q63" s="5">
        <f t="shared" si="2"/>
        <v>6.9941297309124844</v>
      </c>
      <c r="R63" s="5">
        <f>LOG(D63/N63)/$C$73</f>
        <v>-5.9351319109456817E-4</v>
      </c>
      <c r="S63" s="5">
        <f>ABS(LOG(N63/D63)/$C$73)</f>
        <v>5.9351319109456763E-4</v>
      </c>
      <c r="T63" s="5">
        <f>(D63-N63)^2</f>
        <v>4.3709407778428321E-2</v>
      </c>
      <c r="U63" s="5">
        <f t="shared" si="8"/>
        <v>6.4665148899696616</v>
      </c>
      <c r="V63" s="6">
        <f t="shared" si="9"/>
        <v>6.422805482191233</v>
      </c>
      <c r="W63" s="24"/>
      <c r="X63" s="24"/>
      <c r="Y63" s="24"/>
      <c r="Z63" s="24"/>
      <c r="AC63" s="24"/>
      <c r="AD63" s="24"/>
    </row>
    <row r="64" spans="1:31" s="29" customFormat="1" x14ac:dyDescent="0.25">
      <c r="A64" s="24"/>
      <c r="B64" s="80">
        <v>10</v>
      </c>
      <c r="C64" s="24">
        <v>2</v>
      </c>
      <c r="D64" s="24">
        <v>3.20070027</v>
      </c>
      <c r="E64" s="24">
        <v>0.108766</v>
      </c>
      <c r="F64" s="5">
        <f>10^D64</f>
        <v>1587.4507852103898</v>
      </c>
      <c r="G64" s="5">
        <f>LN(10^D64)</f>
        <v>7.3698847288440179</v>
      </c>
      <c r="H64" s="5">
        <f>0.0012*(B64-3)^2 + 0.041</f>
        <v>9.98E-2</v>
      </c>
      <c r="I64" s="5">
        <f>0.017*(273+B64)^2-9.7375*(273+B64)+1404.9</f>
        <v>10.700500000000147</v>
      </c>
      <c r="J64" s="5">
        <f>-0.0445*(273+B64)+18.429</f>
        <v>5.8354999999999997</v>
      </c>
      <c r="K64" s="5">
        <v>0</v>
      </c>
      <c r="L64" s="5">
        <f>C64+LN(EXP(-H64*C64)+EXP(-H64*K64)-EXP((-H64*C64)-(H64*K64)))*(1/H64)</f>
        <v>2</v>
      </c>
      <c r="M64" s="5">
        <f t="shared" si="0"/>
        <v>6.0333977964845786</v>
      </c>
      <c r="N64" s="5">
        <f t="shared" si="7"/>
        <v>2.6202713701404914</v>
      </c>
      <c r="O64" s="5">
        <f t="shared" si="1"/>
        <v>6.7477499018663476</v>
      </c>
      <c r="P64" s="5">
        <f>_xlfn.CONFIDENCE.T(0.05,E64,3)</f>
        <v>0.27018972235623651</v>
      </c>
      <c r="Q64" s="5">
        <f t="shared" si="2"/>
        <v>7.9920195558216882</v>
      </c>
      <c r="R64" s="5">
        <f>LOG(D64/N64)/$C$73</f>
        <v>1.3793449974497231E-3</v>
      </c>
      <c r="S64" s="5">
        <f>ABS(LOG(N64/D64)/$C$73)</f>
        <v>1.3793449974497231E-3</v>
      </c>
      <c r="T64" s="5">
        <f>(D64-N64)^2</f>
        <v>0.33689770779211947</v>
      </c>
      <c r="U64" s="5">
        <f t="shared" si="8"/>
        <v>7.202719760970048</v>
      </c>
      <c r="V64" s="6">
        <f t="shared" si="9"/>
        <v>6.8658220531779284</v>
      </c>
      <c r="W64" s="24"/>
      <c r="X64" s="24"/>
      <c r="Y64" s="24"/>
      <c r="Z64" s="24"/>
      <c r="AC64" s="24"/>
      <c r="AD64" s="24"/>
    </row>
    <row r="65" spans="1:30" s="29" customFormat="1" x14ac:dyDescent="0.25">
      <c r="A65" s="24"/>
      <c r="B65" s="80">
        <v>10</v>
      </c>
      <c r="C65" s="24">
        <v>4</v>
      </c>
      <c r="D65" s="24">
        <v>3.4513079090000001</v>
      </c>
      <c r="E65" s="24">
        <v>0.28694599999999998</v>
      </c>
      <c r="F65" s="5">
        <f>10^D65</f>
        <v>2826.8834873197497</v>
      </c>
      <c r="G65" s="5">
        <f>LN(10^D65)</f>
        <v>7.9469301425958516</v>
      </c>
      <c r="H65" s="5">
        <f>0.0012*(B65-3)^2 + 0.041</f>
        <v>9.98E-2</v>
      </c>
      <c r="I65" s="5">
        <f>0.017*(273+B65)^2-9.7375*(273+B65)+1404.9</f>
        <v>10.700500000000147</v>
      </c>
      <c r="J65" s="5">
        <f>-0.0445*(273+B65)+18.429</f>
        <v>5.8354999999999997</v>
      </c>
      <c r="K65" s="5">
        <v>0</v>
      </c>
      <c r="L65" s="5">
        <f>C65+LN(EXP(-H65*C65)+EXP(-H65*K65)-EXP((-H65*C65)-(H65*K65)))*(1/H65)</f>
        <v>3.9999999999999987</v>
      </c>
      <c r="M65" s="5">
        <f t="shared" si="0"/>
        <v>6.2309234725726519</v>
      </c>
      <c r="N65" s="5">
        <f t="shared" si="7"/>
        <v>2.7060556812997505</v>
      </c>
      <c r="O65" s="5">
        <f t="shared" si="1"/>
        <v>6.3056166800989812</v>
      </c>
      <c r="P65" s="5">
        <f>_xlfn.CONFIDENCE.T(0.05,E65,3)</f>
        <v>0.71281337983591042</v>
      </c>
      <c r="Q65" s="5">
        <f t="shared" si="2"/>
        <v>9.5882436050927211</v>
      </c>
      <c r="R65" s="5">
        <f>LOG(D65/N65)/$C$73</f>
        <v>1.6769361593015908E-3</v>
      </c>
      <c r="S65" s="5">
        <f>ABS(LOG(N65/D65)/$C$73)</f>
        <v>1.6769361593015912E-3</v>
      </c>
      <c r="T65" s="5">
        <f>(D65-N65)^2</f>
        <v>0.55540088289218459</v>
      </c>
      <c r="U65" s="5">
        <f t="shared" si="8"/>
        <v>7.8781382331868413</v>
      </c>
      <c r="V65" s="6">
        <f t="shared" si="9"/>
        <v>7.3227373502946564</v>
      </c>
      <c r="W65" s="24"/>
      <c r="X65" s="24"/>
      <c r="Y65" s="24"/>
      <c r="Z65" s="24"/>
      <c r="AC65" s="24"/>
      <c r="AD65" s="24"/>
    </row>
    <row r="66" spans="1:30" s="29" customFormat="1" x14ac:dyDescent="0.25">
      <c r="A66" s="24"/>
      <c r="B66" s="80">
        <v>10</v>
      </c>
      <c r="C66" s="24">
        <v>6</v>
      </c>
      <c r="D66" s="24">
        <v>3.8490393709999999</v>
      </c>
      <c r="E66" s="24">
        <v>0.27650200000000003</v>
      </c>
      <c r="F66" s="5">
        <f>10^D66</f>
        <v>7063.815884381901</v>
      </c>
      <c r="G66" s="5">
        <f>LN(10^D66)</f>
        <v>8.8627406780117788</v>
      </c>
      <c r="H66" s="5">
        <f>0.0012*(B66-3)^2 + 0.041</f>
        <v>9.98E-2</v>
      </c>
      <c r="I66" s="5">
        <f>0.017*(273+B66)^2-9.7375*(273+B66)+1404.9</f>
        <v>10.700500000000147</v>
      </c>
      <c r="J66" s="5">
        <f>-0.0445*(273+B66)+18.429</f>
        <v>5.8354999999999997</v>
      </c>
      <c r="K66" s="5">
        <v>0</v>
      </c>
      <c r="L66" s="5">
        <f>C66+LN(EXP(-H66*C66)+EXP(-H66*K66)-EXP((-H66*C66)-(H66*K66)))*(1/H66)</f>
        <v>6</v>
      </c>
      <c r="M66" s="5">
        <f t="shared" si="0"/>
        <v>6.4279967206563899</v>
      </c>
      <c r="N66" s="5">
        <f t="shared" si="7"/>
        <v>2.7916435054732687</v>
      </c>
      <c r="O66" s="5">
        <f t="shared" si="1"/>
        <v>7.28116625283314</v>
      </c>
      <c r="P66" s="5">
        <f>_xlfn.CONFIDENCE.T(0.05,E66,3)</f>
        <v>0.6868690455743901</v>
      </c>
      <c r="Q66" s="5">
        <f t="shared" si="2"/>
        <v>10.444315103190418</v>
      </c>
      <c r="R66" s="5">
        <f>LOG(D66/N66)/$C$73</f>
        <v>2.2141650094108381E-3</v>
      </c>
      <c r="S66" s="5">
        <f>ABS(LOG(N66/D66)/$C$73)</f>
        <v>2.2141650094108368E-3</v>
      </c>
      <c r="T66" s="5">
        <f>(D66-N66)^2</f>
        <v>1.1180860164330251</v>
      </c>
      <c r="U66" s="5">
        <f t="shared" si="8"/>
        <v>8.9113594780841048</v>
      </c>
      <c r="V66" s="6">
        <f t="shared" si="9"/>
        <v>7.7932734616510801</v>
      </c>
      <c r="W66" s="24"/>
      <c r="X66" s="24"/>
      <c r="Y66" s="24"/>
      <c r="Z66" s="24"/>
      <c r="AA66" s="42"/>
      <c r="AB66" s="42"/>
      <c r="AC66" s="42"/>
    </row>
    <row r="67" spans="1:30" s="29" customFormat="1" x14ac:dyDescent="0.25">
      <c r="A67" s="24"/>
      <c r="B67" s="80">
        <v>10</v>
      </c>
      <c r="C67" s="24">
        <v>8</v>
      </c>
      <c r="D67" s="24">
        <v>4.2713048000000002</v>
      </c>
      <c r="E67" s="24">
        <v>0.216478</v>
      </c>
      <c r="F67" s="5">
        <f>10^D67</f>
        <v>18676.900280033555</v>
      </c>
      <c r="G67" s="5">
        <f>LN(10^D67)</f>
        <v>9.8350427601139145</v>
      </c>
      <c r="H67" s="5">
        <f>0.0012*(B67-3)^2 + 0.041</f>
        <v>9.98E-2</v>
      </c>
      <c r="I67" s="5">
        <f>0.017*(273+B67)^2-9.7375*(273+B67)+1404.9</f>
        <v>10.700500000000147</v>
      </c>
      <c r="J67" s="5">
        <f>-0.0445*(273+B67)+18.429</f>
        <v>5.8354999999999997</v>
      </c>
      <c r="K67" s="5">
        <v>0</v>
      </c>
      <c r="L67" s="5">
        <f>C67+LN(EXP(-H67*C67)+EXP(-H67*K67)-EXP((-H67*C67)-(H67*K67)))*(1/H67)</f>
        <v>8</v>
      </c>
      <c r="M67" s="5">
        <f t="shared" si="0"/>
        <v>6.6245204040085417</v>
      </c>
      <c r="N67" s="5">
        <f t="shared" si="7"/>
        <v>2.8769926567164101</v>
      </c>
      <c r="O67" s="5">
        <f t="shared" si="1"/>
        <v>8.5968019212996527</v>
      </c>
      <c r="P67" s="5">
        <f>_xlfn.CONFIDENCE.T(0.05,E67,3)</f>
        <v>0.53776116356428816</v>
      </c>
      <c r="Q67" s="5">
        <f t="shared" si="2"/>
        <v>11.073283598928178</v>
      </c>
      <c r="R67" s="5">
        <f>LOG(D67/N67)/$C$73</f>
        <v>2.7241557200629774E-3</v>
      </c>
      <c r="S67" s="5">
        <f>ABS(LOG(N67/D67)/$C$73)</f>
        <v>2.7241557200629778E-3</v>
      </c>
      <c r="T67" s="5">
        <f>(D67-N67)^2</f>
        <v>1.9441063529080786</v>
      </c>
      <c r="U67" s="5">
        <f t="shared" si="8"/>
        <v>10.221193099708227</v>
      </c>
      <c r="V67" s="6">
        <f t="shared" si="9"/>
        <v>8.2770867468001477</v>
      </c>
      <c r="W67" s="24"/>
      <c r="X67" s="24"/>
      <c r="Y67" s="24"/>
      <c r="Z67" s="24"/>
      <c r="AA67" s="42"/>
      <c r="AB67" s="42"/>
      <c r="AC67" s="42"/>
    </row>
    <row r="68" spans="1:30" s="29" customFormat="1" x14ac:dyDescent="0.25">
      <c r="A68" s="24"/>
      <c r="B68" s="80">
        <v>10</v>
      </c>
      <c r="C68" s="24">
        <v>10</v>
      </c>
      <c r="D68" s="24">
        <v>4.2746090109999999</v>
      </c>
      <c r="E68" s="24">
        <v>0.329872</v>
      </c>
      <c r="F68" s="5">
        <f>10^D68</f>
        <v>18819.540307677908</v>
      </c>
      <c r="G68" s="5">
        <f>LN(10^D68)</f>
        <v>9.8426509871066212</v>
      </c>
      <c r="H68" s="5">
        <f>0.0012*(B68-3)^2 + 0.041</f>
        <v>9.98E-2</v>
      </c>
      <c r="I68" s="5">
        <f>0.017*(273+B68)^2-9.7375*(273+B68)+1404.9</f>
        <v>10.700500000000147</v>
      </c>
      <c r="J68" s="5">
        <f>-0.0445*(273+B68)+18.429</f>
        <v>5.8354999999999997</v>
      </c>
      <c r="K68" s="5">
        <v>0</v>
      </c>
      <c r="L68" s="5">
        <f>C68+LN(EXP(-H68*C68)+EXP(-H68*K68)-EXP((-H68*C68)-(H68*K68)))*(1/H68)</f>
        <v>10</v>
      </c>
      <c r="M68" s="5">
        <f t="shared" ref="M68:M70" si="10">J68+(H68*L68)-LN(1+(((EXP(H68*L68))-1)/EXP(I68-J68)))</f>
        <v>6.8203772705893595</v>
      </c>
      <c r="N68" s="5">
        <f t="shared" si="7"/>
        <v>2.9620522131153209</v>
      </c>
      <c r="O68" s="5">
        <f t="shared" ref="O68:O70" si="11">LN(10^(D68-P68))</f>
        <v>7.955803446103201</v>
      </c>
      <c r="P68" s="5">
        <f>_xlfn.CONFIDENCE.T(0.05,E68,3)</f>
        <v>0.81944747525050521</v>
      </c>
      <c r="Q68" s="5">
        <f t="shared" ref="Q68:Q70" si="12">LN(10^(D68+P68))</f>
        <v>11.729498528110042</v>
      </c>
      <c r="R68" s="5">
        <f>LOG(D68/N68)/$C$73</f>
        <v>2.5286299558278137E-3</v>
      </c>
      <c r="S68" s="5">
        <f>ABS(LOG(N68/D68)/$C$73)</f>
        <v>2.5286299558278142E-3</v>
      </c>
      <c r="T68" s="5">
        <f>(D68-N68)^2</f>
        <v>1.7228053476732823</v>
      </c>
      <c r="U68" s="5">
        <f t="shared" si="8"/>
        <v>10.496558660894653</v>
      </c>
      <c r="V68" s="6">
        <f t="shared" si="9"/>
        <v>8.7737533132213699</v>
      </c>
      <c r="W68" s="24"/>
      <c r="X68" s="24"/>
      <c r="Y68" s="24"/>
    </row>
    <row r="69" spans="1:30" s="29" customFormat="1" x14ac:dyDescent="0.25">
      <c r="A69" s="24"/>
      <c r="B69" s="80">
        <v>10</v>
      </c>
      <c r="C69" s="24">
        <v>12</v>
      </c>
      <c r="D69" s="24">
        <v>4.3034989039999996</v>
      </c>
      <c r="E69" s="24">
        <v>0.33036399999999999</v>
      </c>
      <c r="F69" s="5">
        <f>10^D69</f>
        <v>20114.021221532024</v>
      </c>
      <c r="G69" s="5">
        <f>LN(10^D69)</f>
        <v>9.9091724240666128</v>
      </c>
      <c r="H69" s="5">
        <f>0.0012*(B69-3)^2 + 0.041</f>
        <v>9.98E-2</v>
      </c>
      <c r="I69" s="5">
        <f>0.017*(273+B69)^2-9.7375*(273+B69)+1404.9</f>
        <v>10.700500000000147</v>
      </c>
      <c r="J69" s="5">
        <f>-0.0445*(273+B69)+18.429</f>
        <v>5.8354999999999997</v>
      </c>
      <c r="K69" s="5">
        <v>0</v>
      </c>
      <c r="L69" s="5">
        <f>C69+LN(EXP(-H69*C69)+EXP(-H69*K69)-EXP((-H69*C69)-(H69*K69)))*(1/H69)</f>
        <v>12</v>
      </c>
      <c r="M69" s="5">
        <f t="shared" si="10"/>
        <v>7.0154261400964675</v>
      </c>
      <c r="N69" s="5">
        <f t="shared" si="7"/>
        <v>3.0467608608437251</v>
      </c>
      <c r="O69" s="5">
        <f t="shared" si="11"/>
        <v>8.0195106733388961</v>
      </c>
      <c r="P69" s="5">
        <f>_xlfn.CONFIDENCE.T(0.05,E69,3)</f>
        <v>0.82066967100468635</v>
      </c>
      <c r="Q69" s="5">
        <f t="shared" si="12"/>
        <v>11.798834174794331</v>
      </c>
      <c r="R69" s="5">
        <f>LOG(D69/N69)/$C$73</f>
        <v>2.3806877579887926E-3</v>
      </c>
      <c r="S69" s="5">
        <f>ABS(LOG(N69/D69)/$C$73)</f>
        <v>2.3806877579887922E-3</v>
      </c>
      <c r="T69" s="5">
        <f>(D69-N69)^2</f>
        <v>1.5793905091162619</v>
      </c>
      <c r="U69" s="5">
        <f t="shared" si="8"/>
        <v>10.862142252285459</v>
      </c>
      <c r="V69" s="6">
        <f t="shared" si="9"/>
        <v>9.2827517431691966</v>
      </c>
      <c r="W69" s="24"/>
      <c r="X69" s="24"/>
      <c r="Y69" s="24"/>
    </row>
    <row r="70" spans="1:30" s="29" customFormat="1" x14ac:dyDescent="0.25">
      <c r="A70" s="24"/>
      <c r="B70" s="80">
        <v>10</v>
      </c>
      <c r="C70" s="24">
        <v>14</v>
      </c>
      <c r="D70" s="24">
        <v>3.979271298</v>
      </c>
      <c r="E70" s="24">
        <v>0.80123900000000003</v>
      </c>
      <c r="F70" s="5">
        <f>10^D70</f>
        <v>9533.9154908945857</v>
      </c>
      <c r="G70" s="5">
        <f>LN(10^D70)</f>
        <v>9.162610771753867</v>
      </c>
      <c r="H70" s="5">
        <f>0.0012*(B70-3)^2 + 0.041</f>
        <v>9.98E-2</v>
      </c>
      <c r="I70" s="5">
        <f>0.017*(273+B70)^2-9.7375*(273+B70)+1404.9</f>
        <v>10.700500000000147</v>
      </c>
      <c r="J70" s="5">
        <f>-0.0445*(273+B70)+18.429</f>
        <v>5.8354999999999997</v>
      </c>
      <c r="K70" s="5">
        <v>0</v>
      </c>
      <c r="L70" s="5">
        <f>C70+LN(EXP(-H70*C70)+EXP(-H70*K70)-EXP((-H70*C70)-(H70*K70)))*(1/H70)</f>
        <v>14</v>
      </c>
      <c r="M70" s="5">
        <f t="shared" si="10"/>
        <v>7.2094975358656361</v>
      </c>
      <c r="N70" s="5">
        <f t="shared" si="7"/>
        <v>3.1310449971215371</v>
      </c>
      <c r="O70" s="5">
        <f t="shared" si="11"/>
        <v>4.5795729967804242</v>
      </c>
      <c r="P70" s="5">
        <f>_xlfn.CONFIDENCE.T(0.05,E70,3)</f>
        <v>1.9903880160251235</v>
      </c>
      <c r="Q70" s="5">
        <f t="shared" si="12"/>
        <v>13.745648546727312</v>
      </c>
      <c r="R70" s="5">
        <f>LOG(D70/N70)/$C$73</f>
        <v>1.6526069900508564E-3</v>
      </c>
      <c r="S70" s="5">
        <f>ABS(LOG(N70/D70)/$C$73)</f>
        <v>1.6526069900508558E-3</v>
      </c>
      <c r="T70" s="5">
        <f>(D70-N70)^2</f>
        <v>0.71948785750196076</v>
      </c>
      <c r="U70" s="5">
        <f t="shared" si="8"/>
        <v>10.522930631501765</v>
      </c>
      <c r="V70" s="6">
        <f t="shared" si="9"/>
        <v>9.8034427739998051</v>
      </c>
      <c r="W70" s="24"/>
      <c r="X70" s="24"/>
      <c r="Y70" s="24"/>
    </row>
    <row r="71" spans="1:30" s="29" customFormat="1" x14ac:dyDescent="0.25">
      <c r="A71" s="24"/>
      <c r="B71" s="4"/>
      <c r="C71" s="5"/>
      <c r="D71" s="5"/>
      <c r="E71" s="5"/>
      <c r="F71" s="24">
        <f>AVERAGE(F55:F70)</f>
        <v>13895.897073370825</v>
      </c>
      <c r="G71" s="24"/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f>SUM(R3:R70)</f>
        <v>1.2359742023664695E-2</v>
      </c>
      <c r="S71" s="5">
        <f>SUM(S3:S70)</f>
        <v>5.9318797987161102E-2</v>
      </c>
      <c r="T71" s="5">
        <f>AVERAGE(T3:T70)</f>
        <v>0.46425630402345996</v>
      </c>
      <c r="U71" s="5">
        <f>SUM(U3:U70)</f>
        <v>1803.2217212347266</v>
      </c>
      <c r="V71" s="6">
        <f>SUM(V3:V70)</f>
        <v>1771.6522925611328</v>
      </c>
      <c r="W71" s="24"/>
      <c r="X71" s="24"/>
      <c r="Y71" s="24"/>
    </row>
    <row r="72" spans="1:30" s="29" customFormat="1" x14ac:dyDescent="0.25">
      <c r="A72" s="24"/>
      <c r="B72" s="4"/>
      <c r="C72" s="24"/>
      <c r="D72" s="24"/>
      <c r="E72" s="24"/>
      <c r="H72" s="24"/>
      <c r="I72" s="24"/>
      <c r="J72" s="24"/>
      <c r="K72" s="24"/>
      <c r="L72" s="24"/>
      <c r="M72" s="24"/>
      <c r="N72" s="40" t="s">
        <v>44</v>
      </c>
      <c r="O72" s="40"/>
      <c r="P72" s="40"/>
      <c r="Q72" s="40"/>
      <c r="R72" s="40">
        <f>10^R71</f>
        <v>1.028868194452963</v>
      </c>
      <c r="S72" s="40">
        <f>10^S71</f>
        <v>1.146354124795999</v>
      </c>
      <c r="T72" s="24"/>
      <c r="V72" s="25"/>
      <c r="W72" s="24"/>
      <c r="X72" s="24"/>
      <c r="Y72" s="24"/>
    </row>
    <row r="73" spans="1:30" s="29" customFormat="1" x14ac:dyDescent="0.25">
      <c r="A73" s="24"/>
      <c r="B73" s="36" t="s">
        <v>35</v>
      </c>
      <c r="C73" s="37">
        <v>63</v>
      </c>
      <c r="D73" s="24"/>
      <c r="E73" s="3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>
        <f>(SQRT(U71/(C73-1)))/(SQRT(C73))</f>
        <v>0.67945147472921619</v>
      </c>
      <c r="V73" s="25" t="s">
        <v>37</v>
      </c>
      <c r="W73" s="24"/>
      <c r="X73" s="24"/>
      <c r="Y73" s="24"/>
    </row>
    <row r="74" spans="1:30" s="29" customFormat="1" x14ac:dyDescent="0.25">
      <c r="A74" s="24"/>
      <c r="B74" s="44"/>
      <c r="C74" s="24"/>
      <c r="D74" s="24"/>
      <c r="E74" s="24"/>
      <c r="H74" s="24"/>
      <c r="I74" s="24"/>
      <c r="J74" s="24"/>
      <c r="K74" s="24"/>
      <c r="L74" s="24"/>
      <c r="M74" s="4"/>
      <c r="N74" s="24"/>
      <c r="O74" s="24"/>
      <c r="P74" s="24"/>
      <c r="Q74" s="24"/>
      <c r="R74" s="24"/>
      <c r="S74" s="24"/>
      <c r="T74" s="24">
        <f>V71/U71</f>
        <v>0.98249276375620787</v>
      </c>
      <c r="V74" s="25" t="s">
        <v>22</v>
      </c>
      <c r="W74" s="24"/>
      <c r="X74" s="24"/>
      <c r="Y74" s="24"/>
    </row>
    <row r="75" spans="1:30" s="29" customFormat="1" x14ac:dyDescent="0.25">
      <c r="A75" s="24"/>
      <c r="C75" s="24"/>
      <c r="D75" s="24"/>
      <c r="E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>
        <f>T71*100/F71</f>
        <v>3.3409595765726413E-3</v>
      </c>
      <c r="V75" s="6" t="s">
        <v>40</v>
      </c>
      <c r="W75" s="24"/>
      <c r="X75" s="24"/>
      <c r="Y75" s="24"/>
    </row>
    <row r="76" spans="1:30" s="29" customFormat="1" ht="15.75" thickBot="1" x14ac:dyDescent="0.3">
      <c r="A76" s="24"/>
      <c r="B76" s="4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>
        <f>SQRT(T71)</f>
        <v>0.68136356229509365</v>
      </c>
      <c r="U76" s="27"/>
      <c r="V76" s="28" t="s">
        <v>18</v>
      </c>
      <c r="W76" s="24"/>
      <c r="X76" s="24"/>
      <c r="Y76" s="24"/>
    </row>
    <row r="77" spans="1:30" s="29" customForma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30" s="29" customForma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30" s="29" customForma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30" s="29" customForma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30" s="29" customForma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30" s="29" customForma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30" s="29" customForma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30" s="29" customForma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30" s="29" customForma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30" s="29" customForma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30" s="29" customForma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30" s="29" customForma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30" s="29" customForma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W89" s="24"/>
      <c r="X89" s="24"/>
      <c r="Y89" s="24"/>
    </row>
    <row r="90" spans="1:30" s="29" customForma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W90" s="24"/>
      <c r="X90" s="24"/>
      <c r="Y90" s="24"/>
    </row>
    <row r="91" spans="1:30" s="29" customForma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W91" s="24"/>
      <c r="X91" s="24"/>
      <c r="Y91" s="24"/>
    </row>
    <row r="92" spans="1:30" s="29" customForma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W92" s="24"/>
    </row>
    <row r="93" spans="1:30" s="29" customForma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W93" s="24"/>
      <c r="X93" s="24"/>
      <c r="Y93" s="24"/>
      <c r="Z93" s="24"/>
      <c r="AC93" s="24"/>
      <c r="AD93" s="24"/>
    </row>
    <row r="94" spans="1:30" s="29" customForma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W94" s="24"/>
      <c r="X94" s="24"/>
      <c r="Y94" s="24"/>
      <c r="Z94" s="24"/>
      <c r="AC94" s="24"/>
      <c r="AD94" s="24"/>
    </row>
    <row r="95" spans="1:30" s="29" customForma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W95" s="24"/>
      <c r="X95" s="24"/>
      <c r="Y95" s="24"/>
      <c r="Z95" s="24"/>
      <c r="AC95" s="24"/>
      <c r="AD95" s="24"/>
    </row>
    <row r="96" spans="1:30" s="29" customForma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W96" s="24"/>
      <c r="X96" s="24"/>
      <c r="Y96" s="24"/>
      <c r="Z96" s="24"/>
      <c r="AC96" s="24"/>
      <c r="AD96" s="24"/>
    </row>
    <row r="97" spans="1:30" s="29" customForma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W97" s="24"/>
      <c r="X97" s="24"/>
      <c r="Y97" s="24"/>
      <c r="Z97" s="24"/>
      <c r="AC97" s="24"/>
      <c r="AD97" s="24"/>
    </row>
    <row r="98" spans="1:30" s="29" customForma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W98" s="24"/>
      <c r="X98" s="24"/>
      <c r="Y98" s="24"/>
      <c r="Z98" s="24"/>
      <c r="AC98" s="24"/>
      <c r="AD98" s="24"/>
    </row>
    <row r="99" spans="1:30" s="29" customForma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W99" s="24"/>
      <c r="X99" s="24"/>
      <c r="Y99" s="24"/>
      <c r="Z99" s="24"/>
      <c r="AA99" s="42"/>
      <c r="AB99" s="42"/>
      <c r="AC99" s="42"/>
      <c r="AD99" s="24"/>
    </row>
    <row r="100" spans="1:30" s="29" customForma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W100" s="24"/>
      <c r="X100" s="24"/>
      <c r="Y100" s="24"/>
      <c r="Z100" s="24"/>
      <c r="AA100" s="42"/>
      <c r="AB100" s="42"/>
      <c r="AC100" s="42"/>
    </row>
    <row r="101" spans="1:30" s="29" customForma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W101" s="24"/>
      <c r="X101" s="24"/>
      <c r="Y101" s="24"/>
    </row>
    <row r="102" spans="1:30" s="29" customForma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W102" s="24"/>
      <c r="X102" s="24"/>
      <c r="Y102" s="24"/>
    </row>
    <row r="103" spans="1:30" s="29" customForma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W103" s="24"/>
      <c r="X103" s="24"/>
      <c r="Y103" s="24"/>
    </row>
    <row r="104" spans="1:30" s="29" customForma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W104" s="24"/>
      <c r="X104" s="24"/>
      <c r="Y104" s="24"/>
    </row>
    <row r="105" spans="1:30" s="29" customForma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W105" s="24"/>
      <c r="X105" s="24"/>
      <c r="Y105" s="24"/>
    </row>
    <row r="106" spans="1:30" s="29" customForma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W106" s="24"/>
      <c r="X106" s="24"/>
      <c r="Y106" s="24"/>
    </row>
    <row r="107" spans="1:30" s="29" customForma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W107" s="24"/>
      <c r="X107" s="24"/>
      <c r="Y107" s="24"/>
    </row>
    <row r="108" spans="1:30" s="29" customFormat="1" x14ac:dyDescent="0.25">
      <c r="A108" s="24"/>
      <c r="B108" s="24"/>
      <c r="C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W108" s="24"/>
      <c r="X108" s="24"/>
      <c r="Y108" s="24"/>
    </row>
    <row r="109" spans="1:30" s="29" customFormat="1" x14ac:dyDescent="0.25">
      <c r="A109" s="24"/>
      <c r="B109" s="24"/>
      <c r="C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W109" s="24"/>
      <c r="X109" s="24"/>
      <c r="Y109" s="24"/>
    </row>
    <row r="110" spans="1:30" s="29" customFormat="1" x14ac:dyDescent="0.25">
      <c r="B110" s="24"/>
      <c r="C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1:30" s="29" customFormat="1" x14ac:dyDescent="0.25">
      <c r="A111" s="24"/>
      <c r="B111" s="24"/>
      <c r="C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W111" s="24"/>
      <c r="X111" s="24"/>
      <c r="Y111" s="24"/>
    </row>
    <row r="112" spans="1:30" s="29" customFormat="1" x14ac:dyDescent="0.25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="29" customFormat="1" x14ac:dyDescent="0.25"/>
    <row r="114" s="29" customFormat="1" x14ac:dyDescent="0.25"/>
    <row r="115" s="29" customFormat="1" x14ac:dyDescent="0.25"/>
    <row r="116" s="29" customFormat="1" x14ac:dyDescent="0.25"/>
    <row r="117" s="29" customFormat="1" x14ac:dyDescent="0.25"/>
    <row r="118" s="29" customFormat="1" x14ac:dyDescent="0.25"/>
    <row r="119" s="29" customFormat="1" x14ac:dyDescent="0.25"/>
    <row r="120" s="29" customFormat="1" x14ac:dyDescent="0.25"/>
    <row r="121" s="29" customFormat="1" x14ac:dyDescent="0.25"/>
    <row r="122" s="29" customFormat="1" x14ac:dyDescent="0.25"/>
    <row r="123" s="29" customFormat="1" x14ac:dyDescent="0.25"/>
    <row r="124" s="29" customFormat="1" x14ac:dyDescent="0.25"/>
    <row r="125" s="29" customFormat="1" x14ac:dyDescent="0.25"/>
    <row r="126" s="29" customFormat="1" x14ac:dyDescent="0.25"/>
    <row r="127" s="29" customFormat="1" x14ac:dyDescent="0.25"/>
    <row r="128" s="29" customFormat="1" x14ac:dyDescent="0.25"/>
    <row r="129" s="29" customFormat="1" x14ac:dyDescent="0.25"/>
    <row r="130" s="29" customFormat="1" x14ac:dyDescent="0.25"/>
    <row r="131" s="29" customFormat="1" x14ac:dyDescent="0.25"/>
    <row r="132" s="29" customFormat="1" x14ac:dyDescent="0.25"/>
    <row r="133" s="29" customFormat="1" x14ac:dyDescent="0.25"/>
    <row r="134" s="29" customFormat="1" x14ac:dyDescent="0.25"/>
    <row r="135" s="29" customFormat="1" x14ac:dyDescent="0.25"/>
    <row r="136" s="29" customFormat="1" x14ac:dyDescent="0.25"/>
    <row r="137" s="29" customFormat="1" x14ac:dyDescent="0.25"/>
    <row r="138" s="29" customFormat="1" x14ac:dyDescent="0.25"/>
    <row r="139" s="29" customFormat="1" x14ac:dyDescent="0.25"/>
    <row r="140" s="29" customFormat="1" x14ac:dyDescent="0.25"/>
    <row r="141" s="29" customFormat="1" x14ac:dyDescent="0.25"/>
    <row r="142" s="29" customFormat="1" x14ac:dyDescent="0.25"/>
    <row r="143" s="29" customFormat="1" x14ac:dyDescent="0.25"/>
    <row r="144" s="29" customFormat="1" x14ac:dyDescent="0.25"/>
    <row r="145" s="29" customFormat="1" x14ac:dyDescent="0.25"/>
    <row r="146" s="29" customFormat="1" x14ac:dyDescent="0.25"/>
    <row r="147" s="29" customFormat="1" x14ac:dyDescent="0.25"/>
    <row r="148" s="29" customFormat="1" x14ac:dyDescent="0.25"/>
    <row r="149" s="29" customFormat="1" x14ac:dyDescent="0.25"/>
    <row r="150" s="29" customFormat="1" x14ac:dyDescent="0.25"/>
    <row r="151" s="29" customFormat="1" x14ac:dyDescent="0.25"/>
    <row r="152" s="29" customFormat="1" x14ac:dyDescent="0.25"/>
    <row r="153" s="29" customFormat="1" x14ac:dyDescent="0.25"/>
    <row r="154" s="29" customFormat="1" x14ac:dyDescent="0.25"/>
    <row r="155" s="29" customFormat="1" x14ac:dyDescent="0.25"/>
    <row r="156" s="29" customFormat="1" x14ac:dyDescent="0.25"/>
    <row r="157" s="29" customFormat="1" x14ac:dyDescent="0.25"/>
    <row r="158" s="29" customFormat="1" x14ac:dyDescent="0.25"/>
    <row r="159" s="29" customFormat="1" x14ac:dyDescent="0.25"/>
    <row r="160" s="29" customFormat="1" x14ac:dyDescent="0.25"/>
    <row r="161" s="29" customFormat="1" x14ac:dyDescent="0.25"/>
    <row r="162" s="29" customFormat="1" x14ac:dyDescent="0.25"/>
    <row r="163" s="29" customFormat="1" x14ac:dyDescent="0.25"/>
    <row r="164" s="29" customFormat="1" x14ac:dyDescent="0.25"/>
    <row r="165" s="29" customFormat="1" x14ac:dyDescent="0.25"/>
    <row r="166" s="29" customFormat="1" x14ac:dyDescent="0.25"/>
    <row r="167" s="29" customFormat="1" x14ac:dyDescent="0.25"/>
    <row r="168" s="29" customFormat="1" x14ac:dyDescent="0.25"/>
    <row r="169" s="29" customFormat="1" x14ac:dyDescent="0.25"/>
    <row r="170" s="29" customFormat="1" x14ac:dyDescent="0.25"/>
    <row r="171" s="29" customFormat="1" x14ac:dyDescent="0.25"/>
    <row r="172" s="29" customFormat="1" x14ac:dyDescent="0.25"/>
    <row r="173" s="29" customFormat="1" x14ac:dyDescent="0.25"/>
    <row r="174" s="29" customFormat="1" x14ac:dyDescent="0.25"/>
    <row r="175" s="29" customFormat="1" x14ac:dyDescent="0.25"/>
    <row r="176" s="29" customFormat="1" x14ac:dyDescent="0.25"/>
    <row r="177" spans="1:26" s="29" customFormat="1" x14ac:dyDescent="0.25"/>
    <row r="178" spans="1:26" s="29" customFormat="1" x14ac:dyDescent="0.25"/>
    <row r="179" spans="1:26" s="29" customFormat="1" x14ac:dyDescent="0.25"/>
    <row r="180" spans="1:26" s="29" customFormat="1" x14ac:dyDescent="0.25"/>
    <row r="181" spans="1:26" s="29" customFormat="1" x14ac:dyDescent="0.25"/>
    <row r="182" spans="1:26" s="29" customFormat="1" x14ac:dyDescent="0.25"/>
    <row r="183" spans="1:26" s="29" customFormat="1" x14ac:dyDescent="0.25"/>
    <row r="184" spans="1:26" s="29" customFormat="1" x14ac:dyDescent="0.25"/>
    <row r="185" spans="1:26" s="29" customFormat="1" x14ac:dyDescent="0.25"/>
    <row r="186" spans="1:26" s="29" customFormat="1" x14ac:dyDescent="0.25"/>
    <row r="187" spans="1:26" s="29" customFormat="1" x14ac:dyDescent="0.25"/>
    <row r="188" spans="1:26" s="29" customFormat="1" x14ac:dyDescent="0.25"/>
    <row r="189" spans="1:26" s="29" customFormat="1" x14ac:dyDescent="0.25"/>
    <row r="190" spans="1:26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5"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3:26" x14ac:dyDescent="0.25"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3:26" x14ac:dyDescent="0.25"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3:26" x14ac:dyDescent="0.25"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3:26" x14ac:dyDescent="0.25"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3:26" x14ac:dyDescent="0.25"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3:26" x14ac:dyDescent="0.25"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3:26" x14ac:dyDescent="0.25"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3:26" x14ac:dyDescent="0.25"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3:26" x14ac:dyDescent="0.25"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3:26" x14ac:dyDescent="0.25"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3:26" x14ac:dyDescent="0.25"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3:26" x14ac:dyDescent="0.25"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3:26" x14ac:dyDescent="0.25"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3:26" x14ac:dyDescent="0.25"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3:26" x14ac:dyDescent="0.25"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3:26" x14ac:dyDescent="0.25"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26:26" x14ac:dyDescent="0.25">
      <c r="Z209" s="11"/>
    </row>
    <row r="210" spans="26:26" x14ac:dyDescent="0.25">
      <c r="Z210" s="11"/>
    </row>
    <row r="211" spans="26:26" x14ac:dyDescent="0.25">
      <c r="Z211" s="11"/>
    </row>
    <row r="212" spans="26:26" x14ac:dyDescent="0.25">
      <c r="Z212" s="11"/>
    </row>
    <row r="213" spans="26:26" x14ac:dyDescent="0.25">
      <c r="Z213" s="11"/>
    </row>
    <row r="214" spans="26:26" x14ac:dyDescent="0.25">
      <c r="Z214" s="11"/>
    </row>
    <row r="215" spans="26:26" x14ac:dyDescent="0.25">
      <c r="Z215" s="11"/>
    </row>
    <row r="216" spans="26:26" x14ac:dyDescent="0.25">
      <c r="Z216" s="11"/>
    </row>
    <row r="217" spans="26:26" x14ac:dyDescent="0.25">
      <c r="Z217" s="11"/>
    </row>
    <row r="218" spans="26:26" x14ac:dyDescent="0.25">
      <c r="Z218" s="11"/>
    </row>
    <row r="219" spans="26:26" x14ac:dyDescent="0.25">
      <c r="Z219" s="11"/>
    </row>
    <row r="220" spans="26:26" x14ac:dyDescent="0.25">
      <c r="Z220" s="11"/>
    </row>
    <row r="221" spans="26:26" x14ac:dyDescent="0.25">
      <c r="Z221" s="11"/>
    </row>
    <row r="222" spans="26:26" x14ac:dyDescent="0.25">
      <c r="Z222" s="11"/>
    </row>
    <row r="223" spans="26:26" x14ac:dyDescent="0.25">
      <c r="Z223" s="11"/>
    </row>
    <row r="224" spans="26:26" x14ac:dyDescent="0.25">
      <c r="Z224" s="11"/>
    </row>
    <row r="225" spans="26:26" x14ac:dyDescent="0.25">
      <c r="Z225" s="11"/>
    </row>
    <row r="226" spans="26:26" x14ac:dyDescent="0.25">
      <c r="Z226" s="11"/>
    </row>
    <row r="227" spans="26:26" x14ac:dyDescent="0.25">
      <c r="Z227" s="11"/>
    </row>
    <row r="228" spans="26:26" x14ac:dyDescent="0.25">
      <c r="Z228" s="11"/>
    </row>
    <row r="229" spans="26:26" x14ac:dyDescent="0.25">
      <c r="Z229" s="11"/>
    </row>
    <row r="230" spans="26:26" x14ac:dyDescent="0.25">
      <c r="Z230" s="11"/>
    </row>
    <row r="231" spans="26:26" x14ac:dyDescent="0.25">
      <c r="Z231" s="11"/>
    </row>
    <row r="232" spans="26:26" x14ac:dyDescent="0.25">
      <c r="Z232" s="11"/>
    </row>
    <row r="233" spans="26:26" x14ac:dyDescent="0.25">
      <c r="Z233" s="11"/>
    </row>
    <row r="234" spans="26:26" x14ac:dyDescent="0.25">
      <c r="Z234" s="11"/>
    </row>
    <row r="235" spans="26:26" x14ac:dyDescent="0.25">
      <c r="Z235" s="11"/>
    </row>
    <row r="236" spans="26:26" x14ac:dyDescent="0.25">
      <c r="Z236" s="11"/>
    </row>
    <row r="237" spans="26:26" x14ac:dyDescent="0.25">
      <c r="Z237" s="11"/>
    </row>
    <row r="238" spans="26:26" x14ac:dyDescent="0.25">
      <c r="Z238" s="11"/>
    </row>
    <row r="239" spans="26:26" x14ac:dyDescent="0.25">
      <c r="Z239" s="11"/>
    </row>
    <row r="240" spans="26:26" x14ac:dyDescent="0.25">
      <c r="Z240" s="11"/>
    </row>
    <row r="241" spans="26:26" x14ac:dyDescent="0.25">
      <c r="Z241" s="11"/>
    </row>
    <row r="242" spans="26:26" x14ac:dyDescent="0.25">
      <c r="Z242" s="11"/>
    </row>
    <row r="243" spans="26:26" x14ac:dyDescent="0.25">
      <c r="Z243" s="11"/>
    </row>
    <row r="244" spans="26:26" x14ac:dyDescent="0.25">
      <c r="Z244" s="11"/>
    </row>
    <row r="245" spans="26:26" x14ac:dyDescent="0.25">
      <c r="Z245" s="11"/>
    </row>
    <row r="246" spans="26:26" x14ac:dyDescent="0.25">
      <c r="Z246" s="11"/>
    </row>
    <row r="247" spans="26:26" x14ac:dyDescent="0.25">
      <c r="Z247" s="11"/>
    </row>
    <row r="248" spans="26:26" x14ac:dyDescent="0.25">
      <c r="Z248" s="11"/>
    </row>
    <row r="249" spans="26:26" x14ac:dyDescent="0.25">
      <c r="Z249" s="11"/>
    </row>
    <row r="250" spans="26:26" x14ac:dyDescent="0.25">
      <c r="Z250" s="11"/>
    </row>
    <row r="251" spans="26:26" x14ac:dyDescent="0.25">
      <c r="Z251" s="11"/>
    </row>
    <row r="252" spans="26:26" x14ac:dyDescent="0.25">
      <c r="Z252" s="11"/>
    </row>
    <row r="253" spans="26:26" x14ac:dyDescent="0.25">
      <c r="Z253" s="11"/>
    </row>
    <row r="254" spans="26:26" x14ac:dyDescent="0.25">
      <c r="Z254" s="11"/>
    </row>
    <row r="255" spans="26:26" x14ac:dyDescent="0.25">
      <c r="Z255" s="11"/>
    </row>
    <row r="256" spans="26:26" x14ac:dyDescent="0.25">
      <c r="Z256" s="11"/>
    </row>
    <row r="257" spans="26:26" x14ac:dyDescent="0.25">
      <c r="Z257" s="11"/>
    </row>
    <row r="258" spans="26:26" x14ac:dyDescent="0.25">
      <c r="Z258" s="11"/>
    </row>
    <row r="259" spans="26:26" x14ac:dyDescent="0.25">
      <c r="Z259" s="11"/>
    </row>
    <row r="260" spans="26:26" x14ac:dyDescent="0.25">
      <c r="Z260" s="11"/>
    </row>
    <row r="261" spans="26:26" x14ac:dyDescent="0.25">
      <c r="Z261" s="11"/>
    </row>
    <row r="262" spans="26:26" x14ac:dyDescent="0.25">
      <c r="Z262" s="11"/>
    </row>
    <row r="263" spans="26:26" x14ac:dyDescent="0.25">
      <c r="Z263" s="11"/>
    </row>
    <row r="264" spans="26:26" x14ac:dyDescent="0.25">
      <c r="Z264" s="11"/>
    </row>
    <row r="265" spans="26:26" x14ac:dyDescent="0.25">
      <c r="Z265" s="11"/>
    </row>
    <row r="266" spans="26:26" x14ac:dyDescent="0.25">
      <c r="Z266" s="11"/>
    </row>
    <row r="267" spans="26:26" x14ac:dyDescent="0.25">
      <c r="Z267" s="11"/>
    </row>
    <row r="268" spans="26:26" x14ac:dyDescent="0.25">
      <c r="Z268" s="11"/>
    </row>
    <row r="269" spans="26:26" x14ac:dyDescent="0.25">
      <c r="Z269" s="11"/>
    </row>
    <row r="270" spans="26:26" x14ac:dyDescent="0.25">
      <c r="Z270" s="11"/>
    </row>
    <row r="271" spans="26:26" x14ac:dyDescent="0.25">
      <c r="Z271" s="11"/>
    </row>
    <row r="272" spans="26:26" x14ac:dyDescent="0.25">
      <c r="Z272" s="11"/>
    </row>
    <row r="273" spans="26:26" x14ac:dyDescent="0.25">
      <c r="Z273" s="11"/>
    </row>
    <row r="274" spans="26:26" x14ac:dyDescent="0.25">
      <c r="Z274" s="11"/>
    </row>
    <row r="275" spans="26:26" x14ac:dyDescent="0.25">
      <c r="Z275" s="11"/>
    </row>
    <row r="276" spans="26:26" x14ac:dyDescent="0.25">
      <c r="Z276" s="11"/>
    </row>
    <row r="277" spans="26:26" x14ac:dyDescent="0.25">
      <c r="Z277" s="11"/>
    </row>
    <row r="278" spans="26:26" x14ac:dyDescent="0.25">
      <c r="Z278" s="11"/>
    </row>
    <row r="279" spans="26:26" x14ac:dyDescent="0.25">
      <c r="Z279" s="11"/>
    </row>
    <row r="280" spans="26:26" x14ac:dyDescent="0.25">
      <c r="Z280" s="11"/>
    </row>
    <row r="281" spans="26:26" x14ac:dyDescent="0.25">
      <c r="Z281" s="11"/>
    </row>
    <row r="282" spans="26:26" x14ac:dyDescent="0.25">
      <c r="Z282" s="11"/>
    </row>
    <row r="283" spans="26:26" x14ac:dyDescent="0.25">
      <c r="Z283" s="11"/>
    </row>
    <row r="284" spans="26:26" x14ac:dyDescent="0.25">
      <c r="Z284" s="11"/>
    </row>
    <row r="285" spans="26:26" x14ac:dyDescent="0.25">
      <c r="Z285" s="11"/>
    </row>
    <row r="286" spans="26:26" x14ac:dyDescent="0.25">
      <c r="Z286" s="11"/>
    </row>
    <row r="287" spans="26:26" x14ac:dyDescent="0.25">
      <c r="Z287" s="11"/>
    </row>
    <row r="288" spans="26:26" x14ac:dyDescent="0.25">
      <c r="Z288" s="11"/>
    </row>
    <row r="289" spans="26:26" x14ac:dyDescent="0.25">
      <c r="Z289" s="11"/>
    </row>
    <row r="290" spans="26:26" x14ac:dyDescent="0.25">
      <c r="Z290" s="11"/>
    </row>
    <row r="291" spans="26:26" x14ac:dyDescent="0.25">
      <c r="Z291" s="11"/>
    </row>
    <row r="292" spans="26:26" x14ac:dyDescent="0.25">
      <c r="Z292" s="11"/>
    </row>
    <row r="293" spans="26:26" x14ac:dyDescent="0.25">
      <c r="Z293" s="11"/>
    </row>
    <row r="294" spans="26:26" x14ac:dyDescent="0.25">
      <c r="Z294" s="11"/>
    </row>
    <row r="295" spans="26:26" x14ac:dyDescent="0.25">
      <c r="Z295" s="11"/>
    </row>
    <row r="296" spans="26:26" x14ac:dyDescent="0.25">
      <c r="Z296" s="11"/>
    </row>
    <row r="297" spans="26:26" x14ac:dyDescent="0.25">
      <c r="Z297" s="11"/>
    </row>
    <row r="298" spans="26:26" x14ac:dyDescent="0.25">
      <c r="Z298" s="11"/>
    </row>
    <row r="299" spans="26:26" x14ac:dyDescent="0.25">
      <c r="Z299" s="11"/>
    </row>
    <row r="300" spans="26:26" x14ac:dyDescent="0.25">
      <c r="Z300" s="11"/>
    </row>
    <row r="301" spans="26:26" x14ac:dyDescent="0.25">
      <c r="Z301" s="11"/>
    </row>
    <row r="302" spans="26:26" x14ac:dyDescent="0.25">
      <c r="Z302" s="11"/>
    </row>
    <row r="303" spans="26:26" x14ac:dyDescent="0.25">
      <c r="Z303" s="11"/>
    </row>
    <row r="304" spans="26:26" x14ac:dyDescent="0.25">
      <c r="Z304" s="11"/>
    </row>
    <row r="305" spans="26:26" x14ac:dyDescent="0.25">
      <c r="Z305" s="11"/>
    </row>
    <row r="306" spans="26:26" x14ac:dyDescent="0.25">
      <c r="Z306" s="11"/>
    </row>
    <row r="307" spans="26:26" x14ac:dyDescent="0.25">
      <c r="Z307" s="11"/>
    </row>
    <row r="308" spans="26:26" x14ac:dyDescent="0.25">
      <c r="Z308" s="11"/>
    </row>
    <row r="309" spans="26:26" x14ac:dyDescent="0.25">
      <c r="Z309" s="11"/>
    </row>
    <row r="310" spans="26:26" x14ac:dyDescent="0.25">
      <c r="Z310" s="11"/>
    </row>
    <row r="311" spans="26:26" x14ac:dyDescent="0.25">
      <c r="Z311" s="11"/>
    </row>
    <row r="312" spans="26:26" x14ac:dyDescent="0.25">
      <c r="Z312" s="11"/>
    </row>
    <row r="313" spans="26:26" x14ac:dyDescent="0.25">
      <c r="Z313" s="11"/>
    </row>
    <row r="314" spans="26:26" x14ac:dyDescent="0.25">
      <c r="Z314" s="11"/>
    </row>
    <row r="315" spans="26:26" x14ac:dyDescent="0.25">
      <c r="Z315" s="11"/>
    </row>
    <row r="316" spans="26:26" x14ac:dyDescent="0.25">
      <c r="Z316" s="11"/>
    </row>
    <row r="317" spans="26:26" x14ac:dyDescent="0.25">
      <c r="Z317" s="11"/>
    </row>
    <row r="318" spans="26:26" x14ac:dyDescent="0.25">
      <c r="Z318" s="11"/>
    </row>
    <row r="319" spans="26:26" x14ac:dyDescent="0.25">
      <c r="Z319" s="11"/>
    </row>
    <row r="320" spans="26:26" x14ac:dyDescent="0.25">
      <c r="Z320" s="11"/>
    </row>
    <row r="321" spans="26:26" x14ac:dyDescent="0.25">
      <c r="Z321" s="11"/>
    </row>
    <row r="322" spans="26:26" x14ac:dyDescent="0.25">
      <c r="Z322" s="11"/>
    </row>
    <row r="323" spans="26:26" x14ac:dyDescent="0.25">
      <c r="Z323" s="11"/>
    </row>
    <row r="324" spans="26:26" x14ac:dyDescent="0.25">
      <c r="Z324" s="11"/>
    </row>
    <row r="325" spans="26:26" x14ac:dyDescent="0.25">
      <c r="Z325" s="11"/>
    </row>
    <row r="326" spans="26:26" x14ac:dyDescent="0.25">
      <c r="Z326" s="11"/>
    </row>
    <row r="327" spans="26:26" x14ac:dyDescent="0.25">
      <c r="Z327" s="11"/>
    </row>
    <row r="328" spans="26:26" x14ac:dyDescent="0.25">
      <c r="Z328" s="11"/>
    </row>
    <row r="329" spans="26:26" x14ac:dyDescent="0.25">
      <c r="Z329" s="11"/>
    </row>
    <row r="330" spans="26:26" x14ac:dyDescent="0.25">
      <c r="Z330" s="11"/>
    </row>
    <row r="331" spans="26:26" x14ac:dyDescent="0.25">
      <c r="Z331" s="11"/>
    </row>
    <row r="332" spans="26:26" x14ac:dyDescent="0.25">
      <c r="Z332" s="11"/>
    </row>
    <row r="333" spans="26:26" x14ac:dyDescent="0.25">
      <c r="Z333" s="11"/>
    </row>
    <row r="334" spans="26:26" x14ac:dyDescent="0.25">
      <c r="Z334" s="11"/>
    </row>
    <row r="335" spans="26:26" x14ac:dyDescent="0.25">
      <c r="Z335" s="11"/>
    </row>
    <row r="336" spans="26:26" x14ac:dyDescent="0.25">
      <c r="Z336" s="11"/>
    </row>
    <row r="337" spans="26:26" x14ac:dyDescent="0.25">
      <c r="Z337" s="11"/>
    </row>
    <row r="338" spans="26:26" x14ac:dyDescent="0.25">
      <c r="Z338" s="11"/>
    </row>
    <row r="339" spans="26:26" x14ac:dyDescent="0.25">
      <c r="Z339" s="11"/>
    </row>
    <row r="340" spans="26:26" x14ac:dyDescent="0.25">
      <c r="Z340" s="11"/>
    </row>
    <row r="341" spans="26:26" x14ac:dyDescent="0.25">
      <c r="Z341" s="11"/>
    </row>
    <row r="342" spans="26:26" x14ac:dyDescent="0.25">
      <c r="Z342" s="11"/>
    </row>
    <row r="343" spans="26:26" x14ac:dyDescent="0.25">
      <c r="Z343" s="11"/>
    </row>
    <row r="344" spans="26:26" x14ac:dyDescent="0.25">
      <c r="Z344" s="11"/>
    </row>
    <row r="345" spans="26:26" x14ac:dyDescent="0.25">
      <c r="Z345" s="11"/>
    </row>
    <row r="346" spans="26:26" x14ac:dyDescent="0.25">
      <c r="Z346" s="11"/>
    </row>
    <row r="347" spans="26:26" x14ac:dyDescent="0.25">
      <c r="Z347" s="11"/>
    </row>
    <row r="348" spans="26:26" x14ac:dyDescent="0.25">
      <c r="Z348" s="11"/>
    </row>
    <row r="349" spans="26:26" x14ac:dyDescent="0.25">
      <c r="Z349" s="11"/>
    </row>
    <row r="350" spans="26:26" x14ac:dyDescent="0.25">
      <c r="Z350" s="11"/>
    </row>
    <row r="351" spans="26:26" x14ac:dyDescent="0.25">
      <c r="Z351" s="11"/>
    </row>
    <row r="352" spans="26:26" x14ac:dyDescent="0.25">
      <c r="Z352" s="11"/>
    </row>
    <row r="353" spans="26:26" x14ac:dyDescent="0.25">
      <c r="Z353" s="11"/>
    </row>
    <row r="354" spans="26:26" x14ac:dyDescent="0.25">
      <c r="Z354" s="11"/>
    </row>
    <row r="355" spans="26:26" x14ac:dyDescent="0.25">
      <c r="Z355" s="11"/>
    </row>
    <row r="356" spans="26:26" x14ac:dyDescent="0.25">
      <c r="Z356" s="11"/>
    </row>
    <row r="357" spans="26:26" x14ac:dyDescent="0.25">
      <c r="Z357" s="11"/>
    </row>
    <row r="358" spans="26:26" x14ac:dyDescent="0.25">
      <c r="Z358" s="11"/>
    </row>
    <row r="359" spans="26:26" x14ac:dyDescent="0.25">
      <c r="Z359" s="11"/>
    </row>
    <row r="360" spans="26:26" x14ac:dyDescent="0.25">
      <c r="Z360" s="11"/>
    </row>
    <row r="361" spans="26:26" x14ac:dyDescent="0.25">
      <c r="Z361" s="11"/>
    </row>
    <row r="362" spans="26:26" x14ac:dyDescent="0.25">
      <c r="Z362" s="11"/>
    </row>
    <row r="363" spans="26:26" x14ac:dyDescent="0.25">
      <c r="Z363" s="11"/>
    </row>
    <row r="364" spans="26:26" x14ac:dyDescent="0.25">
      <c r="Z364" s="11"/>
    </row>
    <row r="365" spans="26:26" x14ac:dyDescent="0.25">
      <c r="Z365" s="11"/>
    </row>
    <row r="366" spans="26:26" x14ac:dyDescent="0.25">
      <c r="Z366" s="11"/>
    </row>
    <row r="367" spans="26:26" x14ac:dyDescent="0.25">
      <c r="Z367" s="11"/>
    </row>
    <row r="368" spans="26:26" x14ac:dyDescent="0.25">
      <c r="Z368" s="11"/>
    </row>
    <row r="369" spans="26:26" x14ac:dyDescent="0.25">
      <c r="Z369" s="11"/>
    </row>
    <row r="370" spans="26:26" x14ac:dyDescent="0.25">
      <c r="Z370" s="11"/>
    </row>
    <row r="371" spans="26:26" x14ac:dyDescent="0.25">
      <c r="Z371" s="11"/>
    </row>
    <row r="372" spans="26:26" x14ac:dyDescent="0.25">
      <c r="Z372" s="11"/>
    </row>
    <row r="373" spans="26:26" x14ac:dyDescent="0.25">
      <c r="Z373" s="11"/>
    </row>
    <row r="374" spans="26:26" x14ac:dyDescent="0.25">
      <c r="Z374" s="11"/>
    </row>
    <row r="375" spans="26:26" x14ac:dyDescent="0.25">
      <c r="Z375" s="11"/>
    </row>
    <row r="376" spans="26:26" x14ac:dyDescent="0.25">
      <c r="Z376" s="11"/>
    </row>
    <row r="377" spans="26:26" x14ac:dyDescent="0.25">
      <c r="Z377" s="11"/>
    </row>
    <row r="378" spans="26:26" x14ac:dyDescent="0.25">
      <c r="Z378" s="11"/>
    </row>
    <row r="379" spans="26:26" x14ac:dyDescent="0.25">
      <c r="Z379" s="11"/>
    </row>
    <row r="380" spans="26:26" x14ac:dyDescent="0.25">
      <c r="Z380" s="11"/>
    </row>
    <row r="381" spans="26:26" x14ac:dyDescent="0.25">
      <c r="Z381" s="11"/>
    </row>
    <row r="382" spans="26:26" x14ac:dyDescent="0.25">
      <c r="Z382" s="11"/>
    </row>
    <row r="383" spans="26:26" x14ac:dyDescent="0.25">
      <c r="Z383" s="11"/>
    </row>
    <row r="384" spans="26:26" x14ac:dyDescent="0.25">
      <c r="Z384" s="11"/>
    </row>
    <row r="385" spans="26:26" x14ac:dyDescent="0.25">
      <c r="Z385" s="11"/>
    </row>
    <row r="386" spans="26:26" x14ac:dyDescent="0.25">
      <c r="Z386" s="11"/>
    </row>
    <row r="387" spans="26:26" x14ac:dyDescent="0.25">
      <c r="Z387" s="11"/>
    </row>
    <row r="388" spans="26:26" x14ac:dyDescent="0.25">
      <c r="Z388" s="11"/>
    </row>
    <row r="389" spans="26:26" x14ac:dyDescent="0.25">
      <c r="Z389" s="11"/>
    </row>
    <row r="390" spans="26:26" x14ac:dyDescent="0.25">
      <c r="Z390" s="11"/>
    </row>
    <row r="391" spans="26:26" x14ac:dyDescent="0.25">
      <c r="Z391" s="11"/>
    </row>
    <row r="392" spans="26:26" x14ac:dyDescent="0.25">
      <c r="Z392" s="11"/>
    </row>
    <row r="393" spans="26:26" x14ac:dyDescent="0.25">
      <c r="Z393" s="11"/>
    </row>
    <row r="394" spans="26:26" x14ac:dyDescent="0.25">
      <c r="Z394" s="11"/>
    </row>
    <row r="395" spans="26:26" x14ac:dyDescent="0.25">
      <c r="Z395" s="11"/>
    </row>
    <row r="396" spans="26:26" x14ac:dyDescent="0.25">
      <c r="Z396" s="11"/>
    </row>
    <row r="397" spans="26:26" x14ac:dyDescent="0.25">
      <c r="Z397" s="11"/>
    </row>
    <row r="398" spans="26:26" x14ac:dyDescent="0.25">
      <c r="Z398" s="11"/>
    </row>
    <row r="399" spans="26:26" x14ac:dyDescent="0.25">
      <c r="Z399" s="11"/>
    </row>
    <row r="400" spans="26:26" x14ac:dyDescent="0.25">
      <c r="Z400" s="11"/>
    </row>
    <row r="401" spans="26:26" x14ac:dyDescent="0.25">
      <c r="Z401" s="11"/>
    </row>
    <row r="402" spans="26:26" x14ac:dyDescent="0.25">
      <c r="Z402" s="11"/>
    </row>
    <row r="403" spans="26:26" x14ac:dyDescent="0.25">
      <c r="Z403" s="11"/>
    </row>
    <row r="404" spans="26:26" x14ac:dyDescent="0.25">
      <c r="Z404" s="11"/>
    </row>
    <row r="405" spans="26:26" x14ac:dyDescent="0.25">
      <c r="Z405" s="11"/>
    </row>
    <row r="406" spans="26:26" x14ac:dyDescent="0.25">
      <c r="Z406" s="11"/>
    </row>
    <row r="407" spans="26:26" x14ac:dyDescent="0.25">
      <c r="Z407" s="11"/>
    </row>
    <row r="408" spans="26:26" x14ac:dyDescent="0.25">
      <c r="Z408" s="11"/>
    </row>
    <row r="409" spans="26:26" x14ac:dyDescent="0.25">
      <c r="Z409" s="11"/>
    </row>
    <row r="410" spans="26:26" x14ac:dyDescent="0.25">
      <c r="Z410" s="11"/>
    </row>
    <row r="411" spans="26:26" x14ac:dyDescent="0.25">
      <c r="Z411" s="11"/>
    </row>
    <row r="412" spans="26:26" x14ac:dyDescent="0.25">
      <c r="Z412" s="11"/>
    </row>
    <row r="413" spans="26:26" x14ac:dyDescent="0.25">
      <c r="Z413" s="11"/>
    </row>
    <row r="414" spans="26:26" x14ac:dyDescent="0.25">
      <c r="Z414" s="11"/>
    </row>
    <row r="415" spans="26:26" x14ac:dyDescent="0.25">
      <c r="Z415" s="11"/>
    </row>
    <row r="416" spans="26:26" x14ac:dyDescent="0.25">
      <c r="Z416" s="11"/>
    </row>
    <row r="417" spans="26:26" x14ac:dyDescent="0.25">
      <c r="Z417" s="11"/>
    </row>
    <row r="418" spans="26:26" x14ac:dyDescent="0.25">
      <c r="Z418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155"/>
  <sheetViews>
    <sheetView topLeftCell="R37" zoomScale="70" zoomScaleNormal="70" workbookViewId="0">
      <selection activeCell="AC73" sqref="AC73"/>
    </sheetView>
  </sheetViews>
  <sheetFormatPr defaultRowHeight="15" x14ac:dyDescent="0.25"/>
  <cols>
    <col min="2" max="2" width="15.7109375" customWidth="1"/>
    <col min="4" max="8" width="11" customWidth="1"/>
    <col min="18" max="20" width="11" customWidth="1"/>
  </cols>
  <sheetData>
    <row r="1" spans="2:43" x14ac:dyDescent="0.25">
      <c r="B1" s="50" t="s">
        <v>55</v>
      </c>
      <c r="C1" s="11" t="s">
        <v>53</v>
      </c>
      <c r="D1" s="5" t="s">
        <v>49</v>
      </c>
      <c r="E1" s="5" t="s">
        <v>65</v>
      </c>
      <c r="F1" t="s">
        <v>64</v>
      </c>
      <c r="G1" s="5" t="s">
        <v>69</v>
      </c>
      <c r="H1" s="5" t="s">
        <v>70</v>
      </c>
      <c r="I1" s="11" t="s">
        <v>48</v>
      </c>
      <c r="J1" s="11" t="s">
        <v>50</v>
      </c>
      <c r="K1" s="11" t="s">
        <v>51</v>
      </c>
      <c r="M1" s="51" t="s">
        <v>58</v>
      </c>
      <c r="N1" s="11" t="s">
        <v>53</v>
      </c>
      <c r="O1" s="29" t="s">
        <v>49</v>
      </c>
      <c r="P1" s="29" t="s">
        <v>65</v>
      </c>
      <c r="Q1" t="s">
        <v>64</v>
      </c>
      <c r="R1" s="5" t="s">
        <v>69</v>
      </c>
      <c r="S1" s="5" t="s">
        <v>70</v>
      </c>
      <c r="T1" s="5" t="s">
        <v>48</v>
      </c>
      <c r="U1" s="11" t="s">
        <v>50</v>
      </c>
      <c r="V1" s="11" t="s">
        <v>51</v>
      </c>
      <c r="X1" s="52" t="s">
        <v>59</v>
      </c>
      <c r="Y1" s="11" t="s">
        <v>53</v>
      </c>
      <c r="Z1" s="29" t="s">
        <v>49</v>
      </c>
      <c r="AA1" s="29" t="s">
        <v>65</v>
      </c>
      <c r="AB1" t="s">
        <v>64</v>
      </c>
      <c r="AC1" s="5" t="s">
        <v>69</v>
      </c>
      <c r="AD1" s="5" t="s">
        <v>70</v>
      </c>
      <c r="AE1" s="11" t="s">
        <v>48</v>
      </c>
      <c r="AF1" s="11" t="s">
        <v>50</v>
      </c>
      <c r="AG1" s="11" t="s">
        <v>51</v>
      </c>
      <c r="AI1" s="52" t="s">
        <v>3</v>
      </c>
      <c r="AJ1" s="11" t="s">
        <v>63</v>
      </c>
      <c r="AK1" s="5" t="s">
        <v>49</v>
      </c>
      <c r="AL1" s="29" t="s">
        <v>65</v>
      </c>
      <c r="AM1" t="s">
        <v>64</v>
      </c>
      <c r="AN1" s="5" t="s">
        <v>69</v>
      </c>
      <c r="AO1" s="5" t="s">
        <v>70</v>
      </c>
      <c r="AP1" s="11" t="s">
        <v>48</v>
      </c>
      <c r="AQ1" s="11" t="s">
        <v>50</v>
      </c>
    </row>
    <row r="2" spans="2:43" x14ac:dyDescent="0.25">
      <c r="B2" s="11"/>
      <c r="C2" s="53">
        <v>0</v>
      </c>
      <c r="D2" s="11">
        <v>3.9859355670690566</v>
      </c>
      <c r="E2" s="11">
        <v>0.104711</v>
      </c>
      <c r="F2" s="11">
        <f>_xlfn.CONFIDENCE.T(0.05,E2,3)</f>
        <v>0.26011654393508893</v>
      </c>
      <c r="G2" s="11">
        <f>D2-F2</f>
        <v>3.7258190231339676</v>
      </c>
      <c r="H2" s="11">
        <f>D2+F2</f>
        <v>4.2460521110041451</v>
      </c>
      <c r="I2" s="5">
        <v>3.9859355670690566</v>
      </c>
      <c r="J2" s="11">
        <v>4.2197608647737068</v>
      </c>
      <c r="K2" s="11">
        <v>4.7149999999999999</v>
      </c>
      <c r="M2" s="11"/>
      <c r="N2" s="53">
        <v>0</v>
      </c>
      <c r="O2" s="53">
        <v>4.7257767241380932</v>
      </c>
      <c r="P2" s="53">
        <v>9.7292000000000003E-2</v>
      </c>
      <c r="Q2" s="11">
        <f>_xlfn.CONFIDENCE.T(0.05,P2,3)</f>
        <v>0.24168672625161322</v>
      </c>
      <c r="R2" s="11">
        <f>O2-Q2</f>
        <v>4.4840899978864801</v>
      </c>
      <c r="S2" s="11">
        <f>O2+Q2</f>
        <v>4.9674634503897064</v>
      </c>
      <c r="T2" s="11">
        <v>4.9610908106645013</v>
      </c>
      <c r="U2" s="11">
        <v>4.8009451085172259</v>
      </c>
      <c r="V2" s="11">
        <v>4.6950000000000003</v>
      </c>
      <c r="X2" s="11"/>
      <c r="Y2" s="53">
        <v>0</v>
      </c>
      <c r="Z2" s="24">
        <v>4.8584545462174367</v>
      </c>
      <c r="AA2" s="53">
        <v>0.14000000000000001</v>
      </c>
      <c r="AB2" s="11">
        <f>_xlfn.CONFIDENCE.T(0.05,AA2,3)</f>
        <v>0.3477792796450464</v>
      </c>
      <c r="AC2" s="11">
        <f>Z2-AB2</f>
        <v>4.5106752665723899</v>
      </c>
      <c r="AD2" s="11">
        <f>Z2+AB2</f>
        <v>5.2062338258624834</v>
      </c>
      <c r="AE2" s="11">
        <v>5.6184082821093497</v>
      </c>
      <c r="AF2" s="11">
        <v>5.6188412619982415</v>
      </c>
      <c r="AG2" s="11">
        <v>5.6180000000000003</v>
      </c>
      <c r="AI2" s="11"/>
      <c r="AJ2" s="24">
        <v>0</v>
      </c>
      <c r="AK2" s="24">
        <v>5.406262970946627</v>
      </c>
      <c r="AL2" s="24">
        <v>0.47383799999999998</v>
      </c>
      <c r="AM2" s="11">
        <f>_xlfn.CONFIDENCE.T(0.05,AL2,3)</f>
        <v>1.1770788450603533</v>
      </c>
      <c r="AN2" s="11">
        <f>AK2-AM2</f>
        <v>4.2291841258862739</v>
      </c>
      <c r="AO2" s="11">
        <f>AK2+AM2</f>
        <v>6.5833418160069801</v>
      </c>
      <c r="AP2" s="11">
        <v>5.4596058046350446</v>
      </c>
      <c r="AQ2" s="11">
        <v>5.4346101998110257</v>
      </c>
    </row>
    <row r="3" spans="2:43" x14ac:dyDescent="0.25">
      <c r="B3" s="11"/>
      <c r="C3" s="53">
        <v>4</v>
      </c>
      <c r="D3" s="11">
        <v>9.6480747409851588</v>
      </c>
      <c r="E3" s="11">
        <v>0.21951499999999999</v>
      </c>
      <c r="F3" s="11">
        <f t="shared" ref="F3:F17" si="0">_xlfn.CONFIDENCE.T(0.05,E3,3)</f>
        <v>0.54530548979487392</v>
      </c>
      <c r="G3" s="11">
        <f t="shared" ref="G3:G17" si="1">D3-F3</f>
        <v>9.1027692511902849</v>
      </c>
      <c r="H3" s="11">
        <f t="shared" ref="H3:H17" si="2">D3+F3</f>
        <v>10.193380230780033</v>
      </c>
      <c r="I3" s="5">
        <v>9.6480747409851588</v>
      </c>
      <c r="J3" s="11">
        <v>10.527290659344029</v>
      </c>
      <c r="K3" s="11">
        <v>9.7989067345641541</v>
      </c>
      <c r="M3" s="11"/>
      <c r="N3" s="57">
        <v>6</v>
      </c>
      <c r="O3" s="57">
        <v>10.987762847198796</v>
      </c>
      <c r="P3" s="57">
        <v>0.19089700000000001</v>
      </c>
      <c r="Q3" s="11">
        <f t="shared" ref="Q3:Q19" si="3">_xlfn.CONFIDENCE.T(0.05,P3,3)</f>
        <v>0.47421443676000302</v>
      </c>
      <c r="R3" s="11">
        <f t="shared" ref="R3:R19" si="4">O3-Q3</f>
        <v>10.513548410438794</v>
      </c>
      <c r="S3" s="11">
        <f t="shared" ref="S3:S19" si="5">O3+Q3</f>
        <v>11.461977283958799</v>
      </c>
      <c r="T3" s="11">
        <v>10.685699264880149</v>
      </c>
      <c r="U3" s="11">
        <v>10.779962401306875</v>
      </c>
      <c r="V3" s="11">
        <v>11.189263017814573</v>
      </c>
      <c r="X3" s="11"/>
      <c r="Y3" s="53">
        <v>12</v>
      </c>
      <c r="Z3" s="24">
        <v>9.0031077136067204</v>
      </c>
      <c r="AA3" s="53">
        <v>0.14000000000000001</v>
      </c>
      <c r="AB3" s="11">
        <f t="shared" ref="AB3:AB19" si="6">_xlfn.CONFIDENCE.T(0.05,AA3,3)</f>
        <v>0.3477792796450464</v>
      </c>
      <c r="AC3" s="11">
        <f t="shared" ref="AC3:AC19" si="7">Z3-AB3</f>
        <v>8.6553284339616745</v>
      </c>
      <c r="AD3" s="11">
        <f t="shared" ref="AD3:AD19" si="8">Z3+AB3</f>
        <v>9.3508869932517662</v>
      </c>
      <c r="AE3" s="11">
        <v>9.5132809587674032</v>
      </c>
      <c r="AF3" s="11">
        <v>9.5209414556512968</v>
      </c>
      <c r="AG3" s="11">
        <v>9.2287157376137365</v>
      </c>
      <c r="AI3" s="11"/>
      <c r="AJ3" s="24">
        <v>2</v>
      </c>
      <c r="AK3" s="24">
        <v>7.7574957301680012</v>
      </c>
      <c r="AL3" s="24">
        <v>0.138686</v>
      </c>
      <c r="AM3" s="11">
        <f t="shared" ref="AM3:AM19" si="9">_xlfn.CONFIDENCE.T(0.05,AL3,3)</f>
        <v>0.34451512269180645</v>
      </c>
      <c r="AN3" s="11">
        <f t="shared" ref="AN3:AN19" si="10">AK3-AM3</f>
        <v>7.4129806074761948</v>
      </c>
      <c r="AO3" s="11">
        <f t="shared" ref="AO3:AO19" si="11">AK3+AM3</f>
        <v>8.1020108528598076</v>
      </c>
      <c r="AP3" s="11">
        <v>7.2368533537755564</v>
      </c>
      <c r="AQ3" s="11">
        <v>7.2757307507711904</v>
      </c>
    </row>
    <row r="4" spans="2:43" x14ac:dyDescent="0.25">
      <c r="B4" s="11"/>
      <c r="C4" s="53">
        <v>8</v>
      </c>
      <c r="D4" s="11">
        <v>14.55334356149616</v>
      </c>
      <c r="E4" s="11">
        <v>0.70938500000000004</v>
      </c>
      <c r="F4" s="11">
        <f t="shared" si="0"/>
        <v>1.7622100306500086</v>
      </c>
      <c r="G4" s="11">
        <f t="shared" si="1"/>
        <v>12.791133530846151</v>
      </c>
      <c r="H4" s="11">
        <f t="shared" si="2"/>
        <v>16.31555359214617</v>
      </c>
      <c r="I4" s="5">
        <v>14.55334356149616</v>
      </c>
      <c r="J4" s="11">
        <v>15.151254663900488</v>
      </c>
      <c r="K4" s="11">
        <v>14.867964863248982</v>
      </c>
      <c r="M4" s="11"/>
      <c r="N4" s="57">
        <v>12</v>
      </c>
      <c r="O4" s="57">
        <v>12.120475770108067</v>
      </c>
      <c r="P4" s="57">
        <v>0.14196900000000001</v>
      </c>
      <c r="Q4" s="11">
        <f t="shared" si="3"/>
        <v>0.35267054679948273</v>
      </c>
      <c r="R4" s="11">
        <f t="shared" si="4"/>
        <v>11.767805223308585</v>
      </c>
      <c r="S4" s="11">
        <f t="shared" si="5"/>
        <v>12.473146316907549</v>
      </c>
      <c r="T4" s="11">
        <v>13.692962848865204</v>
      </c>
      <c r="U4" s="11">
        <v>13.216241586605975</v>
      </c>
      <c r="V4" s="11">
        <v>14.412270410913202</v>
      </c>
      <c r="X4" s="11"/>
      <c r="Y4" s="53">
        <v>24</v>
      </c>
      <c r="Z4" s="24">
        <v>9.9011158998743962</v>
      </c>
      <c r="AA4" s="53">
        <v>0.09</v>
      </c>
      <c r="AB4" s="11">
        <f t="shared" si="6"/>
        <v>0.22357239405752979</v>
      </c>
      <c r="AC4" s="11">
        <f t="shared" si="7"/>
        <v>9.6775435058168657</v>
      </c>
      <c r="AD4" s="11">
        <f t="shared" si="8"/>
        <v>10.124688293931927</v>
      </c>
      <c r="AE4" s="11">
        <v>10.310328242092043</v>
      </c>
      <c r="AF4" s="11">
        <v>10.262601612476644</v>
      </c>
      <c r="AG4" s="11">
        <v>10.36174923001553</v>
      </c>
      <c r="AI4" s="11"/>
      <c r="AJ4" s="24">
        <v>4</v>
      </c>
      <c r="AK4" s="24">
        <v>8.3275764894606183</v>
      </c>
      <c r="AL4" s="24">
        <v>0.365929</v>
      </c>
      <c r="AM4" s="11">
        <f t="shared" si="9"/>
        <v>0.9090180287230869</v>
      </c>
      <c r="AN4" s="11">
        <f t="shared" si="10"/>
        <v>7.4185584607375317</v>
      </c>
      <c r="AO4" s="11">
        <f t="shared" si="11"/>
        <v>9.2365945181837059</v>
      </c>
      <c r="AP4" s="11">
        <v>8.5257404536433956</v>
      </c>
      <c r="AQ4" s="11">
        <v>8.5400915396604287</v>
      </c>
    </row>
    <row r="5" spans="2:43" x14ac:dyDescent="0.25">
      <c r="B5" s="11"/>
      <c r="C5" s="53">
        <v>11</v>
      </c>
      <c r="D5" s="11">
        <v>16.777932402151116</v>
      </c>
      <c r="E5" s="11">
        <v>0.78587899999999999</v>
      </c>
      <c r="F5" s="11">
        <f t="shared" si="0"/>
        <v>1.9522316607726384</v>
      </c>
      <c r="G5" s="11">
        <f t="shared" si="1"/>
        <v>14.825700741378478</v>
      </c>
      <c r="H5" s="11">
        <f t="shared" si="2"/>
        <v>18.730164062923755</v>
      </c>
      <c r="I5" s="5">
        <v>16.777932402151116</v>
      </c>
      <c r="J5" s="11">
        <v>17.119249533801092</v>
      </c>
      <c r="K5" s="11">
        <v>18.173609889773157</v>
      </c>
      <c r="M5" s="11"/>
      <c r="N5" s="57">
        <v>18</v>
      </c>
      <c r="O5" s="57">
        <v>13.431750206532667</v>
      </c>
      <c r="P5" s="57">
        <v>0.38352199999999997</v>
      </c>
      <c r="Q5" s="11">
        <f t="shared" si="3"/>
        <v>0.95272146348591036</v>
      </c>
      <c r="R5" s="11">
        <f t="shared" si="4"/>
        <v>12.479028743046758</v>
      </c>
      <c r="S5" s="11">
        <f t="shared" si="5"/>
        <v>14.384471670018577</v>
      </c>
      <c r="T5" s="11">
        <v>14.467924545569424</v>
      </c>
      <c r="U5" s="11">
        <v>14.20856679010376</v>
      </c>
      <c r="V5" s="11">
        <v>14.44794710938088</v>
      </c>
      <c r="X5" s="11"/>
      <c r="Y5" s="53">
        <v>36</v>
      </c>
      <c r="Z5" s="24">
        <v>9.5096764340654101</v>
      </c>
      <c r="AA5" s="53">
        <v>0.46</v>
      </c>
      <c r="AB5" s="11">
        <f t="shared" si="6"/>
        <v>1.1427033474051522</v>
      </c>
      <c r="AC5" s="11">
        <f t="shared" si="7"/>
        <v>8.3669730866602574</v>
      </c>
      <c r="AD5" s="11">
        <f t="shared" si="8"/>
        <v>10.652379781470563</v>
      </c>
      <c r="AE5" s="11">
        <v>10.407565915140131</v>
      </c>
      <c r="AF5" s="11">
        <v>10.399771773975488</v>
      </c>
      <c r="AG5" s="11">
        <v>10.402207078000306</v>
      </c>
      <c r="AI5" s="11"/>
      <c r="AJ5" s="24">
        <v>6</v>
      </c>
      <c r="AK5" s="24">
        <v>9.2579601204688835</v>
      </c>
      <c r="AL5" s="24">
        <v>0.40972199999999998</v>
      </c>
      <c r="AM5" s="11">
        <f t="shared" si="9"/>
        <v>1.017805871533769</v>
      </c>
      <c r="AN5" s="11">
        <f t="shared" si="10"/>
        <v>8.2401542489351147</v>
      </c>
      <c r="AO5" s="11">
        <f t="shared" si="11"/>
        <v>10.275765992002652</v>
      </c>
      <c r="AP5" s="11">
        <v>9.2944937226067275</v>
      </c>
      <c r="AQ5" s="11">
        <v>9.2817019742388887</v>
      </c>
    </row>
    <row r="6" spans="2:43" x14ac:dyDescent="0.25">
      <c r="B6" s="11"/>
      <c r="C6" s="53">
        <v>16</v>
      </c>
      <c r="D6" s="11">
        <v>18.09306213968998</v>
      </c>
      <c r="E6" s="11">
        <v>0.33977000000000002</v>
      </c>
      <c r="F6" s="11">
        <f t="shared" si="0"/>
        <v>0.84403547032141002</v>
      </c>
      <c r="G6" s="11">
        <f t="shared" si="1"/>
        <v>17.249026669368572</v>
      </c>
      <c r="H6" s="11">
        <f t="shared" si="2"/>
        <v>18.937097610011389</v>
      </c>
      <c r="I6" s="5">
        <v>18.09306213968998</v>
      </c>
      <c r="J6" s="11">
        <v>18.649939425008657</v>
      </c>
      <c r="K6" s="11">
        <v>19.070269822793904</v>
      </c>
      <c r="M6" s="11"/>
      <c r="N6" s="57">
        <v>24</v>
      </c>
      <c r="O6" s="57">
        <v>14.275071946184864</v>
      </c>
      <c r="P6" s="57">
        <v>0.29651</v>
      </c>
      <c r="Q6" s="11">
        <f t="shared" si="3"/>
        <v>0.73657167291109071</v>
      </c>
      <c r="R6" s="11">
        <f t="shared" si="4"/>
        <v>13.538500273273774</v>
      </c>
      <c r="S6" s="11">
        <f t="shared" si="5"/>
        <v>15.011643619095954</v>
      </c>
      <c r="T6" s="11">
        <v>14.625467145669303</v>
      </c>
      <c r="U6" s="11">
        <v>14.612688003874609</v>
      </c>
      <c r="V6" s="11">
        <v>14.447999923092173</v>
      </c>
      <c r="X6" s="11"/>
      <c r="Y6" s="53">
        <v>48</v>
      </c>
      <c r="Z6" s="24">
        <v>9.2794179247660047</v>
      </c>
      <c r="AA6" s="53">
        <v>0.25</v>
      </c>
      <c r="AB6" s="11">
        <f t="shared" si="6"/>
        <v>0.62103442793758279</v>
      </c>
      <c r="AC6" s="11">
        <f t="shared" si="7"/>
        <v>8.6583834968284226</v>
      </c>
      <c r="AD6" s="11">
        <f t="shared" si="8"/>
        <v>9.9004523527035868</v>
      </c>
      <c r="AE6" s="11">
        <v>10.418523121728601</v>
      </c>
      <c r="AF6" s="11">
        <v>10.425014001348202</v>
      </c>
      <c r="AG6" s="11">
        <v>10.402985058928872</v>
      </c>
      <c r="AI6" s="11"/>
      <c r="AJ6" s="24">
        <v>8</v>
      </c>
      <c r="AK6" s="24">
        <v>10.480881608378359</v>
      </c>
      <c r="AL6" s="24">
        <v>0.22645699999999999</v>
      </c>
      <c r="AM6" s="11">
        <f t="shared" si="9"/>
        <v>0.56255037378984474</v>
      </c>
      <c r="AN6" s="11">
        <f t="shared" si="10"/>
        <v>9.9183312345885142</v>
      </c>
      <c r="AO6" s="11">
        <f t="shared" si="11"/>
        <v>11.043431982168205</v>
      </c>
      <c r="AP6" s="11">
        <v>9.7007072667995864</v>
      </c>
      <c r="AQ6" s="11">
        <v>9.683298590995431</v>
      </c>
    </row>
    <row r="7" spans="2:43" x14ac:dyDescent="0.25">
      <c r="B7" s="11"/>
      <c r="C7" s="53">
        <v>20</v>
      </c>
      <c r="D7" s="11">
        <v>19.236709795131862</v>
      </c>
      <c r="E7" s="11">
        <v>0.35564200000000001</v>
      </c>
      <c r="F7" s="11">
        <f t="shared" si="0"/>
        <v>0.88346370408231134</v>
      </c>
      <c r="G7" s="11">
        <f t="shared" si="1"/>
        <v>18.353246091049552</v>
      </c>
      <c r="H7" s="11">
        <f t="shared" si="2"/>
        <v>20.120173499214172</v>
      </c>
      <c r="I7" s="5">
        <v>19.236709795131862</v>
      </c>
      <c r="J7" s="11">
        <v>19.112501313150783</v>
      </c>
      <c r="K7" s="11">
        <v>19.072784305628744</v>
      </c>
      <c r="M7" s="11"/>
      <c r="N7" s="57">
        <v>30</v>
      </c>
      <c r="O7" s="57">
        <v>13.844805871467324</v>
      </c>
      <c r="P7" s="57">
        <v>0.42579099999999998</v>
      </c>
      <c r="Q7" s="11">
        <f t="shared" si="3"/>
        <v>1.0577234804238853</v>
      </c>
      <c r="R7" s="11">
        <f t="shared" si="4"/>
        <v>12.787082391043439</v>
      </c>
      <c r="S7" s="11">
        <f t="shared" si="5"/>
        <v>14.902529351891209</v>
      </c>
      <c r="T7" s="11">
        <v>14.655841565381596</v>
      </c>
      <c r="U7" s="11">
        <v>14.77725435492448</v>
      </c>
      <c r="V7" s="11">
        <v>14.447999999888172</v>
      </c>
      <c r="X7" s="11"/>
      <c r="Y7" s="53">
        <v>60</v>
      </c>
      <c r="Z7" s="24">
        <v>9.6017798377851715</v>
      </c>
      <c r="AA7" s="53">
        <v>0.35</v>
      </c>
      <c r="AB7" s="11">
        <f t="shared" si="6"/>
        <v>0.86944819911261584</v>
      </c>
      <c r="AC7" s="11">
        <f t="shared" si="7"/>
        <v>8.7323316386725551</v>
      </c>
      <c r="AD7" s="11">
        <f t="shared" si="8"/>
        <v>10.471228036897788</v>
      </c>
      <c r="AE7" s="11">
        <v>10.419746439979406</v>
      </c>
      <c r="AF7" s="11">
        <v>10.429654808100409</v>
      </c>
      <c r="AG7" s="11">
        <v>10.402999718572048</v>
      </c>
      <c r="AI7" s="11"/>
      <c r="AJ7" s="24">
        <v>10</v>
      </c>
      <c r="AK7" s="24">
        <v>10.517271175039998</v>
      </c>
      <c r="AL7" s="24">
        <v>0.34393299999999999</v>
      </c>
      <c r="AM7" s="11">
        <f t="shared" si="9"/>
        <v>0.8543769356154266</v>
      </c>
      <c r="AN7" s="11">
        <f t="shared" si="10"/>
        <v>9.6628942394245705</v>
      </c>
      <c r="AO7" s="11">
        <f t="shared" si="11"/>
        <v>11.371648110655425</v>
      </c>
      <c r="AP7" s="11">
        <v>9.9016783664741421</v>
      </c>
      <c r="AQ7" s="11">
        <v>9.8922055538033362</v>
      </c>
    </row>
    <row r="8" spans="2:43" x14ac:dyDescent="0.25">
      <c r="B8" s="11"/>
      <c r="C8" s="53">
        <v>24</v>
      </c>
      <c r="D8" s="11">
        <v>18.815255434952412</v>
      </c>
      <c r="E8" s="11">
        <v>0.24330399999999999</v>
      </c>
      <c r="F8" s="11">
        <f t="shared" si="0"/>
        <v>0.60440064181970254</v>
      </c>
      <c r="G8" s="11">
        <f t="shared" si="1"/>
        <v>18.210854793132711</v>
      </c>
      <c r="H8" s="11">
        <f t="shared" si="2"/>
        <v>19.419656076772114</v>
      </c>
      <c r="I8" s="5">
        <v>18.815255434952412</v>
      </c>
      <c r="J8" s="11">
        <v>19.304400632086409</v>
      </c>
      <c r="K8" s="11">
        <v>19.072799902771369</v>
      </c>
      <c r="M8" s="11"/>
      <c r="N8" s="57">
        <v>36</v>
      </c>
      <c r="O8" s="57">
        <v>14.385493158054379</v>
      </c>
      <c r="P8" s="57">
        <v>0.29510399999999998</v>
      </c>
      <c r="Q8" s="11">
        <f t="shared" si="3"/>
        <v>0.73307897528836963</v>
      </c>
      <c r="R8" s="11">
        <f t="shared" si="4"/>
        <v>13.652414182766009</v>
      </c>
      <c r="S8" s="11">
        <f t="shared" si="5"/>
        <v>15.118572133342749</v>
      </c>
      <c r="T8" s="11">
        <v>14.661637001999869</v>
      </c>
      <c r="U8" s="11">
        <v>14.844267335175573</v>
      </c>
      <c r="V8" s="11">
        <v>14.447999999999837</v>
      </c>
      <c r="X8" s="11"/>
      <c r="Y8" s="53">
        <v>72</v>
      </c>
      <c r="Z8" s="24">
        <v>9.4405988812755872</v>
      </c>
      <c r="AA8" s="53">
        <v>0.38</v>
      </c>
      <c r="AB8" s="11">
        <f t="shared" si="6"/>
        <v>0.94397233046512585</v>
      </c>
      <c r="AC8" s="11">
        <f t="shared" si="7"/>
        <v>8.4966265508104613</v>
      </c>
      <c r="AD8" s="11">
        <f t="shared" si="8"/>
        <v>10.384571211740713</v>
      </c>
      <c r="AE8" s="11">
        <v>10.4198828755957</v>
      </c>
      <c r="AF8" s="11">
        <v>10.430507879443127</v>
      </c>
      <c r="AG8" s="11">
        <v>10.402999994699101</v>
      </c>
      <c r="AI8" s="11"/>
      <c r="AJ8" s="24">
        <v>12</v>
      </c>
      <c r="AK8" s="24">
        <v>10.478613283448963</v>
      </c>
      <c r="AL8" s="24">
        <v>0.37606800000000001</v>
      </c>
      <c r="AM8" s="11">
        <f t="shared" si="9"/>
        <v>0.93420470098252362</v>
      </c>
      <c r="AN8" s="11">
        <f t="shared" si="10"/>
        <v>9.5444085824664402</v>
      </c>
      <c r="AO8" s="11">
        <f t="shared" si="11"/>
        <v>11.412817984431486</v>
      </c>
      <c r="AP8" s="11">
        <v>9.9978692233882587</v>
      </c>
      <c r="AQ8" s="11">
        <v>9.998709763912661</v>
      </c>
    </row>
    <row r="9" spans="2:43" x14ac:dyDescent="0.25">
      <c r="B9" s="11"/>
      <c r="C9" s="53">
        <v>28</v>
      </c>
      <c r="D9" s="11">
        <v>19.303034414025859</v>
      </c>
      <c r="E9" s="11">
        <v>0.38602199999999998</v>
      </c>
      <c r="F9" s="11">
        <f t="shared" si="0"/>
        <v>0.95893180776528619</v>
      </c>
      <c r="G9" s="11">
        <f t="shared" si="1"/>
        <v>18.344102606260574</v>
      </c>
      <c r="H9" s="11">
        <f t="shared" si="2"/>
        <v>20.261966221791145</v>
      </c>
      <c r="I9" s="5">
        <v>19.303034414025859</v>
      </c>
      <c r="J9" s="11">
        <v>19.383218633162759</v>
      </c>
      <c r="K9" s="11">
        <v>19.072799999397667</v>
      </c>
      <c r="M9" s="11"/>
      <c r="N9" s="57">
        <v>42</v>
      </c>
      <c r="O9" s="57">
        <v>14.755612834214133</v>
      </c>
      <c r="P9" s="57">
        <v>0.30677300000000002</v>
      </c>
      <c r="Q9" s="11">
        <f t="shared" si="3"/>
        <v>0.76206637824678436</v>
      </c>
      <c r="R9" s="11">
        <f t="shared" si="4"/>
        <v>13.993546455967349</v>
      </c>
      <c r="S9" s="11">
        <f t="shared" si="5"/>
        <v>15.517679212460918</v>
      </c>
      <c r="T9" s="11">
        <v>14.66274056213566</v>
      </c>
      <c r="U9" s="11">
        <v>14.871555362653453</v>
      </c>
      <c r="V9" s="11">
        <v>14.448</v>
      </c>
      <c r="X9" s="11"/>
      <c r="Y9" s="53">
        <v>84</v>
      </c>
      <c r="Z9" s="24">
        <v>10.453736322192968</v>
      </c>
      <c r="AA9" s="53">
        <v>0.57999999999999996</v>
      </c>
      <c r="AB9" s="11">
        <f t="shared" si="6"/>
        <v>1.4407998728151921</v>
      </c>
      <c r="AC9" s="11">
        <f t="shared" si="7"/>
        <v>9.0129364493777757</v>
      </c>
      <c r="AD9" s="11">
        <f t="shared" si="8"/>
        <v>11.894536195008161</v>
      </c>
      <c r="AE9" s="11">
        <v>10.419898090376586</v>
      </c>
      <c r="AF9" s="11">
        <v>10.430664685787335</v>
      </c>
      <c r="AG9" s="11">
        <v>10.402999999900157</v>
      </c>
      <c r="AI9" s="11"/>
      <c r="AJ9" s="24">
        <v>14</v>
      </c>
      <c r="AK9" s="24">
        <v>9.8087026326735014</v>
      </c>
      <c r="AL9" s="24">
        <v>0.753274</v>
      </c>
      <c r="AM9" s="11">
        <f t="shared" si="9"/>
        <v>1.8712363506810188</v>
      </c>
      <c r="AN9" s="11">
        <f t="shared" si="10"/>
        <v>7.9374662819924824</v>
      </c>
      <c r="AO9" s="11">
        <f t="shared" si="11"/>
        <v>11.67993898335452</v>
      </c>
      <c r="AP9" s="11">
        <v>10.043179041196122</v>
      </c>
      <c r="AQ9" s="11">
        <v>10.052462661868415</v>
      </c>
    </row>
    <row r="10" spans="2:43" x14ac:dyDescent="0.25">
      <c r="B10" s="81" t="s">
        <v>71</v>
      </c>
      <c r="C10" s="82">
        <v>0</v>
      </c>
      <c r="D10" s="81">
        <v>4.4216778914261896</v>
      </c>
      <c r="E10" s="81">
        <v>0.21542500000000001</v>
      </c>
      <c r="F10" s="81">
        <f t="shared" si="0"/>
        <v>0.53514536655381506</v>
      </c>
      <c r="G10" s="81">
        <f t="shared" si="1"/>
        <v>3.8865325248723748</v>
      </c>
      <c r="H10" s="81">
        <f t="shared" si="2"/>
        <v>4.9568232579800044</v>
      </c>
      <c r="I10" s="40">
        <v>4.4216778914261896</v>
      </c>
      <c r="J10" s="81">
        <v>4.2197608647737068</v>
      </c>
      <c r="K10" s="81">
        <v>4.7149999999999999</v>
      </c>
      <c r="L10" s="29"/>
      <c r="M10" s="29"/>
      <c r="N10" s="86">
        <v>48</v>
      </c>
      <c r="O10" s="86">
        <v>15.5895219721172</v>
      </c>
      <c r="P10" s="86">
        <v>0.18940699999999999</v>
      </c>
      <c r="Q10" s="29">
        <f t="shared" si="3"/>
        <v>0.47051307156949496</v>
      </c>
      <c r="R10" s="29">
        <f t="shared" si="4"/>
        <v>15.119008900547705</v>
      </c>
      <c r="S10" s="29">
        <f t="shared" si="5"/>
        <v>16.060035043686696</v>
      </c>
      <c r="T10" s="29">
        <v>14.662950620687754</v>
      </c>
      <c r="U10" s="29">
        <v>14.882667137895623</v>
      </c>
      <c r="V10" s="29">
        <v>14.448</v>
      </c>
      <c r="W10" s="19"/>
      <c r="X10" s="29"/>
      <c r="Y10" s="85">
        <v>96</v>
      </c>
      <c r="Z10" s="24">
        <v>9.8550641980145173</v>
      </c>
      <c r="AA10" s="85">
        <v>0.2</v>
      </c>
      <c r="AB10" s="29">
        <f t="shared" si="6"/>
        <v>0.49682754235006621</v>
      </c>
      <c r="AC10" s="29">
        <f t="shared" si="7"/>
        <v>9.3582366556644505</v>
      </c>
      <c r="AD10" s="29">
        <f t="shared" si="8"/>
        <v>10.351891740364584</v>
      </c>
      <c r="AE10" s="29">
        <v>10.419899787049127</v>
      </c>
      <c r="AF10" s="29">
        <v>10.430693508802378</v>
      </c>
      <c r="AG10" s="29">
        <v>10.402999999998123</v>
      </c>
      <c r="AI10" s="11"/>
      <c r="AJ10" s="40">
        <v>0</v>
      </c>
      <c r="AK10" s="40">
        <v>5.3541032545700178</v>
      </c>
      <c r="AL10" s="40">
        <v>0.286721</v>
      </c>
      <c r="AM10" s="81">
        <f t="shared" si="9"/>
        <v>0.71225444885076672</v>
      </c>
      <c r="AN10" s="81">
        <f t="shared" si="10"/>
        <v>4.6418488057192508</v>
      </c>
      <c r="AO10" s="81">
        <f t="shared" si="11"/>
        <v>6.0663577034207847</v>
      </c>
      <c r="AP10" s="81">
        <v>5.4596058046350446</v>
      </c>
      <c r="AQ10" s="81">
        <v>5.4346101998110257</v>
      </c>
    </row>
    <row r="11" spans="2:43" x14ac:dyDescent="0.25">
      <c r="B11" s="81"/>
      <c r="C11" s="82">
        <v>4</v>
      </c>
      <c r="D11" s="81">
        <v>11.60350256331974</v>
      </c>
      <c r="E11" s="81">
        <v>9.5812999999999995E-2</v>
      </c>
      <c r="F11" s="81">
        <f t="shared" si="0"/>
        <v>0.23801268657593447</v>
      </c>
      <c r="G11" s="81">
        <f t="shared" si="1"/>
        <v>11.365489876743805</v>
      </c>
      <c r="H11" s="81">
        <f t="shared" si="2"/>
        <v>11.841515249895675</v>
      </c>
      <c r="I11" s="40">
        <v>11.60350256331974</v>
      </c>
      <c r="J11" s="81">
        <v>10.527290659344029</v>
      </c>
      <c r="K11" s="81">
        <v>9.7989067345641541</v>
      </c>
      <c r="L11" s="29"/>
      <c r="M11" s="29"/>
      <c r="N11" s="84">
        <v>0</v>
      </c>
      <c r="O11" s="84">
        <v>4.6123170509134708</v>
      </c>
      <c r="P11" s="84">
        <v>0.18285899999999999</v>
      </c>
      <c r="Q11" s="81">
        <f t="shared" si="3"/>
        <v>0.45424693783295378</v>
      </c>
      <c r="R11" s="81">
        <f t="shared" si="4"/>
        <v>4.1580701130805169</v>
      </c>
      <c r="S11" s="81">
        <f t="shared" si="5"/>
        <v>5.0665639887464247</v>
      </c>
      <c r="T11" s="81">
        <v>4.9610908106645013</v>
      </c>
      <c r="U11" s="81">
        <v>4.8009451085172259</v>
      </c>
      <c r="V11" s="81">
        <v>4.6950000000000003</v>
      </c>
      <c r="W11" s="19"/>
      <c r="X11" s="29"/>
      <c r="Y11" s="82">
        <v>0</v>
      </c>
      <c r="Z11" s="40">
        <v>6.3781607075935076</v>
      </c>
      <c r="AA11" s="82">
        <v>0.14000000000000001</v>
      </c>
      <c r="AB11" s="81">
        <f t="shared" si="6"/>
        <v>0.3477792796450464</v>
      </c>
      <c r="AC11" s="81">
        <f t="shared" si="7"/>
        <v>6.0303814279484609</v>
      </c>
      <c r="AD11" s="81">
        <f t="shared" si="8"/>
        <v>6.7259399872385544</v>
      </c>
      <c r="AE11" s="81">
        <v>5.6184082821093497</v>
      </c>
      <c r="AF11" s="81">
        <v>5.6188412619982415</v>
      </c>
      <c r="AG11" s="81">
        <v>5.6180000000000003</v>
      </c>
      <c r="AI11" s="11"/>
      <c r="AJ11" s="40">
        <v>2</v>
      </c>
      <c r="AK11" s="40">
        <v>7.3698847288440179</v>
      </c>
      <c r="AL11" s="40">
        <v>0.108766</v>
      </c>
      <c r="AM11" s="81">
        <f t="shared" si="9"/>
        <v>0.27018972235623651</v>
      </c>
      <c r="AN11" s="81">
        <f t="shared" si="10"/>
        <v>7.0996950064877815</v>
      </c>
      <c r="AO11" s="81">
        <f t="shared" si="11"/>
        <v>7.6400744512002543</v>
      </c>
      <c r="AP11" s="81">
        <v>7.2368533537755564</v>
      </c>
      <c r="AQ11" s="81">
        <v>7.2757307507711904</v>
      </c>
    </row>
    <row r="12" spans="2:43" x14ac:dyDescent="0.25">
      <c r="B12" s="81"/>
      <c r="C12" s="82">
        <v>8</v>
      </c>
      <c r="D12" s="81">
        <v>15.278880767539212</v>
      </c>
      <c r="E12" s="81">
        <v>0.42135699999999998</v>
      </c>
      <c r="F12" s="81">
        <f t="shared" si="0"/>
        <v>1.0467088138099843</v>
      </c>
      <c r="G12" s="81">
        <f t="shared" si="1"/>
        <v>14.232171953729228</v>
      </c>
      <c r="H12" s="81">
        <f t="shared" si="2"/>
        <v>16.325589581349195</v>
      </c>
      <c r="I12" s="40">
        <v>15.278880767539212</v>
      </c>
      <c r="J12" s="81">
        <v>15.151254663900488</v>
      </c>
      <c r="K12" s="81">
        <v>14.867964863248982</v>
      </c>
      <c r="L12" s="29"/>
      <c r="M12" s="29"/>
      <c r="N12" s="84">
        <v>6</v>
      </c>
      <c r="O12" s="84">
        <v>11.58671656832378</v>
      </c>
      <c r="P12" s="84">
        <v>0.232068</v>
      </c>
      <c r="Q12" s="81">
        <f t="shared" si="3"/>
        <v>0.57648887049047581</v>
      </c>
      <c r="R12" s="81">
        <f t="shared" si="4"/>
        <v>11.010227697833304</v>
      </c>
      <c r="S12" s="81">
        <f t="shared" si="5"/>
        <v>12.163205438814256</v>
      </c>
      <c r="T12" s="81">
        <v>10.685699264880149</v>
      </c>
      <c r="U12" s="81">
        <v>10.779962401306875</v>
      </c>
      <c r="V12" s="81">
        <v>11.189263017814573</v>
      </c>
      <c r="W12" s="19"/>
      <c r="X12" s="29"/>
      <c r="Y12" s="82">
        <v>12</v>
      </c>
      <c r="Z12" s="40">
        <v>10.016245154524098</v>
      </c>
      <c r="AA12" s="82">
        <v>0.14000000000000001</v>
      </c>
      <c r="AB12" s="81">
        <f t="shared" si="6"/>
        <v>0.3477792796450464</v>
      </c>
      <c r="AC12" s="81">
        <f t="shared" si="7"/>
        <v>9.6684658748790522</v>
      </c>
      <c r="AD12" s="81">
        <f t="shared" si="8"/>
        <v>10.364024434169144</v>
      </c>
      <c r="AE12" s="81">
        <v>9.5132809587674032</v>
      </c>
      <c r="AF12" s="81">
        <v>9.5209414556512968</v>
      </c>
      <c r="AG12" s="81">
        <v>9.2287157376137365</v>
      </c>
      <c r="AI12" s="11"/>
      <c r="AJ12" s="40">
        <v>4</v>
      </c>
      <c r="AK12" s="40">
        <v>7.9469301425958516</v>
      </c>
      <c r="AL12" s="40">
        <v>0.28694599999999998</v>
      </c>
      <c r="AM12" s="81">
        <f t="shared" si="9"/>
        <v>0.71281337983591042</v>
      </c>
      <c r="AN12" s="81">
        <f t="shared" si="10"/>
        <v>7.2341167627599408</v>
      </c>
      <c r="AO12" s="81">
        <f t="shared" si="11"/>
        <v>8.6597435224317625</v>
      </c>
      <c r="AP12" s="81">
        <v>8.5257404536433956</v>
      </c>
      <c r="AQ12" s="81">
        <v>8.5400915396604287</v>
      </c>
    </row>
    <row r="13" spans="2:43" x14ac:dyDescent="0.25">
      <c r="B13" s="81"/>
      <c r="C13" s="82">
        <v>11</v>
      </c>
      <c r="D13" s="81">
        <v>17.676840926821178</v>
      </c>
      <c r="E13" s="81">
        <v>0.41533399999999998</v>
      </c>
      <c r="F13" s="81">
        <f t="shared" si="0"/>
        <v>1.0317468523721118</v>
      </c>
      <c r="G13" s="81">
        <f t="shared" si="1"/>
        <v>16.645094074449066</v>
      </c>
      <c r="H13" s="81">
        <f t="shared" si="2"/>
        <v>18.708587779193291</v>
      </c>
      <c r="I13" s="40">
        <v>17.676840926821178</v>
      </c>
      <c r="J13" s="81">
        <v>17.119249533801092</v>
      </c>
      <c r="K13" s="81">
        <v>18.173609889773157</v>
      </c>
      <c r="L13" s="29"/>
      <c r="M13" s="29"/>
      <c r="N13" s="84">
        <v>12</v>
      </c>
      <c r="O13" s="84">
        <v>13.905771941963929</v>
      </c>
      <c r="P13" s="84">
        <v>0.25769500000000001</v>
      </c>
      <c r="Q13" s="81">
        <f t="shared" si="3"/>
        <v>0.64014986762950155</v>
      </c>
      <c r="R13" s="81">
        <f t="shared" si="4"/>
        <v>13.265622074334427</v>
      </c>
      <c r="S13" s="81">
        <f t="shared" si="5"/>
        <v>14.54592180959343</v>
      </c>
      <c r="T13" s="81">
        <v>13.692962848865204</v>
      </c>
      <c r="U13" s="81">
        <v>13.216241586605975</v>
      </c>
      <c r="V13" s="81">
        <v>14.412270410913202</v>
      </c>
      <c r="W13" s="19"/>
      <c r="X13" s="29"/>
      <c r="Y13" s="82">
        <v>24</v>
      </c>
      <c r="Z13" s="40">
        <v>10.822149937072016</v>
      </c>
      <c r="AA13" s="82">
        <v>0.09</v>
      </c>
      <c r="AB13" s="81">
        <f t="shared" si="6"/>
        <v>0.22357239405752979</v>
      </c>
      <c r="AC13" s="81">
        <f t="shared" si="7"/>
        <v>10.598577543014486</v>
      </c>
      <c r="AD13" s="81">
        <f t="shared" si="8"/>
        <v>11.045722331129546</v>
      </c>
      <c r="AE13" s="81">
        <v>10.310328242092043</v>
      </c>
      <c r="AF13" s="81">
        <v>10.262601612476644</v>
      </c>
      <c r="AG13" s="81">
        <v>10.36174923001553</v>
      </c>
      <c r="AI13" s="11"/>
      <c r="AJ13" s="40">
        <v>6</v>
      </c>
      <c r="AK13" s="40">
        <v>8.8627406780117788</v>
      </c>
      <c r="AL13" s="40">
        <v>0.27650200000000003</v>
      </c>
      <c r="AM13" s="81">
        <f t="shared" si="9"/>
        <v>0.6868690455743901</v>
      </c>
      <c r="AN13" s="81">
        <f t="shared" si="10"/>
        <v>8.1758716324373886</v>
      </c>
      <c r="AO13" s="81">
        <f t="shared" si="11"/>
        <v>9.549609723586169</v>
      </c>
      <c r="AP13" s="81">
        <v>9.2944937226067275</v>
      </c>
      <c r="AQ13" s="81">
        <v>9.2817019742388887</v>
      </c>
    </row>
    <row r="14" spans="2:43" x14ac:dyDescent="0.25">
      <c r="B14" s="81"/>
      <c r="C14" s="82">
        <v>16</v>
      </c>
      <c r="D14" s="81">
        <v>19.369078096815247</v>
      </c>
      <c r="E14" s="81">
        <v>0.41879699999999997</v>
      </c>
      <c r="F14" s="81">
        <f t="shared" si="0"/>
        <v>1.0403494212679034</v>
      </c>
      <c r="G14" s="81">
        <f t="shared" si="1"/>
        <v>18.328728675547342</v>
      </c>
      <c r="H14" s="81">
        <f t="shared" si="2"/>
        <v>20.409427518083152</v>
      </c>
      <c r="I14" s="40">
        <v>19.369078096815247</v>
      </c>
      <c r="J14" s="81">
        <v>18.649939425008657</v>
      </c>
      <c r="K14" s="81">
        <v>19.070269822793904</v>
      </c>
      <c r="L14" s="29"/>
      <c r="M14" s="29"/>
      <c r="N14" s="84">
        <v>18</v>
      </c>
      <c r="O14" s="84">
        <v>13.73244653458109</v>
      </c>
      <c r="P14" s="84">
        <v>0.186893</v>
      </c>
      <c r="Q14" s="81">
        <f t="shared" si="3"/>
        <v>0.46426794936215465</v>
      </c>
      <c r="R14" s="81">
        <f t="shared" si="4"/>
        <v>13.268178585218935</v>
      </c>
      <c r="S14" s="81">
        <f t="shared" si="5"/>
        <v>14.196714483943245</v>
      </c>
      <c r="T14" s="81">
        <v>14.467924545569424</v>
      </c>
      <c r="U14" s="81">
        <v>14.20856679010376</v>
      </c>
      <c r="V14" s="81">
        <v>14.44794710938088</v>
      </c>
      <c r="W14" s="19"/>
      <c r="X14" s="29"/>
      <c r="Y14" s="82">
        <v>36</v>
      </c>
      <c r="Z14" s="40">
        <v>10.983330893581599</v>
      </c>
      <c r="AA14" s="82">
        <v>0.46</v>
      </c>
      <c r="AB14" s="81">
        <f t="shared" si="6"/>
        <v>1.1427033474051522</v>
      </c>
      <c r="AC14" s="81">
        <f t="shared" si="7"/>
        <v>9.8406275461764459</v>
      </c>
      <c r="AD14" s="81">
        <f t="shared" si="8"/>
        <v>12.126034240986751</v>
      </c>
      <c r="AE14" s="81">
        <v>10.407565915140131</v>
      </c>
      <c r="AF14" s="81">
        <v>10.399771773975488</v>
      </c>
      <c r="AG14" s="81">
        <v>10.402207078000306</v>
      </c>
      <c r="AI14" s="11"/>
      <c r="AJ14" s="40">
        <v>8</v>
      </c>
      <c r="AK14" s="40">
        <v>9.8350427601139145</v>
      </c>
      <c r="AL14" s="40">
        <v>0.216478</v>
      </c>
      <c r="AM14" s="81">
        <f t="shared" si="9"/>
        <v>0.53776116356428816</v>
      </c>
      <c r="AN14" s="81">
        <f t="shared" si="10"/>
        <v>9.2972815965496256</v>
      </c>
      <c r="AO14" s="81">
        <f t="shared" si="11"/>
        <v>10.372803923678203</v>
      </c>
      <c r="AP14" s="81">
        <v>9.7007072667995864</v>
      </c>
      <c r="AQ14" s="81">
        <v>9.683298590995431</v>
      </c>
    </row>
    <row r="15" spans="2:43" x14ac:dyDescent="0.25">
      <c r="B15" s="81"/>
      <c r="C15" s="82">
        <v>20</v>
      </c>
      <c r="D15" s="81">
        <v>19.623476300347136</v>
      </c>
      <c r="E15" s="81">
        <v>0.21551500000000001</v>
      </c>
      <c r="F15" s="81">
        <f t="shared" si="0"/>
        <v>0.53536893894787263</v>
      </c>
      <c r="G15" s="81">
        <f t="shared" si="1"/>
        <v>19.088107361399263</v>
      </c>
      <c r="H15" s="81">
        <f t="shared" si="2"/>
        <v>20.158845239295008</v>
      </c>
      <c r="I15" s="40">
        <v>19.623476300347136</v>
      </c>
      <c r="J15" s="81">
        <v>19.112501313150783</v>
      </c>
      <c r="K15" s="81">
        <v>19.072784305628744</v>
      </c>
      <c r="L15" s="29"/>
      <c r="M15" s="29"/>
      <c r="N15" s="84">
        <v>24</v>
      </c>
      <c r="O15" s="84">
        <v>15.083603278338019</v>
      </c>
      <c r="P15" s="84">
        <v>0.19458400000000001</v>
      </c>
      <c r="Q15" s="81">
        <f t="shared" si="3"/>
        <v>0.48337345250322644</v>
      </c>
      <c r="R15" s="81">
        <f t="shared" si="4"/>
        <v>14.600229825834793</v>
      </c>
      <c r="S15" s="81">
        <f t="shared" si="5"/>
        <v>15.566976730841246</v>
      </c>
      <c r="T15" s="81">
        <v>14.625467145669303</v>
      </c>
      <c r="U15" s="81">
        <v>14.612688003874609</v>
      </c>
      <c r="V15" s="81">
        <v>14.447999923092173</v>
      </c>
      <c r="W15" s="19"/>
      <c r="X15" s="29"/>
      <c r="Y15" s="82">
        <v>48</v>
      </c>
      <c r="Z15" s="40">
        <v>10.822149937072016</v>
      </c>
      <c r="AA15" s="82">
        <v>0.25</v>
      </c>
      <c r="AB15" s="81">
        <f t="shared" si="6"/>
        <v>0.62103442793758279</v>
      </c>
      <c r="AC15" s="81">
        <f t="shared" si="7"/>
        <v>10.201115509134434</v>
      </c>
      <c r="AD15" s="81">
        <f t="shared" si="8"/>
        <v>11.443184365009598</v>
      </c>
      <c r="AE15" s="81">
        <v>10.418523121728601</v>
      </c>
      <c r="AF15" s="81">
        <v>10.425014001348202</v>
      </c>
      <c r="AG15" s="81">
        <v>10.402985058928872</v>
      </c>
      <c r="AI15" s="11"/>
      <c r="AJ15" s="40">
        <v>10</v>
      </c>
      <c r="AK15" s="40">
        <v>9.8426509871066212</v>
      </c>
      <c r="AL15" s="40">
        <v>0.329872</v>
      </c>
      <c r="AM15" s="81">
        <f t="shared" si="9"/>
        <v>0.81944747525050521</v>
      </c>
      <c r="AN15" s="81">
        <f t="shared" si="10"/>
        <v>9.0232035118561154</v>
      </c>
      <c r="AO15" s="81">
        <f t="shared" si="11"/>
        <v>10.662098462357127</v>
      </c>
      <c r="AP15" s="81">
        <v>9.9016783664741421</v>
      </c>
      <c r="AQ15" s="81">
        <v>9.8922055538033362</v>
      </c>
    </row>
    <row r="16" spans="2:43" x14ac:dyDescent="0.25">
      <c r="B16" s="81"/>
      <c r="C16" s="82">
        <v>24</v>
      </c>
      <c r="D16" s="81">
        <v>19.139083203575385</v>
      </c>
      <c r="E16" s="81">
        <v>0.19914499999999999</v>
      </c>
      <c r="F16" s="81">
        <f t="shared" si="0"/>
        <v>0.49470360460651963</v>
      </c>
      <c r="G16" s="81">
        <f t="shared" si="1"/>
        <v>18.644379598968865</v>
      </c>
      <c r="H16" s="81">
        <f t="shared" si="2"/>
        <v>19.633786808181906</v>
      </c>
      <c r="I16" s="40">
        <v>19.139083203575385</v>
      </c>
      <c r="J16" s="81">
        <v>19.304400632086409</v>
      </c>
      <c r="K16" s="81">
        <v>19.072799902771369</v>
      </c>
      <c r="L16" s="29"/>
      <c r="M16" s="29"/>
      <c r="N16" s="84">
        <v>30</v>
      </c>
      <c r="O16" s="84">
        <v>14.768333497796572</v>
      </c>
      <c r="P16" s="84">
        <v>0.55965100000000001</v>
      </c>
      <c r="Q16" s="81">
        <f t="shared" si="3"/>
        <v>1.3902501545187846</v>
      </c>
      <c r="R16" s="81">
        <f t="shared" si="4"/>
        <v>13.378083343277787</v>
      </c>
      <c r="S16" s="81">
        <f t="shared" si="5"/>
        <v>16.158583652315357</v>
      </c>
      <c r="T16" s="81">
        <v>14.655841565381596</v>
      </c>
      <c r="U16" s="81">
        <v>14.77725435492448</v>
      </c>
      <c r="V16" s="81">
        <v>14.447999999888172</v>
      </c>
      <c r="W16" s="19"/>
      <c r="X16" s="29"/>
      <c r="Y16" s="82">
        <v>60</v>
      </c>
      <c r="Z16" s="40">
        <v>11.07543429730136</v>
      </c>
      <c r="AA16" s="82">
        <v>0.35</v>
      </c>
      <c r="AB16" s="81">
        <f t="shared" si="6"/>
        <v>0.86944819911261584</v>
      </c>
      <c r="AC16" s="81">
        <f t="shared" si="7"/>
        <v>10.205986098188744</v>
      </c>
      <c r="AD16" s="81">
        <f t="shared" si="8"/>
        <v>11.944882496413976</v>
      </c>
      <c r="AE16" s="81">
        <v>10.419746439979406</v>
      </c>
      <c r="AF16" s="81">
        <v>10.429654808100409</v>
      </c>
      <c r="AG16" s="81">
        <v>10.402999718572048</v>
      </c>
      <c r="AI16" s="11"/>
      <c r="AJ16" s="40">
        <v>12</v>
      </c>
      <c r="AK16" s="40">
        <v>9.9091724240666128</v>
      </c>
      <c r="AL16" s="40">
        <v>0.33036399999999999</v>
      </c>
      <c r="AM16" s="81">
        <f t="shared" si="9"/>
        <v>0.82066967100468635</v>
      </c>
      <c r="AN16" s="81">
        <f t="shared" si="10"/>
        <v>9.0885027530619258</v>
      </c>
      <c r="AO16" s="81">
        <f t="shared" si="11"/>
        <v>10.7298420950713</v>
      </c>
      <c r="AP16" s="81">
        <v>9.9978692233882587</v>
      </c>
      <c r="AQ16" s="81">
        <v>9.998709763912661</v>
      </c>
    </row>
    <row r="17" spans="2:43" x14ac:dyDescent="0.25">
      <c r="B17" s="81"/>
      <c r="C17" s="82">
        <v>28</v>
      </c>
      <c r="D17" s="81">
        <v>19.409240550465501</v>
      </c>
      <c r="E17" s="81">
        <v>0.24004</v>
      </c>
      <c r="F17" s="81">
        <f t="shared" si="0"/>
        <v>0.59629241632854946</v>
      </c>
      <c r="G17" s="81">
        <f t="shared" si="1"/>
        <v>18.812948134136953</v>
      </c>
      <c r="H17" s="81">
        <f t="shared" si="2"/>
        <v>20.00553296679405</v>
      </c>
      <c r="I17" s="40">
        <v>19.409240550465501</v>
      </c>
      <c r="J17" s="81">
        <v>19.383218633162759</v>
      </c>
      <c r="K17" s="81">
        <v>19.072799999397667</v>
      </c>
      <c r="L17" s="29"/>
      <c r="M17" s="29"/>
      <c r="N17" s="84">
        <v>36</v>
      </c>
      <c r="O17" s="84">
        <v>15.391045080073241</v>
      </c>
      <c r="P17" s="84">
        <v>0.21376300000000001</v>
      </c>
      <c r="Q17" s="81">
        <f t="shared" si="3"/>
        <v>0.53101672967688607</v>
      </c>
      <c r="R17" s="81">
        <f t="shared" si="4"/>
        <v>14.860028350396355</v>
      </c>
      <c r="S17" s="81">
        <f t="shared" si="5"/>
        <v>15.922061809750126</v>
      </c>
      <c r="T17" s="81">
        <v>14.661637001999869</v>
      </c>
      <c r="U17" s="81">
        <v>14.844267335175573</v>
      </c>
      <c r="V17" s="81">
        <v>14.447999999999837</v>
      </c>
      <c r="W17" s="19"/>
      <c r="X17" s="29"/>
      <c r="Y17" s="82">
        <v>72</v>
      </c>
      <c r="Z17" s="40">
        <v>11.07543429730136</v>
      </c>
      <c r="AA17" s="82">
        <v>0.38</v>
      </c>
      <c r="AB17" s="81">
        <f t="shared" si="6"/>
        <v>0.94397233046512585</v>
      </c>
      <c r="AC17" s="81">
        <f t="shared" si="7"/>
        <v>10.131461966836234</v>
      </c>
      <c r="AD17" s="81">
        <f t="shared" si="8"/>
        <v>12.019406627766486</v>
      </c>
      <c r="AE17" s="81">
        <v>10.4198828755957</v>
      </c>
      <c r="AF17" s="81">
        <v>10.430507879443127</v>
      </c>
      <c r="AG17" s="81">
        <v>10.402999994699101</v>
      </c>
      <c r="AI17" s="11"/>
      <c r="AJ17" s="40">
        <v>14</v>
      </c>
      <c r="AK17" s="40">
        <v>9.162610771753867</v>
      </c>
      <c r="AL17" s="40">
        <v>0.80123900000000003</v>
      </c>
      <c r="AM17" s="81">
        <f t="shared" si="9"/>
        <v>1.9903880160251235</v>
      </c>
      <c r="AN17" s="81">
        <f t="shared" si="10"/>
        <v>7.1722227557287432</v>
      </c>
      <c r="AO17" s="81">
        <f t="shared" si="11"/>
        <v>11.152998787778991</v>
      </c>
      <c r="AP17" s="81">
        <v>10.043179041196122</v>
      </c>
      <c r="AQ17" s="81">
        <v>10.052462661868415</v>
      </c>
    </row>
    <row r="18" spans="2:43" x14ac:dyDescent="0.25"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29"/>
      <c r="M18" s="29"/>
      <c r="N18" s="84">
        <v>42</v>
      </c>
      <c r="O18" s="84">
        <v>14.964540395536945</v>
      </c>
      <c r="P18" s="84">
        <v>0.42107899999999998</v>
      </c>
      <c r="Q18" s="81">
        <f t="shared" si="3"/>
        <v>1.0460182235261177</v>
      </c>
      <c r="R18" s="81">
        <f t="shared" si="4"/>
        <v>13.918522172010828</v>
      </c>
      <c r="S18" s="81">
        <f t="shared" si="5"/>
        <v>16.010558619063062</v>
      </c>
      <c r="T18" s="81">
        <v>14.66274056213566</v>
      </c>
      <c r="U18" s="81">
        <v>14.871555362653453</v>
      </c>
      <c r="V18" s="81">
        <v>14.448</v>
      </c>
      <c r="W18" s="19"/>
      <c r="X18" s="29"/>
      <c r="Y18" s="82">
        <v>84</v>
      </c>
      <c r="Z18" s="81">
        <v>11.144511850091181</v>
      </c>
      <c r="AA18" s="82">
        <v>0.57999999999999996</v>
      </c>
      <c r="AB18" s="81">
        <f t="shared" si="6"/>
        <v>1.4407998728151921</v>
      </c>
      <c r="AC18" s="81">
        <f t="shared" si="7"/>
        <v>9.7037119772759883</v>
      </c>
      <c r="AD18" s="81">
        <f t="shared" si="8"/>
        <v>12.585311722906374</v>
      </c>
      <c r="AE18" s="81">
        <v>10.419898090376586</v>
      </c>
      <c r="AF18" s="81">
        <v>10.430664685787335</v>
      </c>
      <c r="AG18" s="81">
        <v>10.402999999900157</v>
      </c>
      <c r="AJ18" s="83"/>
      <c r="AK18" s="83"/>
      <c r="AL18" s="83"/>
      <c r="AM18" s="81"/>
      <c r="AN18" s="81"/>
      <c r="AO18" s="81"/>
      <c r="AP18" s="83"/>
      <c r="AQ18" s="83"/>
    </row>
    <row r="19" spans="2:43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29"/>
      <c r="M19" s="29"/>
      <c r="N19" s="84">
        <v>48</v>
      </c>
      <c r="O19" s="84">
        <v>15.815979933473269</v>
      </c>
      <c r="P19" s="84">
        <v>0.46417199999999997</v>
      </c>
      <c r="Q19" s="81">
        <f t="shared" si="3"/>
        <v>1.1530671699385746</v>
      </c>
      <c r="R19" s="81">
        <f t="shared" si="4"/>
        <v>14.662912763534694</v>
      </c>
      <c r="S19" s="81">
        <f t="shared" si="5"/>
        <v>16.969047103411842</v>
      </c>
      <c r="T19" s="81">
        <v>14.662950620687754</v>
      </c>
      <c r="U19" s="81">
        <v>14.882667137895623</v>
      </c>
      <c r="V19" s="81">
        <v>14.448</v>
      </c>
      <c r="W19" s="19"/>
      <c r="X19" s="29"/>
      <c r="Y19" s="82">
        <v>96</v>
      </c>
      <c r="Z19" s="81">
        <v>11.674106421479813</v>
      </c>
      <c r="AA19" s="82">
        <v>0.2</v>
      </c>
      <c r="AB19" s="81">
        <f t="shared" si="6"/>
        <v>0.49682754235006621</v>
      </c>
      <c r="AC19" s="81">
        <f t="shared" si="7"/>
        <v>11.177278879129746</v>
      </c>
      <c r="AD19" s="81">
        <f t="shared" si="8"/>
        <v>12.17093396382988</v>
      </c>
      <c r="AE19" s="81">
        <v>10.419899787049127</v>
      </c>
      <c r="AF19" s="81">
        <v>10.430693508802378</v>
      </c>
      <c r="AG19" s="81">
        <v>10.402999999998123</v>
      </c>
      <c r="AJ19" s="83"/>
      <c r="AK19" s="83"/>
      <c r="AL19" s="83"/>
      <c r="AM19" s="81"/>
      <c r="AN19" s="81"/>
      <c r="AO19" s="81"/>
      <c r="AP19" s="83"/>
      <c r="AQ19" s="83"/>
    </row>
    <row r="27" spans="2:43" x14ac:dyDescent="0.2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R27" s="11"/>
      <c r="S27" s="11"/>
      <c r="T27" s="11"/>
    </row>
    <row r="28" spans="2:43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R28" s="11"/>
      <c r="S28" s="11"/>
      <c r="T28" s="11"/>
    </row>
    <row r="29" spans="2:43" x14ac:dyDescent="0.25">
      <c r="L29" s="11"/>
    </row>
    <row r="30" spans="2:43" x14ac:dyDescent="0.25">
      <c r="L30" s="11"/>
    </row>
    <row r="31" spans="2:43" x14ac:dyDescent="0.25">
      <c r="L31" s="11"/>
    </row>
    <row r="32" spans="2:43" x14ac:dyDescent="0.25">
      <c r="L32" s="11"/>
    </row>
    <row r="33" spans="2:20" x14ac:dyDescent="0.25">
      <c r="L33" s="11"/>
    </row>
    <row r="34" spans="2:20" x14ac:dyDescent="0.25">
      <c r="L34" s="11"/>
    </row>
    <row r="35" spans="2:20" x14ac:dyDescent="0.25">
      <c r="L35" s="11"/>
    </row>
    <row r="36" spans="2:20" x14ac:dyDescent="0.25">
      <c r="L36" s="11"/>
    </row>
    <row r="37" spans="2:20" x14ac:dyDescent="0.25">
      <c r="L37" s="11"/>
    </row>
    <row r="38" spans="2:20" x14ac:dyDescent="0.25">
      <c r="L38" s="11"/>
    </row>
    <row r="39" spans="2:20" x14ac:dyDescent="0.25">
      <c r="L39" s="11"/>
    </row>
    <row r="40" spans="2:20" x14ac:dyDescent="0.25">
      <c r="L40" s="11"/>
    </row>
    <row r="41" spans="2:20" x14ac:dyDescent="0.25">
      <c r="L41" s="11"/>
    </row>
    <row r="42" spans="2:20" x14ac:dyDescent="0.25">
      <c r="L42" s="11"/>
    </row>
    <row r="43" spans="2:20" x14ac:dyDescent="0.25">
      <c r="L43" s="11"/>
    </row>
    <row r="44" spans="2:20" x14ac:dyDescent="0.25">
      <c r="L44" s="11"/>
    </row>
    <row r="45" spans="2:20" x14ac:dyDescent="0.25">
      <c r="L45" s="11"/>
    </row>
    <row r="46" spans="2:20" x14ac:dyDescent="0.25">
      <c r="L46" s="11"/>
    </row>
    <row r="47" spans="2:20" x14ac:dyDescent="0.25">
      <c r="L47" s="11"/>
    </row>
    <row r="48" spans="2:20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R48" s="11"/>
      <c r="S48" s="11"/>
      <c r="T48" s="11"/>
    </row>
    <row r="49" spans="2:25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R49" s="11"/>
      <c r="S49" s="11"/>
      <c r="T49" s="11"/>
    </row>
    <row r="62" spans="2:25" x14ac:dyDescent="0.25">
      <c r="S62" s="29"/>
      <c r="T62" s="29"/>
      <c r="U62" s="29"/>
      <c r="V62" s="29"/>
      <c r="W62" s="29"/>
      <c r="X62" s="29"/>
      <c r="Y62" s="29"/>
    </row>
    <row r="63" spans="2:2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R63" s="11"/>
      <c r="S63" s="29"/>
      <c r="T63" s="29"/>
      <c r="U63" s="29"/>
      <c r="V63" s="29"/>
      <c r="W63" s="29"/>
      <c r="X63" s="29"/>
      <c r="Y63" s="29"/>
    </row>
    <row r="64" spans="2:25" x14ac:dyDescent="0.25">
      <c r="L64" s="11"/>
      <c r="S64" s="98"/>
      <c r="T64" s="99"/>
      <c r="U64" s="100"/>
      <c r="V64" s="101"/>
      <c r="W64" s="98"/>
      <c r="X64" s="29"/>
      <c r="Y64" s="29"/>
    </row>
    <row r="65" spans="12:25" x14ac:dyDescent="0.25">
      <c r="L65" s="11"/>
      <c r="S65" s="101"/>
      <c r="T65" s="101"/>
      <c r="U65" s="101"/>
      <c r="V65" s="101"/>
      <c r="W65" s="101"/>
      <c r="X65" s="29"/>
      <c r="Y65" s="29"/>
    </row>
    <row r="66" spans="12:25" x14ac:dyDescent="0.25">
      <c r="L66" s="11"/>
      <c r="S66" s="100"/>
      <c r="T66" s="101"/>
      <c r="U66" s="101"/>
      <c r="V66" s="101"/>
      <c r="W66" s="102"/>
      <c r="X66" s="29"/>
      <c r="Y66" s="29"/>
    </row>
    <row r="67" spans="12:25" x14ac:dyDescent="0.25">
      <c r="L67" s="11"/>
      <c r="S67" s="101"/>
      <c r="T67" s="101"/>
      <c r="U67" s="101"/>
      <c r="V67" s="101"/>
      <c r="W67" s="102"/>
      <c r="X67" s="29"/>
      <c r="Y67" s="29"/>
    </row>
    <row r="68" spans="12:25" x14ac:dyDescent="0.25">
      <c r="L68" s="11"/>
      <c r="S68" s="98"/>
      <c r="T68" s="101"/>
      <c r="U68" s="101"/>
      <c r="V68" s="101"/>
      <c r="W68" s="102"/>
      <c r="X68" s="29"/>
      <c r="Y68" s="29"/>
    </row>
    <row r="69" spans="12:25" x14ac:dyDescent="0.25">
      <c r="L69" s="11"/>
      <c r="S69" s="101"/>
      <c r="T69" s="101"/>
      <c r="U69" s="101"/>
      <c r="V69" s="101"/>
      <c r="W69" s="101"/>
      <c r="X69" s="29"/>
      <c r="Y69" s="29"/>
    </row>
    <row r="70" spans="12:25" x14ac:dyDescent="0.25">
      <c r="L70" s="11"/>
      <c r="S70" s="100"/>
      <c r="T70" s="101"/>
      <c r="U70" s="101"/>
      <c r="V70" s="101"/>
      <c r="W70" s="102"/>
      <c r="X70" s="29"/>
      <c r="Y70" s="29"/>
    </row>
    <row r="71" spans="12:25" x14ac:dyDescent="0.25">
      <c r="L71" s="11"/>
      <c r="S71" s="101"/>
      <c r="T71" s="101"/>
      <c r="U71" s="101"/>
      <c r="V71" s="101"/>
      <c r="W71" s="102"/>
      <c r="X71" s="29"/>
      <c r="Y71" s="29"/>
    </row>
    <row r="72" spans="12:25" x14ac:dyDescent="0.25">
      <c r="L72" s="11"/>
      <c r="S72" s="98"/>
      <c r="T72" s="101"/>
      <c r="U72" s="101"/>
      <c r="V72" s="101"/>
      <c r="W72" s="102"/>
      <c r="X72" s="29"/>
      <c r="Y72" s="29"/>
    </row>
    <row r="73" spans="12:25" x14ac:dyDescent="0.25">
      <c r="L73" s="11"/>
      <c r="S73" s="101"/>
      <c r="T73" s="101"/>
      <c r="U73" s="101"/>
      <c r="V73" s="101"/>
      <c r="W73" s="101"/>
      <c r="X73" s="29"/>
      <c r="Y73" s="29"/>
    </row>
    <row r="74" spans="12:25" x14ac:dyDescent="0.25">
      <c r="L74" s="11"/>
      <c r="S74" s="100"/>
      <c r="T74" s="101"/>
      <c r="U74" s="101"/>
      <c r="V74" s="101"/>
      <c r="W74" s="102"/>
      <c r="X74" s="29"/>
      <c r="Y74" s="29"/>
    </row>
    <row r="75" spans="12:25" x14ac:dyDescent="0.25">
      <c r="L75" s="11"/>
      <c r="S75" s="101"/>
      <c r="T75" s="101"/>
      <c r="U75" s="101"/>
      <c r="V75" s="101"/>
      <c r="W75" s="102"/>
      <c r="X75" s="29"/>
      <c r="Y75" s="29"/>
    </row>
    <row r="76" spans="12:25" x14ac:dyDescent="0.25">
      <c r="L76" s="11"/>
      <c r="S76" s="98"/>
      <c r="T76" s="101"/>
      <c r="U76" s="101"/>
      <c r="V76" s="101"/>
      <c r="W76" s="102"/>
      <c r="X76" s="29"/>
      <c r="Y76" s="29"/>
    </row>
    <row r="77" spans="12:25" x14ac:dyDescent="0.25">
      <c r="L77" s="11"/>
      <c r="S77" s="101"/>
      <c r="T77" s="101"/>
      <c r="U77" s="101"/>
      <c r="V77" s="101"/>
      <c r="W77" s="101"/>
      <c r="X77" s="29"/>
      <c r="Y77" s="29"/>
    </row>
    <row r="78" spans="12:25" x14ac:dyDescent="0.25">
      <c r="L78" s="11"/>
      <c r="S78" s="98"/>
      <c r="T78" s="101"/>
      <c r="U78" s="101"/>
      <c r="V78" s="101"/>
      <c r="W78" s="102"/>
      <c r="X78" s="29"/>
      <c r="Y78" s="29"/>
    </row>
    <row r="79" spans="12:25" x14ac:dyDescent="0.25">
      <c r="L79" s="11"/>
      <c r="S79" s="98"/>
      <c r="T79" s="101"/>
      <c r="U79" s="101"/>
      <c r="V79" s="101"/>
      <c r="W79" s="102"/>
      <c r="X79" s="29"/>
      <c r="Y79" s="29"/>
    </row>
    <row r="80" spans="12:25" x14ac:dyDescent="0.25">
      <c r="L80" s="11"/>
      <c r="S80" s="98"/>
      <c r="T80" s="101"/>
      <c r="U80" s="101"/>
      <c r="V80" s="101"/>
      <c r="W80" s="102"/>
      <c r="X80" s="29"/>
      <c r="Y80" s="29"/>
    </row>
    <row r="81" spans="2:25" x14ac:dyDescent="0.25">
      <c r="L81" s="11"/>
      <c r="S81" s="29"/>
      <c r="T81" s="29"/>
      <c r="U81" s="29"/>
      <c r="V81" s="29"/>
      <c r="W81" s="29"/>
      <c r="X81" s="29"/>
      <c r="Y81" s="29"/>
    </row>
    <row r="82" spans="2:25" x14ac:dyDescent="0.25">
      <c r="L82" s="11"/>
      <c r="S82" s="29"/>
      <c r="T82" s="29"/>
      <c r="U82" s="29"/>
      <c r="V82" s="29"/>
      <c r="W82" s="29"/>
      <c r="X82" s="29"/>
      <c r="Y82" s="29"/>
    </row>
    <row r="83" spans="2:25" x14ac:dyDescent="0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R83" s="11"/>
      <c r="S83" s="29"/>
      <c r="T83" s="29"/>
      <c r="U83" s="29"/>
      <c r="V83" s="29"/>
      <c r="W83" s="29"/>
      <c r="X83" s="29"/>
      <c r="Y83" s="29"/>
    </row>
    <row r="87" spans="2:25" x14ac:dyDescent="0.25">
      <c r="C87" s="11"/>
      <c r="D87" s="11"/>
      <c r="E87" s="11"/>
      <c r="F87" s="11"/>
      <c r="G87" s="11"/>
      <c r="H87" s="11"/>
      <c r="I87" s="11"/>
      <c r="J87" s="11"/>
      <c r="K87" s="11"/>
      <c r="R87" s="11"/>
      <c r="S87" s="11"/>
      <c r="T87" s="11"/>
    </row>
    <row r="102" spans="21:22" x14ac:dyDescent="0.25">
      <c r="U102" s="11"/>
      <c r="V102" s="11"/>
    </row>
    <row r="103" spans="21:22" x14ac:dyDescent="0.25">
      <c r="U103" s="11"/>
      <c r="V103" s="11"/>
    </row>
    <row r="104" spans="21:22" x14ac:dyDescent="0.25">
      <c r="U104" s="24"/>
      <c r="V104" s="11"/>
    </row>
    <row r="105" spans="21:22" x14ac:dyDescent="0.25">
      <c r="U105" s="24"/>
      <c r="V105" s="11"/>
    </row>
    <row r="106" spans="21:22" x14ac:dyDescent="0.25">
      <c r="U106" s="5"/>
      <c r="V106" s="11"/>
    </row>
    <row r="107" spans="21:22" x14ac:dyDescent="0.25">
      <c r="U107" s="24"/>
      <c r="V107" s="11"/>
    </row>
    <row r="108" spans="21:22" x14ac:dyDescent="0.25">
      <c r="U108" s="11"/>
      <c r="V108" s="11"/>
    </row>
    <row r="109" spans="21:22" x14ac:dyDescent="0.25">
      <c r="U109" s="11"/>
      <c r="V109" s="11"/>
    </row>
    <row r="110" spans="21:22" x14ac:dyDescent="0.25">
      <c r="U110" s="11"/>
      <c r="V110" s="11"/>
    </row>
    <row r="111" spans="21:22" x14ac:dyDescent="0.25">
      <c r="U111" s="11"/>
      <c r="V111" s="11"/>
    </row>
    <row r="112" spans="21:22" x14ac:dyDescent="0.25">
      <c r="U112" s="11"/>
      <c r="V112" s="11"/>
    </row>
    <row r="113" spans="3:22" x14ac:dyDescent="0.25">
      <c r="U113" s="11"/>
      <c r="V113" s="11"/>
    </row>
    <row r="114" spans="3:22" x14ac:dyDescent="0.25">
      <c r="C114" s="11"/>
      <c r="D114" s="11"/>
      <c r="E114" s="11"/>
      <c r="F114" s="11"/>
      <c r="G114" s="11"/>
      <c r="H114" s="11"/>
      <c r="I114" s="11"/>
      <c r="J114" s="11"/>
      <c r="K114" s="11"/>
      <c r="R114" s="11"/>
      <c r="S114" s="11"/>
      <c r="T114" s="11"/>
      <c r="U114" s="11"/>
      <c r="V114" s="11"/>
    </row>
    <row r="119" spans="3:22" x14ac:dyDescent="0.25">
      <c r="K119" s="11"/>
      <c r="L119" s="11"/>
      <c r="M119" s="11"/>
    </row>
    <row r="120" spans="3:22" x14ac:dyDescent="0.25">
      <c r="K120" s="11"/>
      <c r="L120" s="11"/>
      <c r="M120" s="11"/>
    </row>
    <row r="121" spans="3:22" x14ac:dyDescent="0.25">
      <c r="K121" s="11"/>
      <c r="L121" s="11"/>
      <c r="M121" s="11"/>
    </row>
    <row r="122" spans="3:22" x14ac:dyDescent="0.25">
      <c r="K122" s="11"/>
      <c r="L122" s="11"/>
      <c r="M122" s="11"/>
    </row>
    <row r="123" spans="3:22" x14ac:dyDescent="0.25">
      <c r="K123" s="11"/>
      <c r="L123" s="11"/>
      <c r="M123" s="11"/>
    </row>
    <row r="124" spans="3:22" x14ac:dyDescent="0.25">
      <c r="K124" s="11"/>
      <c r="L124" s="11"/>
      <c r="M124" s="11"/>
    </row>
    <row r="125" spans="3:22" x14ac:dyDescent="0.25">
      <c r="K125" s="11"/>
      <c r="L125" s="11"/>
      <c r="M125" s="11"/>
    </row>
    <row r="126" spans="3:22" x14ac:dyDescent="0.25">
      <c r="K126" s="11"/>
      <c r="L126" s="11"/>
      <c r="M126" s="11"/>
    </row>
    <row r="127" spans="3:22" x14ac:dyDescent="0.25">
      <c r="K127" s="11"/>
      <c r="L127" s="11"/>
      <c r="M127" s="11"/>
    </row>
    <row r="128" spans="3:22" x14ac:dyDescent="0.25">
      <c r="K128" s="11"/>
      <c r="L128" s="11"/>
      <c r="M128" s="11"/>
    </row>
    <row r="129" spans="2:20" x14ac:dyDescent="0.25">
      <c r="K129" s="11"/>
      <c r="L129" s="11"/>
      <c r="M129" s="11"/>
    </row>
    <row r="130" spans="2:20" x14ac:dyDescent="0.25">
      <c r="K130" s="11"/>
      <c r="L130" s="11"/>
      <c r="M130" s="11"/>
    </row>
    <row r="131" spans="2:20" x14ac:dyDescent="0.25">
      <c r="K131" s="11"/>
      <c r="L131" s="11"/>
      <c r="M131" s="11"/>
    </row>
    <row r="132" spans="2:20" x14ac:dyDescent="0.25">
      <c r="K132" s="11"/>
      <c r="L132" s="11"/>
      <c r="M132" s="11"/>
    </row>
    <row r="133" spans="2:20" x14ac:dyDescent="0.25">
      <c r="K133" s="11"/>
      <c r="L133" s="11"/>
      <c r="M133" s="11"/>
    </row>
    <row r="134" spans="2:20" x14ac:dyDescent="0.25">
      <c r="K134" s="11"/>
      <c r="L134" s="11"/>
      <c r="M134" s="11"/>
    </row>
    <row r="135" spans="2:20" x14ac:dyDescent="0.25">
      <c r="K135" s="11"/>
      <c r="L135" s="11"/>
      <c r="M135" s="11"/>
    </row>
    <row r="136" spans="2:20" x14ac:dyDescent="0.25">
      <c r="K136" s="11"/>
      <c r="L136" s="11"/>
      <c r="M136" s="11"/>
    </row>
    <row r="137" spans="2:20" x14ac:dyDescent="0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R137" s="11"/>
      <c r="S137" s="11"/>
      <c r="T137" s="11"/>
    </row>
    <row r="138" spans="2:20" x14ac:dyDescent="0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R138" s="11"/>
      <c r="S138" s="11"/>
      <c r="T138" s="11"/>
    </row>
    <row r="142" spans="2:20" ht="15.75" thickBot="1" x14ac:dyDescent="0.3"/>
    <row r="143" spans="2:20" x14ac:dyDescent="0.25">
      <c r="D143" s="49"/>
      <c r="E143" s="43"/>
      <c r="F143" s="43"/>
      <c r="G143" s="43"/>
      <c r="H143" s="43"/>
      <c r="I143" s="39" t="s">
        <v>18</v>
      </c>
      <c r="J143" s="2" t="s">
        <v>40</v>
      </c>
      <c r="K143" s="39" t="s">
        <v>22</v>
      </c>
      <c r="L143" s="33" t="s">
        <v>37</v>
      </c>
      <c r="R143" s="43"/>
      <c r="S143" s="43"/>
      <c r="T143" s="11"/>
    </row>
    <row r="144" spans="2:20" x14ac:dyDescent="0.25">
      <c r="D144" s="62" t="s">
        <v>0</v>
      </c>
      <c r="E144" s="63"/>
      <c r="F144" s="63"/>
      <c r="G144" s="63"/>
      <c r="H144" s="63"/>
      <c r="I144" s="63"/>
      <c r="J144" s="63"/>
      <c r="K144" s="63"/>
      <c r="L144" s="64"/>
    </row>
    <row r="145" spans="4:20" x14ac:dyDescent="0.25">
      <c r="D145" s="44" t="s">
        <v>48</v>
      </c>
      <c r="E145" s="11"/>
      <c r="F145" s="11"/>
      <c r="G145" s="11"/>
      <c r="H145" s="11"/>
      <c r="I145" s="11">
        <v>0.30319742342844097</v>
      </c>
      <c r="J145" s="11">
        <v>1.7807007762449458</v>
      </c>
      <c r="K145" s="11">
        <v>0.99668866412460033</v>
      </c>
      <c r="L145" s="45">
        <v>1.9914750472484617</v>
      </c>
      <c r="R145" s="11"/>
      <c r="S145" s="11"/>
      <c r="T145" s="11"/>
    </row>
    <row r="146" spans="4:20" x14ac:dyDescent="0.25">
      <c r="D146" s="44" t="s">
        <v>50</v>
      </c>
      <c r="E146" s="11"/>
      <c r="F146" s="11"/>
      <c r="G146" s="11"/>
      <c r="H146" s="11"/>
      <c r="I146" s="11">
        <v>0.25898426647768003</v>
      </c>
      <c r="J146" s="11">
        <v>1.2992319667405712</v>
      </c>
      <c r="K146" s="11">
        <v>0.99759455903099137</v>
      </c>
      <c r="L146" s="45">
        <v>1.9958459144130396</v>
      </c>
      <c r="R146" s="11"/>
      <c r="S146" s="11"/>
      <c r="T146" s="11"/>
    </row>
    <row r="147" spans="4:20" x14ac:dyDescent="0.25">
      <c r="D147" s="44" t="s">
        <v>51</v>
      </c>
      <c r="E147" s="11"/>
      <c r="F147" s="11"/>
      <c r="G147" s="11"/>
      <c r="H147" s="11"/>
      <c r="I147" s="11">
        <v>0.2530782798244165</v>
      </c>
      <c r="J147" s="11">
        <v>1.2406511519396737</v>
      </c>
      <c r="K147" s="11">
        <v>0.94271496150462297</v>
      </c>
      <c r="L147" s="45">
        <v>0.39965499865834903</v>
      </c>
      <c r="R147" s="11"/>
      <c r="S147" s="11"/>
      <c r="T147" s="11"/>
    </row>
    <row r="148" spans="4:20" x14ac:dyDescent="0.25">
      <c r="D148" s="65" t="s">
        <v>3</v>
      </c>
      <c r="E148" s="66"/>
      <c r="F148" s="66"/>
      <c r="G148" s="66"/>
      <c r="H148" s="66"/>
      <c r="I148" s="66"/>
      <c r="J148" s="66"/>
      <c r="K148" s="66"/>
      <c r="L148" s="67"/>
    </row>
    <row r="149" spans="4:20" x14ac:dyDescent="0.25">
      <c r="D149" s="44" t="s">
        <v>48</v>
      </c>
      <c r="E149" s="11"/>
      <c r="F149" s="11"/>
      <c r="G149" s="11"/>
      <c r="H149" s="11"/>
      <c r="I149" s="11">
        <v>0.18751611596155521</v>
      </c>
      <c r="J149" s="11">
        <v>0.65418220921502168</v>
      </c>
      <c r="K149" s="11">
        <v>0.96134490181870169</v>
      </c>
      <c r="L149" s="45">
        <v>0.36048416192341437</v>
      </c>
      <c r="R149" s="11"/>
      <c r="S149" s="11"/>
      <c r="T149" s="11"/>
    </row>
    <row r="150" spans="4:20" x14ac:dyDescent="0.25">
      <c r="D150" s="44" t="s">
        <v>50</v>
      </c>
      <c r="E150" s="11"/>
      <c r="F150" s="11"/>
      <c r="G150" s="11"/>
      <c r="H150" s="11"/>
      <c r="I150" s="11">
        <v>9.3561537514373697E-2</v>
      </c>
      <c r="J150" s="11">
        <v>0.16286067538704291</v>
      </c>
      <c r="K150" s="11">
        <v>0.98966329572944312</v>
      </c>
      <c r="L150" s="45">
        <v>0.34782218927223074</v>
      </c>
      <c r="R150" s="11"/>
      <c r="S150" s="11"/>
      <c r="T150" s="11"/>
    </row>
    <row r="151" spans="4:20" x14ac:dyDescent="0.25">
      <c r="D151" s="44" t="s">
        <v>51</v>
      </c>
      <c r="E151" s="11"/>
      <c r="F151" s="11"/>
      <c r="G151" s="11"/>
      <c r="H151" s="11"/>
      <c r="I151" s="11">
        <v>0.30600240786555705</v>
      </c>
      <c r="J151" s="11">
        <v>1.7420925324561627</v>
      </c>
      <c r="K151" s="11">
        <v>0.99723105653221322</v>
      </c>
      <c r="L151" s="45">
        <v>0.77709441168964311</v>
      </c>
      <c r="R151" s="11"/>
      <c r="S151" s="11"/>
      <c r="T151" s="11"/>
    </row>
    <row r="152" spans="4:20" x14ac:dyDescent="0.25">
      <c r="D152" s="68" t="s">
        <v>4</v>
      </c>
      <c r="E152" s="69"/>
      <c r="F152" s="69"/>
      <c r="G152" s="69"/>
      <c r="H152" s="69"/>
      <c r="I152" s="69"/>
      <c r="J152" s="69"/>
      <c r="K152" s="69"/>
      <c r="L152" s="70"/>
    </row>
    <row r="153" spans="4:20" x14ac:dyDescent="0.25">
      <c r="D153" s="44" t="s">
        <v>48</v>
      </c>
      <c r="E153" s="11"/>
      <c r="F153" s="11"/>
      <c r="G153" s="11"/>
      <c r="H153" s="11"/>
      <c r="I153" s="11">
        <v>0.16431085291946856</v>
      </c>
      <c r="J153" s="11">
        <v>0.52384288512328703</v>
      </c>
      <c r="K153" s="11">
        <v>0.94455791040003401</v>
      </c>
      <c r="L153" s="45">
        <v>0.20144469360334699</v>
      </c>
      <c r="R153" s="11"/>
      <c r="S153" s="11"/>
      <c r="T153" s="11"/>
    </row>
    <row r="154" spans="4:20" x14ac:dyDescent="0.25">
      <c r="D154" s="44" t="s">
        <v>50</v>
      </c>
      <c r="E154" s="11"/>
      <c r="F154" s="11"/>
      <c r="G154" s="11"/>
      <c r="H154" s="11"/>
      <c r="I154" s="11">
        <v>9.8501108677701885E-2</v>
      </c>
      <c r="J154" s="11">
        <v>0.18825684976055776</v>
      </c>
      <c r="K154" s="11">
        <v>0.97976174586022902</v>
      </c>
      <c r="L154" s="45">
        <v>0.19987752958956256</v>
      </c>
      <c r="R154" s="11"/>
      <c r="S154" s="11"/>
      <c r="T154" s="11"/>
    </row>
    <row r="155" spans="4:20" ht="15.75" thickBot="1" x14ac:dyDescent="0.3">
      <c r="D155" s="46" t="s">
        <v>51</v>
      </c>
      <c r="E155" s="47"/>
      <c r="F155" s="47"/>
      <c r="G155" s="47"/>
      <c r="H155" s="47"/>
      <c r="I155" s="47">
        <v>0.13763944564222513</v>
      </c>
      <c r="J155" s="47">
        <v>0.36758212083147401</v>
      </c>
      <c r="K155" s="47">
        <v>0.99928943107163704</v>
      </c>
      <c r="L155" s="48">
        <v>1.4905590487319729</v>
      </c>
      <c r="R155" s="47"/>
      <c r="S155" s="47"/>
      <c r="T155" s="11"/>
    </row>
  </sheetData>
  <mergeCells count="3">
    <mergeCell ref="D144:L144"/>
    <mergeCell ref="D148:L148"/>
    <mergeCell ref="D152:L15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</vt:lpstr>
      <vt:lpstr>Gompertz Leg 4 Variables </vt:lpstr>
      <vt:lpstr>Baranyi&amp;Roberts ComBase</vt:lpstr>
      <vt:lpstr>SecondaryModel</vt:lpstr>
      <vt:lpstr>Summary</vt:lpstr>
    </vt:vector>
  </TitlesOfParts>
  <Company>BAEN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Madamba, Tonderai</dc:creator>
  <cp:lastModifiedBy>Madamba, Tonderai</cp:lastModifiedBy>
  <dcterms:created xsi:type="dcterms:W3CDTF">2019-04-02T15:18:54Z</dcterms:created>
  <dcterms:modified xsi:type="dcterms:W3CDTF">2019-04-15T22:45:17Z</dcterms:modified>
</cp:coreProperties>
</file>