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15" windowWidth="10620" windowHeight="11700" activeTab="1"/>
  </bookViews>
  <sheets>
    <sheet name="收益统计" sheetId="1" r:id="rId1"/>
    <sheet name="敏感性分析" sheetId="9" r:id="rId2"/>
    <sheet name="收益计算" sheetId="2" r:id="rId3"/>
    <sheet name="变量" sheetId="4" r:id="rId4"/>
    <sheet name="常量" sheetId="5" r:id="rId5"/>
    <sheet name="难度统计" sheetId="8" r:id="rId6"/>
    <sheet name="图表" sheetId="7" r:id="rId7"/>
  </sheets>
  <calcPr calcId="144525"/>
</workbook>
</file>

<file path=xl/calcChain.xml><?xml version="1.0" encoding="utf-8"?>
<calcChain xmlns="http://schemas.openxmlformats.org/spreadsheetml/2006/main">
  <c r="C22" i="9" l="1"/>
  <c r="B22" i="9"/>
  <c r="D22" i="9" s="1"/>
  <c r="C4" i="9" l="1"/>
  <c r="B10" i="9" l="1"/>
  <c r="C10" i="9" s="1"/>
  <c r="B9" i="9"/>
  <c r="C9" i="9" s="1"/>
  <c r="B8" i="9"/>
  <c r="C8" i="9" s="1"/>
  <c r="B7" i="9"/>
  <c r="C7" i="9" s="1"/>
  <c r="B6" i="9"/>
  <c r="C6" i="9" s="1"/>
  <c r="B5" i="9"/>
  <c r="C5" i="9" s="1"/>
  <c r="B4" i="9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4" i="2"/>
  <c r="N3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4" i="2"/>
  <c r="M3" i="2"/>
  <c r="J2" i="2" l="1"/>
  <c r="B19" i="9"/>
  <c r="D19" i="9" s="1"/>
  <c r="D16" i="9"/>
  <c r="B15" i="9"/>
  <c r="C15" i="9" s="1"/>
  <c r="B16" i="9"/>
  <c r="C16" i="9" s="1"/>
  <c r="B17" i="9"/>
  <c r="C17" i="9" s="1"/>
  <c r="B18" i="9"/>
  <c r="C18" i="9" s="1"/>
  <c r="B20" i="9"/>
  <c r="C20" i="9" s="1"/>
  <c r="B21" i="9"/>
  <c r="C21" i="9" s="1"/>
  <c r="B14" i="9"/>
  <c r="C14" i="9" s="1"/>
  <c r="D14" i="9" l="1"/>
  <c r="D20" i="9"/>
  <c r="D17" i="9"/>
  <c r="D15" i="9"/>
  <c r="C19" i="9"/>
  <c r="D21" i="9"/>
  <c r="D18" i="9"/>
  <c r="D2" i="2"/>
  <c r="B2" i="2"/>
  <c r="B14" i="5" l="1"/>
  <c r="B11" i="5"/>
  <c r="B16" i="5" s="1"/>
  <c r="B10" i="5"/>
  <c r="B7" i="5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B3" i="2"/>
  <c r="C3" i="2" s="1"/>
  <c r="F3" i="2" l="1"/>
  <c r="B17" i="5"/>
  <c r="I2" i="2" s="1"/>
  <c r="H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G3" i="2"/>
  <c r="J3" i="2" s="1"/>
  <c r="B4" i="2"/>
  <c r="F4" i="2" l="1"/>
  <c r="F5" i="2" s="1"/>
  <c r="F6" i="2" s="1"/>
  <c r="I3" i="2"/>
  <c r="L3" i="2" s="1"/>
  <c r="G4" i="2"/>
  <c r="J4" i="2" s="1"/>
  <c r="H3" i="2"/>
  <c r="K3" i="2" s="1"/>
  <c r="B5" i="2"/>
  <c r="C4" i="2"/>
  <c r="G5" i="2" l="1"/>
  <c r="J5" i="2" s="1"/>
  <c r="I4" i="2"/>
  <c r="L4" i="2" s="1"/>
  <c r="H4" i="2"/>
  <c r="K4" i="2" s="1"/>
  <c r="B6" i="2"/>
  <c r="C5" i="2"/>
  <c r="F7" i="2"/>
  <c r="G6" i="2" l="1"/>
  <c r="J6" i="2" s="1"/>
  <c r="I5" i="2"/>
  <c r="L5" i="2" s="1"/>
  <c r="H5" i="2"/>
  <c r="K5" i="2" s="1"/>
  <c r="B7" i="2"/>
  <c r="C6" i="2"/>
  <c r="F8" i="2"/>
  <c r="G7" i="2" l="1"/>
  <c r="J7" i="2" s="1"/>
  <c r="I6" i="2"/>
  <c r="L6" i="2" s="1"/>
  <c r="H6" i="2"/>
  <c r="K6" i="2" s="1"/>
  <c r="B8" i="2"/>
  <c r="C7" i="2"/>
  <c r="F9" i="2"/>
  <c r="G8" i="2" l="1"/>
  <c r="J8" i="2" s="1"/>
  <c r="H7" i="2"/>
  <c r="K7" i="2" s="1"/>
  <c r="I7" i="2"/>
  <c r="L7" i="2" s="1"/>
  <c r="B9" i="2"/>
  <c r="C8" i="2"/>
  <c r="F10" i="2"/>
  <c r="G9" i="2" l="1"/>
  <c r="J9" i="2" s="1"/>
  <c r="I8" i="2"/>
  <c r="L8" i="2" s="1"/>
  <c r="H8" i="2"/>
  <c r="K8" i="2" s="1"/>
  <c r="B10" i="2"/>
  <c r="C9" i="2"/>
  <c r="F11" i="2"/>
  <c r="G10" i="2" l="1"/>
  <c r="J10" i="2" s="1"/>
  <c r="I9" i="2"/>
  <c r="L9" i="2" s="1"/>
  <c r="H9" i="2"/>
  <c r="K9" i="2" s="1"/>
  <c r="B11" i="2"/>
  <c r="C10" i="2"/>
  <c r="F12" i="2"/>
  <c r="G11" i="2" l="1"/>
  <c r="J11" i="2" s="1"/>
  <c r="I10" i="2"/>
  <c r="L10" i="2" s="1"/>
  <c r="H10" i="2"/>
  <c r="K10" i="2" s="1"/>
  <c r="B12" i="2"/>
  <c r="C11" i="2"/>
  <c r="F13" i="2"/>
  <c r="G12" i="2" l="1"/>
  <c r="J12" i="2" s="1"/>
  <c r="I11" i="2"/>
  <c r="L11" i="2" s="1"/>
  <c r="H11" i="2"/>
  <c r="K11" i="2" s="1"/>
  <c r="B13" i="2"/>
  <c r="C12" i="2"/>
  <c r="F14" i="2"/>
  <c r="G13" i="2" l="1"/>
  <c r="J13" i="2" s="1"/>
  <c r="I12" i="2"/>
  <c r="L12" i="2" s="1"/>
  <c r="H12" i="2"/>
  <c r="K12" i="2" s="1"/>
  <c r="B14" i="2"/>
  <c r="C13" i="2"/>
  <c r="F15" i="2"/>
  <c r="G14" i="2" l="1"/>
  <c r="J14" i="2" s="1"/>
  <c r="I13" i="2"/>
  <c r="L13" i="2" s="1"/>
  <c r="H13" i="2"/>
  <c r="K13" i="2" s="1"/>
  <c r="B15" i="2"/>
  <c r="C14" i="2"/>
  <c r="F16" i="2"/>
  <c r="G15" i="2" l="1"/>
  <c r="J15" i="2" s="1"/>
  <c r="I14" i="2"/>
  <c r="L14" i="2" s="1"/>
  <c r="H14" i="2"/>
  <c r="K14" i="2" s="1"/>
  <c r="B16" i="2"/>
  <c r="C15" i="2"/>
  <c r="F17" i="2"/>
  <c r="G16" i="2" l="1"/>
  <c r="J16" i="2" s="1"/>
  <c r="I15" i="2"/>
  <c r="L15" i="2" s="1"/>
  <c r="H15" i="2"/>
  <c r="K15" i="2" s="1"/>
  <c r="B17" i="2"/>
  <c r="C16" i="2"/>
  <c r="F18" i="2"/>
  <c r="G17" i="2" l="1"/>
  <c r="J17" i="2" s="1"/>
  <c r="I16" i="2"/>
  <c r="L16" i="2" s="1"/>
  <c r="H16" i="2"/>
  <c r="K16" i="2" s="1"/>
  <c r="B18" i="2"/>
  <c r="C17" i="2"/>
  <c r="F19" i="2"/>
  <c r="G18" i="2" l="1"/>
  <c r="J18" i="2" s="1"/>
  <c r="I17" i="2"/>
  <c r="L17" i="2" s="1"/>
  <c r="H17" i="2"/>
  <c r="K17" i="2" s="1"/>
  <c r="B19" i="2"/>
  <c r="C18" i="2"/>
  <c r="F20" i="2"/>
  <c r="G19" i="2" l="1"/>
  <c r="J19" i="2" s="1"/>
  <c r="I18" i="2"/>
  <c r="L18" i="2" s="1"/>
  <c r="H18" i="2"/>
  <c r="K18" i="2" s="1"/>
  <c r="B20" i="2"/>
  <c r="C19" i="2"/>
  <c r="F21" i="2"/>
  <c r="G20" i="2" l="1"/>
  <c r="J20" i="2" s="1"/>
  <c r="I19" i="2"/>
  <c r="L19" i="2" s="1"/>
  <c r="H19" i="2"/>
  <c r="K19" i="2" s="1"/>
  <c r="B21" i="2"/>
  <c r="C20" i="2"/>
  <c r="F22" i="2"/>
  <c r="G21" i="2" l="1"/>
  <c r="J21" i="2" s="1"/>
  <c r="I20" i="2"/>
  <c r="L20" i="2" s="1"/>
  <c r="H20" i="2"/>
  <c r="K20" i="2" s="1"/>
  <c r="B22" i="2"/>
  <c r="C21" i="2"/>
  <c r="F23" i="2"/>
  <c r="G22" i="2" l="1"/>
  <c r="J22" i="2" s="1"/>
  <c r="I21" i="2"/>
  <c r="L21" i="2" s="1"/>
  <c r="H21" i="2"/>
  <c r="K21" i="2" s="1"/>
  <c r="B23" i="2"/>
  <c r="C22" i="2"/>
  <c r="F24" i="2"/>
  <c r="G23" i="2" l="1"/>
  <c r="J23" i="2" s="1"/>
  <c r="I22" i="2"/>
  <c r="L22" i="2" s="1"/>
  <c r="H22" i="2"/>
  <c r="K22" i="2" s="1"/>
  <c r="B24" i="2"/>
  <c r="C23" i="2"/>
  <c r="F25" i="2"/>
  <c r="G24" i="2" l="1"/>
  <c r="J24" i="2" s="1"/>
  <c r="I23" i="2"/>
  <c r="L23" i="2" s="1"/>
  <c r="H23" i="2"/>
  <c r="K23" i="2" s="1"/>
  <c r="B25" i="2"/>
  <c r="C24" i="2"/>
  <c r="F26" i="2"/>
  <c r="G25" i="2" l="1"/>
  <c r="J25" i="2" s="1"/>
  <c r="I24" i="2"/>
  <c r="L24" i="2" s="1"/>
  <c r="H24" i="2"/>
  <c r="K24" i="2" s="1"/>
  <c r="B26" i="2"/>
  <c r="C25" i="2"/>
  <c r="F27" i="2"/>
  <c r="G26" i="2" l="1"/>
  <c r="J26" i="2" s="1"/>
  <c r="I25" i="2"/>
  <c r="L25" i="2" s="1"/>
  <c r="H25" i="2"/>
  <c r="K25" i="2" s="1"/>
  <c r="B27" i="2"/>
  <c r="C26" i="2"/>
  <c r="F28" i="2"/>
  <c r="G27" i="2" l="1"/>
  <c r="J27" i="2" s="1"/>
  <c r="I26" i="2"/>
  <c r="L26" i="2" s="1"/>
  <c r="H26" i="2"/>
  <c r="K26" i="2" s="1"/>
  <c r="B28" i="2"/>
  <c r="C27" i="2"/>
  <c r="F29" i="2"/>
  <c r="G28" i="2" l="1"/>
  <c r="J28" i="2" s="1"/>
  <c r="I27" i="2"/>
  <c r="L27" i="2" s="1"/>
  <c r="H27" i="2"/>
  <c r="K27" i="2" s="1"/>
  <c r="B29" i="2"/>
  <c r="C28" i="2"/>
  <c r="F30" i="2"/>
  <c r="G29" i="2" l="1"/>
  <c r="J29" i="2" s="1"/>
  <c r="I28" i="2"/>
  <c r="L28" i="2" s="1"/>
  <c r="H28" i="2"/>
  <c r="K28" i="2" s="1"/>
  <c r="B30" i="2"/>
  <c r="C29" i="2"/>
  <c r="F31" i="2"/>
  <c r="G30" i="2" l="1"/>
  <c r="J30" i="2" s="1"/>
  <c r="I29" i="2"/>
  <c r="L29" i="2" s="1"/>
  <c r="H29" i="2"/>
  <c r="K29" i="2" s="1"/>
  <c r="B31" i="2"/>
  <c r="C30" i="2"/>
  <c r="F32" i="2"/>
  <c r="G31" i="2" l="1"/>
  <c r="J31" i="2" s="1"/>
  <c r="I30" i="2"/>
  <c r="L30" i="2" s="1"/>
  <c r="H30" i="2"/>
  <c r="K30" i="2" s="1"/>
  <c r="B32" i="2"/>
  <c r="C31" i="2"/>
  <c r="F33" i="2"/>
  <c r="G32" i="2" l="1"/>
  <c r="J32" i="2" s="1"/>
  <c r="I31" i="2"/>
  <c r="L31" i="2" s="1"/>
  <c r="H31" i="2"/>
  <c r="K31" i="2" s="1"/>
  <c r="B33" i="2"/>
  <c r="C32" i="2"/>
  <c r="F34" i="2"/>
  <c r="G33" i="2" l="1"/>
  <c r="J33" i="2" s="1"/>
  <c r="I32" i="2"/>
  <c r="L32" i="2" s="1"/>
  <c r="H32" i="2"/>
  <c r="K32" i="2" s="1"/>
  <c r="B34" i="2"/>
  <c r="C33" i="2"/>
  <c r="F35" i="2"/>
  <c r="G34" i="2" l="1"/>
  <c r="J34" i="2" s="1"/>
  <c r="I33" i="2"/>
  <c r="L33" i="2" s="1"/>
  <c r="H33" i="2"/>
  <c r="K33" i="2" s="1"/>
  <c r="B35" i="2"/>
  <c r="C34" i="2"/>
  <c r="F36" i="2"/>
  <c r="G35" i="2" l="1"/>
  <c r="J35" i="2" s="1"/>
  <c r="I34" i="2"/>
  <c r="L34" i="2" s="1"/>
  <c r="H34" i="2"/>
  <c r="K34" i="2" s="1"/>
  <c r="B36" i="2"/>
  <c r="C35" i="2"/>
  <c r="F37" i="2"/>
  <c r="G36" i="2" l="1"/>
  <c r="J36" i="2" s="1"/>
  <c r="I35" i="2"/>
  <c r="L35" i="2" s="1"/>
  <c r="H35" i="2"/>
  <c r="K35" i="2" s="1"/>
  <c r="B37" i="2"/>
  <c r="C36" i="2"/>
  <c r="F38" i="2"/>
  <c r="G37" i="2" l="1"/>
  <c r="J37" i="2" s="1"/>
  <c r="I36" i="2"/>
  <c r="L36" i="2" s="1"/>
  <c r="H36" i="2"/>
  <c r="K36" i="2" s="1"/>
  <c r="B38" i="2"/>
  <c r="C37" i="2"/>
  <c r="F39" i="2"/>
  <c r="G38" i="2" l="1"/>
  <c r="J38" i="2" s="1"/>
  <c r="I37" i="2"/>
  <c r="L37" i="2" s="1"/>
  <c r="H37" i="2"/>
  <c r="K37" i="2" s="1"/>
  <c r="B39" i="2"/>
  <c r="C38" i="2"/>
  <c r="F40" i="2"/>
  <c r="G39" i="2" l="1"/>
  <c r="J39" i="2" s="1"/>
  <c r="I38" i="2"/>
  <c r="L38" i="2" s="1"/>
  <c r="H38" i="2"/>
  <c r="K38" i="2" s="1"/>
  <c r="B40" i="2"/>
  <c r="C39" i="2"/>
  <c r="F41" i="2"/>
  <c r="G40" i="2" l="1"/>
  <c r="J40" i="2" s="1"/>
  <c r="I39" i="2"/>
  <c r="L39" i="2" s="1"/>
  <c r="H39" i="2"/>
  <c r="K39" i="2" s="1"/>
  <c r="B41" i="2"/>
  <c r="C40" i="2"/>
  <c r="F42" i="2"/>
  <c r="G41" i="2" l="1"/>
  <c r="J41" i="2" s="1"/>
  <c r="I40" i="2"/>
  <c r="L40" i="2" s="1"/>
  <c r="H40" i="2"/>
  <c r="K40" i="2" s="1"/>
  <c r="B42" i="2"/>
  <c r="C41" i="2"/>
  <c r="F43" i="2"/>
  <c r="G42" i="2" l="1"/>
  <c r="J42" i="2" s="1"/>
  <c r="I41" i="2"/>
  <c r="L41" i="2" s="1"/>
  <c r="H41" i="2"/>
  <c r="K41" i="2" s="1"/>
  <c r="B43" i="2"/>
  <c r="C42" i="2"/>
  <c r="F44" i="2"/>
  <c r="G43" i="2" l="1"/>
  <c r="J43" i="2" s="1"/>
  <c r="I42" i="2"/>
  <c r="L42" i="2" s="1"/>
  <c r="H42" i="2"/>
  <c r="K42" i="2" s="1"/>
  <c r="B44" i="2"/>
  <c r="C43" i="2"/>
  <c r="F45" i="2"/>
  <c r="G44" i="2" l="1"/>
  <c r="J44" i="2" s="1"/>
  <c r="I43" i="2"/>
  <c r="L43" i="2" s="1"/>
  <c r="H43" i="2"/>
  <c r="K43" i="2" s="1"/>
  <c r="B45" i="2"/>
  <c r="C44" i="2"/>
  <c r="F46" i="2"/>
  <c r="G45" i="2" l="1"/>
  <c r="J45" i="2" s="1"/>
  <c r="I44" i="2"/>
  <c r="L44" i="2" s="1"/>
  <c r="H44" i="2"/>
  <c r="K44" i="2" s="1"/>
  <c r="B46" i="2"/>
  <c r="C45" i="2"/>
  <c r="F47" i="2"/>
  <c r="G46" i="2" l="1"/>
  <c r="J46" i="2" s="1"/>
  <c r="I45" i="2"/>
  <c r="L45" i="2" s="1"/>
  <c r="H45" i="2"/>
  <c r="K45" i="2" s="1"/>
  <c r="B47" i="2"/>
  <c r="C46" i="2"/>
  <c r="F48" i="2"/>
  <c r="G47" i="2" l="1"/>
  <c r="J47" i="2" s="1"/>
  <c r="I46" i="2"/>
  <c r="L46" i="2" s="1"/>
  <c r="H46" i="2"/>
  <c r="K46" i="2" s="1"/>
  <c r="B48" i="2"/>
  <c r="C47" i="2"/>
  <c r="F49" i="2"/>
  <c r="G48" i="2" l="1"/>
  <c r="J48" i="2" s="1"/>
  <c r="I47" i="2"/>
  <c r="L47" i="2" s="1"/>
  <c r="H47" i="2"/>
  <c r="K47" i="2" s="1"/>
  <c r="B49" i="2"/>
  <c r="C48" i="2"/>
  <c r="F50" i="2"/>
  <c r="G49" i="2" l="1"/>
  <c r="J49" i="2" s="1"/>
  <c r="I48" i="2"/>
  <c r="L48" i="2" s="1"/>
  <c r="H48" i="2"/>
  <c r="K48" i="2" s="1"/>
  <c r="B50" i="2"/>
  <c r="C49" i="2"/>
  <c r="F51" i="2"/>
  <c r="G50" i="2" l="1"/>
  <c r="J50" i="2" s="1"/>
  <c r="I49" i="2"/>
  <c r="L49" i="2" s="1"/>
  <c r="H49" i="2"/>
  <c r="K49" i="2" s="1"/>
  <c r="B51" i="2"/>
  <c r="C50" i="2"/>
  <c r="F52" i="2"/>
  <c r="G51" i="2" l="1"/>
  <c r="J51" i="2" s="1"/>
  <c r="I50" i="2"/>
  <c r="L50" i="2" s="1"/>
  <c r="H50" i="2"/>
  <c r="K50" i="2" s="1"/>
  <c r="B52" i="2"/>
  <c r="C51" i="2"/>
  <c r="F53" i="2"/>
  <c r="G52" i="2" l="1"/>
  <c r="J52" i="2" s="1"/>
  <c r="I51" i="2"/>
  <c r="L51" i="2" s="1"/>
  <c r="H51" i="2"/>
  <c r="K51" i="2" s="1"/>
  <c r="B53" i="2"/>
  <c r="C52" i="2"/>
  <c r="F54" i="2"/>
  <c r="G53" i="2" l="1"/>
  <c r="J53" i="2" s="1"/>
  <c r="I52" i="2"/>
  <c r="L52" i="2" s="1"/>
  <c r="H52" i="2"/>
  <c r="K52" i="2" s="1"/>
  <c r="B54" i="2"/>
  <c r="C53" i="2"/>
  <c r="F55" i="2"/>
  <c r="G54" i="2" l="1"/>
  <c r="J54" i="2" s="1"/>
  <c r="I53" i="2"/>
  <c r="L53" i="2" s="1"/>
  <c r="H53" i="2"/>
  <c r="K53" i="2" s="1"/>
  <c r="B55" i="2"/>
  <c r="C54" i="2"/>
  <c r="F56" i="2"/>
  <c r="G55" i="2" l="1"/>
  <c r="J55" i="2" s="1"/>
  <c r="I54" i="2"/>
  <c r="L54" i="2" s="1"/>
  <c r="H54" i="2"/>
  <c r="K54" i="2" s="1"/>
  <c r="B56" i="2"/>
  <c r="C55" i="2"/>
  <c r="F57" i="2"/>
  <c r="G56" i="2" l="1"/>
  <c r="J56" i="2" s="1"/>
  <c r="I55" i="2"/>
  <c r="L55" i="2" s="1"/>
  <c r="H55" i="2"/>
  <c r="K55" i="2" s="1"/>
  <c r="B57" i="2"/>
  <c r="C56" i="2"/>
  <c r="F58" i="2"/>
  <c r="G57" i="2" l="1"/>
  <c r="J57" i="2" s="1"/>
  <c r="I56" i="2"/>
  <c r="L56" i="2" s="1"/>
  <c r="H56" i="2"/>
  <c r="K56" i="2" s="1"/>
  <c r="B58" i="2"/>
  <c r="C57" i="2"/>
  <c r="F59" i="2"/>
  <c r="G58" i="2" l="1"/>
  <c r="J58" i="2" s="1"/>
  <c r="I57" i="2"/>
  <c r="L57" i="2" s="1"/>
  <c r="H57" i="2"/>
  <c r="K57" i="2" s="1"/>
  <c r="B59" i="2"/>
  <c r="C58" i="2"/>
  <c r="F60" i="2"/>
  <c r="G59" i="2" l="1"/>
  <c r="J59" i="2" s="1"/>
  <c r="I58" i="2"/>
  <c r="L58" i="2" s="1"/>
  <c r="H58" i="2"/>
  <c r="K58" i="2" s="1"/>
  <c r="B60" i="2"/>
  <c r="C59" i="2"/>
  <c r="F61" i="2"/>
  <c r="G60" i="2" l="1"/>
  <c r="J60" i="2" s="1"/>
  <c r="I59" i="2"/>
  <c r="L59" i="2" s="1"/>
  <c r="H59" i="2"/>
  <c r="K59" i="2" s="1"/>
  <c r="B61" i="2"/>
  <c r="C60" i="2"/>
  <c r="F62" i="2"/>
  <c r="G61" i="2" l="1"/>
  <c r="J61" i="2" s="1"/>
  <c r="I60" i="2"/>
  <c r="L60" i="2" s="1"/>
  <c r="H60" i="2"/>
  <c r="K60" i="2" s="1"/>
  <c r="B62" i="2"/>
  <c r="C61" i="2"/>
  <c r="F63" i="2"/>
  <c r="G62" i="2" l="1"/>
  <c r="J62" i="2" s="1"/>
  <c r="I61" i="2"/>
  <c r="L61" i="2" s="1"/>
  <c r="H61" i="2"/>
  <c r="K61" i="2" s="1"/>
  <c r="B63" i="2"/>
  <c r="C62" i="2"/>
  <c r="F64" i="2"/>
  <c r="G63" i="2" l="1"/>
  <c r="J63" i="2" s="1"/>
  <c r="I62" i="2"/>
  <c r="L62" i="2" s="1"/>
  <c r="H62" i="2"/>
  <c r="K62" i="2" s="1"/>
  <c r="B64" i="2"/>
  <c r="C63" i="2"/>
  <c r="F65" i="2"/>
  <c r="G64" i="2" l="1"/>
  <c r="J64" i="2" s="1"/>
  <c r="I63" i="2"/>
  <c r="L63" i="2" s="1"/>
  <c r="H63" i="2"/>
  <c r="K63" i="2" s="1"/>
  <c r="B65" i="2"/>
  <c r="C64" i="2"/>
  <c r="F66" i="2"/>
  <c r="G65" i="2" l="1"/>
  <c r="J65" i="2" s="1"/>
  <c r="I64" i="2"/>
  <c r="L64" i="2" s="1"/>
  <c r="H64" i="2"/>
  <c r="K64" i="2" s="1"/>
  <c r="B66" i="2"/>
  <c r="C65" i="2"/>
  <c r="F67" i="2"/>
  <c r="G66" i="2" l="1"/>
  <c r="J66" i="2" s="1"/>
  <c r="I65" i="2"/>
  <c r="L65" i="2" s="1"/>
  <c r="H65" i="2"/>
  <c r="K65" i="2" s="1"/>
  <c r="B67" i="2"/>
  <c r="C66" i="2"/>
  <c r="F68" i="2"/>
  <c r="G67" i="2" l="1"/>
  <c r="J67" i="2" s="1"/>
  <c r="I66" i="2"/>
  <c r="L66" i="2" s="1"/>
  <c r="H66" i="2"/>
  <c r="K66" i="2" s="1"/>
  <c r="B68" i="2"/>
  <c r="C67" i="2"/>
  <c r="F69" i="2"/>
  <c r="G68" i="2" l="1"/>
  <c r="J68" i="2" s="1"/>
  <c r="I67" i="2"/>
  <c r="L67" i="2" s="1"/>
  <c r="H67" i="2"/>
  <c r="K67" i="2" s="1"/>
  <c r="B69" i="2"/>
  <c r="C68" i="2"/>
  <c r="F70" i="2"/>
  <c r="G69" i="2" l="1"/>
  <c r="J69" i="2" s="1"/>
  <c r="I68" i="2"/>
  <c r="L68" i="2" s="1"/>
  <c r="H68" i="2"/>
  <c r="K68" i="2" s="1"/>
  <c r="B70" i="2"/>
  <c r="C69" i="2"/>
  <c r="F71" i="2"/>
  <c r="G70" i="2" l="1"/>
  <c r="J70" i="2" s="1"/>
  <c r="I69" i="2"/>
  <c r="L69" i="2" s="1"/>
  <c r="H69" i="2"/>
  <c r="K69" i="2" s="1"/>
  <c r="B71" i="2"/>
  <c r="C70" i="2"/>
  <c r="F72" i="2"/>
  <c r="G71" i="2" l="1"/>
  <c r="J71" i="2" s="1"/>
  <c r="I70" i="2"/>
  <c r="L70" i="2" s="1"/>
  <c r="H70" i="2"/>
  <c r="K70" i="2" s="1"/>
  <c r="B72" i="2"/>
  <c r="C71" i="2"/>
  <c r="F73" i="2"/>
  <c r="G72" i="2" l="1"/>
  <c r="J72" i="2" s="1"/>
  <c r="I71" i="2"/>
  <c r="L71" i="2" s="1"/>
  <c r="H71" i="2"/>
  <c r="K71" i="2" s="1"/>
  <c r="B73" i="2"/>
  <c r="C72" i="2"/>
  <c r="F74" i="2"/>
  <c r="G73" i="2" l="1"/>
  <c r="J73" i="2" s="1"/>
  <c r="I72" i="2"/>
  <c r="L72" i="2" s="1"/>
  <c r="H72" i="2"/>
  <c r="K72" i="2" s="1"/>
  <c r="B74" i="2"/>
  <c r="C74" i="2" s="1"/>
  <c r="C73" i="2"/>
  <c r="G74" i="2" l="1"/>
  <c r="J74" i="2" s="1"/>
  <c r="I73" i="2"/>
  <c r="L73" i="2" s="1"/>
  <c r="H73" i="2"/>
  <c r="K73" i="2" l="1"/>
  <c r="I74" i="2"/>
  <c r="L74" i="2" s="1"/>
  <c r="H74" i="2"/>
  <c r="K74" i="2" s="1"/>
  <c r="B9" i="1"/>
  <c r="B4" i="1" l="1"/>
  <c r="B21" i="1" s="1"/>
  <c r="B26" i="1" l="1"/>
  <c r="B22" i="1"/>
  <c r="B25" i="1"/>
  <c r="B17" i="1"/>
  <c r="B5" i="1"/>
  <c r="B6" i="1" s="1"/>
  <c r="B8" i="1" s="1"/>
  <c r="B24" i="1"/>
  <c r="B16" i="1"/>
  <c r="B7" i="1"/>
  <c r="B13" i="1"/>
  <c r="B14" i="1" s="1"/>
  <c r="B15" i="1" l="1"/>
  <c r="B23" i="1"/>
</calcChain>
</file>

<file path=xl/sharedStrings.xml><?xml version="1.0" encoding="utf-8"?>
<sst xmlns="http://schemas.openxmlformats.org/spreadsheetml/2006/main" count="141" uniqueCount="110">
  <si>
    <t>基础数据</t>
  </si>
  <si>
    <t>电费总计</t>
  </si>
  <si>
    <t xml:space="preserve">最多可挖天数(利润&gt;0) </t>
  </si>
  <si>
    <t>方式一：挖出的比特币立即出售</t>
  </si>
  <si>
    <t>计算结果</t>
  </si>
  <si>
    <t>说明</t>
  </si>
  <si>
    <t>总计可挖比特币</t>
  </si>
  <si>
    <t>在挖出的比特币不够电费之前所有可以挖出的比特币</t>
  </si>
  <si>
    <t>利润总计(CNY)</t>
  </si>
  <si>
    <t>每期都将挖出的比特币全部出售换取人民币</t>
  </si>
  <si>
    <t>利润总计(BTC)</t>
  </si>
  <si>
    <t>投资回报率(ROI)</t>
  </si>
  <si>
    <t>回本周期</t>
  </si>
  <si>
    <t>全生命周期比特币均价</t>
  </si>
  <si>
    <t>难度</t>
  </si>
  <si>
    <t>数值</t>
  </si>
  <si>
    <t>每周期比特币价格涨幅</t>
  </si>
  <si>
    <t>每周期难度增长预测</t>
  </si>
  <si>
    <t>当前日期</t>
  </si>
  <si>
    <t>当前比特币价格</t>
  </si>
  <si>
    <t>当前难度 (2017-5-28)</t>
  </si>
  <si>
    <t>单台矿机算力(按照S9计算）</t>
  </si>
  <si>
    <t>TH/s</t>
  </si>
  <si>
    <t>所有矿机算力</t>
  </si>
  <si>
    <t>每T价格</t>
  </si>
  <si>
    <t>每台电源价格</t>
  </si>
  <si>
    <t>矿机数量</t>
  </si>
  <si>
    <t>矿池费率</t>
  </si>
  <si>
    <t>矿机成本</t>
  </si>
  <si>
    <t>上架周期</t>
  </si>
  <si>
    <t>当前每T每天可挖比特币</t>
  </si>
  <si>
    <t>BTC</t>
  </si>
  <si>
    <t>矿机成本当天可购比特币数量</t>
  </si>
  <si>
    <t>内容</t>
  </si>
  <si>
    <t>单位</t>
  </si>
  <si>
    <t>元</t>
  </si>
  <si>
    <t>台</t>
  </si>
  <si>
    <t>单台矿机功耗</t>
  </si>
  <si>
    <t>kW</t>
  </si>
  <si>
    <t>电费价格</t>
  </si>
  <si>
    <t>元/kWh</t>
  </si>
  <si>
    <t>天</t>
  </si>
  <si>
    <t>每周期
BTC收入</t>
  </si>
  <si>
    <t>距开始
天数</t>
  </si>
  <si>
    <t>挖矿
日期</t>
  </si>
  <si>
    <t>难度
周期</t>
  </si>
  <si>
    <t>预估当期
比特币价格</t>
  </si>
  <si>
    <t>结果</t>
  </si>
  <si>
    <t xml:space="preserve">内容 </t>
  </si>
  <si>
    <t>超过此日期之后挖出的比特币就不够电费了</t>
  </si>
  <si>
    <t>可挖周期数</t>
  </si>
  <si>
    <t>每期只卖部分部分比特币交电费，剩余囤币</t>
  </si>
  <si>
    <t>收入总计(CNY)</t>
  </si>
  <si>
    <t>收入总计(BTC)</t>
  </si>
  <si>
    <t>每周期为13天</t>
  </si>
  <si>
    <t>每周期增长3%意味着一年价格增长为现在2倍</t>
  </si>
  <si>
    <t>每周期增长4%意味着一年后算力增长为现在3倍，达到惊人的12000P左右，这需要额外有至少约60亿矿机投入</t>
  </si>
  <si>
    <t>矿机每周期折旧率</t>
  </si>
  <si>
    <t>备注</t>
  </si>
  <si>
    <t>比官网价格高，考虑到运输、上架等成本</t>
  </si>
  <si>
    <t>考虑矿机全款预订及上架时间</t>
  </si>
  <si>
    <t>按照f2pool PPS费率计算</t>
  </si>
  <si>
    <t>指2017/05/28当天</t>
  </si>
  <si>
    <t>每周期电费</t>
  </si>
  <si>
    <t>第一年末残值42%,第二年末残值18%</t>
  </si>
  <si>
    <t>矿机折旧(元)</t>
  </si>
  <si>
    <t>净现值(NPV)</t>
  </si>
  <si>
    <t>内部收益率(IRR)</t>
  </si>
  <si>
    <t>相当于年贴现率10%。可表示整个投资的通货膨胀率或利率。</t>
  </si>
  <si>
    <t>每周期贴现率(13天)</t>
  </si>
  <si>
    <t>最多可挖到日期</t>
  </si>
  <si>
    <t>方式二：每次只出售部分比特币交电费，剩下的比特币囤着不卖(相当于按照比特币计算投资和收益)</t>
  </si>
  <si>
    <t>现金流
（RMB,卖币）</t>
  </si>
  <si>
    <t>现金流
（BTC,囤币）</t>
  </si>
  <si>
    <t>比特币</t>
  </si>
  <si>
    <t>难度历史增长情况</t>
  </si>
  <si>
    <t>序号</t>
  </si>
  <si>
    <t>区块高度</t>
  </si>
  <si>
    <t>区块时间</t>
  </si>
  <si>
    <t>增长率</t>
  </si>
  <si>
    <t>出块时间(Min)</t>
  </si>
  <si>
    <t>平均算力(TH/s)</t>
  </si>
  <si>
    <t>时间段</t>
  </si>
  <si>
    <t>平均难度增长率</t>
  </si>
  <si>
    <t>过去三年</t>
  </si>
  <si>
    <t>过去两年</t>
  </si>
  <si>
    <t>过去一年</t>
  </si>
  <si>
    <t>过去六个月</t>
  </si>
  <si>
    <t>过去三个月</t>
  </si>
  <si>
    <t>过去一个月</t>
  </si>
  <si>
    <t>平均难度周期天数</t>
  </si>
  <si>
    <t>平均每年周期数</t>
  </si>
  <si>
    <t>每台矿机价格(含电源与上架费用)</t>
  </si>
  <si>
    <t>按照标称功率上限计算，120W/T</t>
  </si>
  <si>
    <t>13天</t>
  </si>
  <si>
    <t>实际回报率更高，因为每个周期都有收益,且前高后低</t>
  </si>
  <si>
    <t>比特币价格对收益影响</t>
  </si>
  <si>
    <t>每年增长率</t>
  </si>
  <si>
    <t>一年后价格</t>
  </si>
  <si>
    <t>难度增长对收益影响</t>
  </si>
  <si>
    <t>一年后总算力(P)</t>
  </si>
  <si>
    <t>需增加投资(亿元)</t>
  </si>
  <si>
    <t>难度增长率</t>
  </si>
  <si>
    <t>回本周期DPP</t>
  </si>
  <si>
    <t>现金流
（BTC,从不卖币）</t>
  </si>
  <si>
    <t>累计收益
（RMB，卖币）</t>
  </si>
  <si>
    <t>累计收益
（BTC,囤币）</t>
  </si>
  <si>
    <t>投入成本
（BTC,囤币）</t>
  </si>
  <si>
    <t>投入成本
（RMB,卖币）</t>
  </si>
  <si>
    <t>价格增长率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</si>
</sst>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&quot; &quot;;\(0.0000\)"/>
    <numFmt numFmtId="165" formatCode="&quot; &quot;* #,##0.00&quot; &quot;;&quot; &quot;* &quot;-&quot;#,##0.00&quot; &quot;;&quot; &quot;* &quot;-&quot;??&quot; &quot;"/>
    <numFmt numFmtId="166" formatCode="0.0%"/>
  </numFmts>
  <fonts count="5" x14ac:knownFonts="1">
    <font>
      <sz val="11"/>
      <color indexed="8"/>
      <name val="Calibri"/>
    </font>
    <font>
      <b/>
      <sz val="11"/>
      <color indexed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/>
        <bgColor theme="4"/>
      </patternFill>
    </fill>
  </fills>
  <borders count="27"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theme="4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/>
      <diagonal/>
    </border>
    <border>
      <left style="thin">
        <color indexed="10"/>
      </left>
      <right style="thin">
        <color theme="4"/>
      </right>
      <top/>
      <bottom/>
      <diagonal/>
    </border>
    <border>
      <left style="thin">
        <color indexed="9"/>
      </left>
      <right style="thin">
        <color indexed="10"/>
      </right>
      <top style="thin">
        <color indexed="10"/>
      </top>
      <bottom/>
      <diagonal/>
    </border>
    <border>
      <left style="thin">
        <color theme="4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 applyFont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0" xfId="0" applyNumberFormat="1" applyFont="1" applyAlignment="1"/>
    <xf numFmtId="49" fontId="1" fillId="2" borderId="8" xfId="0" applyNumberFormat="1" applyFont="1" applyFill="1" applyBorder="1" applyAlignment="1">
      <alignment vertical="top" wrapText="1"/>
    </xf>
    <xf numFmtId="0" fontId="0" fillId="3" borderId="9" xfId="0" applyNumberFormat="1" applyFont="1" applyFill="1" applyBorder="1" applyAlignment="1">
      <alignment vertical="top" wrapText="1"/>
    </xf>
    <xf numFmtId="3" fontId="0" fillId="3" borderId="10" xfId="0" applyNumberFormat="1" applyFont="1" applyFill="1" applyBorder="1" applyAlignment="1">
      <alignment vertical="top" wrapText="1"/>
    </xf>
    <xf numFmtId="164" fontId="0" fillId="3" borderId="10" xfId="0" applyNumberFormat="1" applyFont="1" applyFill="1" applyBorder="1" applyAlignment="1">
      <alignment vertical="top" wrapText="1"/>
    </xf>
    <xf numFmtId="165" fontId="0" fillId="3" borderId="10" xfId="0" applyNumberFormat="1" applyFont="1" applyFill="1" applyBorder="1" applyAlignment="1">
      <alignment vertical="top" wrapText="1"/>
    </xf>
    <xf numFmtId="3" fontId="0" fillId="3" borderId="11" xfId="0" applyNumberFormat="1" applyFont="1" applyFill="1" applyBorder="1" applyAlignment="1">
      <alignment vertical="top" wrapText="1"/>
    </xf>
    <xf numFmtId="164" fontId="0" fillId="3" borderId="11" xfId="0" applyNumberFormat="1" applyFont="1" applyFill="1" applyBorder="1" applyAlignment="1">
      <alignment vertical="top" wrapText="1"/>
    </xf>
    <xf numFmtId="165" fontId="0" fillId="3" borderId="11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49" fontId="0" fillId="0" borderId="10" xfId="0" applyNumberFormat="1" applyFont="1" applyBorder="1" applyAlignment="1"/>
    <xf numFmtId="9" fontId="0" fillId="0" borderId="13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0" fontId="4" fillId="2" borderId="8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vertical="top" wrapText="1"/>
    </xf>
    <xf numFmtId="49" fontId="4" fillId="2" borderId="7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0" fontId="2" fillId="0" borderId="22" xfId="0" applyNumberFormat="1" applyFont="1" applyFill="1" applyBorder="1" applyAlignment="1"/>
    <xf numFmtId="1" fontId="2" fillId="0" borderId="15" xfId="0" applyNumberFormat="1" applyFont="1" applyFill="1" applyBorder="1" applyAlignment="1"/>
    <xf numFmtId="0" fontId="2" fillId="0" borderId="20" xfId="0" applyFont="1" applyFill="1" applyBorder="1" applyAlignment="1"/>
    <xf numFmtId="4" fontId="0" fillId="0" borderId="2" xfId="0" applyNumberFormat="1" applyFont="1" applyFill="1" applyBorder="1" applyAlignment="1"/>
    <xf numFmtId="49" fontId="0" fillId="0" borderId="3" xfId="0" applyNumberFormat="1" applyFont="1" applyFill="1" applyBorder="1" applyAlignment="1"/>
    <xf numFmtId="49" fontId="2" fillId="0" borderId="16" xfId="0" applyNumberFormat="1" applyFont="1" applyFill="1" applyBorder="1" applyAlignment="1"/>
    <xf numFmtId="4" fontId="2" fillId="0" borderId="15" xfId="0" applyNumberFormat="1" applyFont="1" applyFill="1" applyBorder="1" applyAlignment="1"/>
    <xf numFmtId="49" fontId="3" fillId="0" borderId="25" xfId="0" applyNumberFormat="1" applyFont="1" applyFill="1" applyBorder="1" applyAlignment="1"/>
    <xf numFmtId="1" fontId="0" fillId="0" borderId="19" xfId="0" applyNumberFormat="1" applyFont="1" applyFill="1" applyBorder="1" applyAlignment="1"/>
    <xf numFmtId="0" fontId="3" fillId="0" borderId="23" xfId="0" applyFont="1" applyFill="1" applyBorder="1" applyAlignment="1"/>
    <xf numFmtId="4" fontId="3" fillId="0" borderId="2" xfId="0" applyNumberFormat="1" applyFont="1" applyFill="1" applyBorder="1" applyAlignment="1"/>
    <xf numFmtId="49" fontId="0" fillId="0" borderId="4" xfId="0" applyNumberFormat="1" applyFont="1" applyFill="1" applyBorder="1" applyAlignment="1"/>
    <xf numFmtId="10" fontId="0" fillId="0" borderId="2" xfId="0" applyNumberFormat="1" applyFont="1" applyFill="1" applyBorder="1" applyAlignment="1"/>
    <xf numFmtId="4" fontId="0" fillId="0" borderId="19" xfId="0" applyNumberFormat="1" applyFont="1" applyFill="1" applyBorder="1" applyAlignment="1"/>
    <xf numFmtId="0" fontId="3" fillId="0" borderId="15" xfId="0" applyFont="1" applyFill="1" applyBorder="1" applyAlignment="1"/>
    <xf numFmtId="4" fontId="2" fillId="0" borderId="2" xfId="0" applyNumberFormat="1" applyFont="1" applyFill="1" applyBorder="1" applyAlignment="1"/>
    <xf numFmtId="49" fontId="3" fillId="0" borderId="3" xfId="0" applyNumberFormat="1" applyFont="1" applyFill="1" applyBorder="1" applyAlignment="1"/>
    <xf numFmtId="49" fontId="2" fillId="0" borderId="4" xfId="0" applyNumberFormat="1" applyFont="1" applyFill="1" applyBorder="1" applyAlignment="1"/>
    <xf numFmtId="10" fontId="2" fillId="0" borderId="2" xfId="0" applyNumberFormat="1" applyFont="1" applyFill="1" applyBorder="1" applyAlignment="1"/>
    <xf numFmtId="49" fontId="3" fillId="0" borderId="5" xfId="0" applyNumberFormat="1" applyFont="1" applyFill="1" applyBorder="1" applyAlignment="1"/>
    <xf numFmtId="49" fontId="0" fillId="0" borderId="25" xfId="0" applyNumberFormat="1" applyFont="1" applyFill="1" applyBorder="1" applyAlignment="1"/>
    <xf numFmtId="0" fontId="0" fillId="0" borderId="23" xfId="0" applyFont="1" applyFill="1" applyBorder="1" applyAlignment="1"/>
    <xf numFmtId="0" fontId="3" fillId="0" borderId="5" xfId="0" applyFont="1" applyFill="1" applyBorder="1" applyAlignment="1"/>
    <xf numFmtId="9" fontId="3" fillId="0" borderId="13" xfId="0" applyNumberFormat="1" applyFont="1" applyBorder="1" applyAlignment="1"/>
    <xf numFmtId="0" fontId="3" fillId="0" borderId="0" xfId="0" applyNumberFormat="1" applyFont="1" applyAlignment="1"/>
    <xf numFmtId="49" fontId="4" fillId="4" borderId="26" xfId="0" applyNumberFormat="1" applyFont="1" applyFill="1" applyBorder="1" applyAlignment="1">
      <alignment horizontal="center"/>
    </xf>
    <xf numFmtId="49" fontId="4" fillId="4" borderId="15" xfId="0" applyNumberFormat="1" applyFont="1" applyFill="1" applyBorder="1" applyAlignment="1">
      <alignment horizontal="center"/>
    </xf>
    <xf numFmtId="49" fontId="4" fillId="4" borderId="19" xfId="0" applyNumberFormat="1" applyFont="1" applyFill="1" applyBorder="1" applyAlignment="1">
      <alignment horizontal="center"/>
    </xf>
    <xf numFmtId="49" fontId="3" fillId="0" borderId="10" xfId="0" applyNumberFormat="1" applyFont="1" applyBorder="1" applyAlignment="1"/>
    <xf numFmtId="3" fontId="0" fillId="0" borderId="0" xfId="0" applyNumberFormat="1" applyFont="1" applyAlignment="1"/>
    <xf numFmtId="14" fontId="0" fillId="0" borderId="0" xfId="0" applyNumberFormat="1" applyFont="1" applyAlignment="1"/>
    <xf numFmtId="10" fontId="0" fillId="0" borderId="0" xfId="0" applyNumberFormat="1" applyFont="1" applyAlignment="1"/>
    <xf numFmtId="4" fontId="2" fillId="0" borderId="2" xfId="0" applyNumberFormat="1" applyFont="1" applyBorder="1" applyAlignment="1"/>
    <xf numFmtId="1" fontId="0" fillId="0" borderId="13" xfId="0" applyNumberFormat="1" applyFont="1" applyBorder="1" applyAlignment="1"/>
    <xf numFmtId="49" fontId="2" fillId="0" borderId="2" xfId="0" applyNumberFormat="1" applyFont="1" applyBorder="1" applyAlignment="1"/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NumberFormat="1" applyFont="1" applyBorder="1" applyAlignment="1"/>
    <xf numFmtId="49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3" borderId="10" xfId="0" applyNumberFormat="1" applyFont="1" applyFill="1" applyBorder="1" applyAlignment="1">
      <alignment vertical="top" wrapText="1"/>
    </xf>
    <xf numFmtId="14" fontId="0" fillId="3" borderId="11" xfId="0" applyNumberFormat="1" applyFont="1" applyFill="1" applyBorder="1" applyAlignment="1">
      <alignment vertical="top" wrapText="1"/>
    </xf>
    <xf numFmtId="9" fontId="0" fillId="0" borderId="0" xfId="0" applyNumberFormat="1" applyFont="1" applyAlignment="1"/>
    <xf numFmtId="4" fontId="0" fillId="0" borderId="0" xfId="0" applyNumberFormat="1" applyFont="1" applyAlignment="1"/>
    <xf numFmtId="0" fontId="3" fillId="0" borderId="0" xfId="0" applyFont="1" applyAlignment="1"/>
    <xf numFmtId="3" fontId="3" fillId="0" borderId="0" xfId="0" applyNumberFormat="1" applyFont="1" applyAlignment="1"/>
    <xf numFmtId="49" fontId="1" fillId="2" borderId="14" xfId="0" applyNumberFormat="1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/>
    <xf numFmtId="0" fontId="0" fillId="0" borderId="3" xfId="0" applyFont="1" applyBorder="1" applyAlignment="1"/>
    <xf numFmtId="49" fontId="1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FF0000"/>
      </font>
    </dxf>
    <dxf>
      <font>
        <color rgb="FF006100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9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top style="thin">
          <color indexed="10"/>
        </top>
        <bottom style="thin">
          <color indexed="10"/>
        </bottom>
      </border>
    </dxf>
    <dxf>
      <border outline="0"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top style="thin">
          <color indexed="10"/>
        </top>
      </border>
    </dxf>
    <dxf>
      <border outline="0">
        <top style="thin">
          <color indexed="10"/>
        </top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/>
        </left>
        <top style="thin">
          <color indexed="10"/>
        </top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1"/>
        <name val="Calibri"/>
        <scheme val="none"/>
      </font>
      <fill>
        <patternFill patternType="solid">
          <fgColor indexed="64"/>
          <bgColor indexed="1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5B3D7"/>
      <rgbColor rgb="FFFFFFFF"/>
      <rgbColor rgb="FF4F81BD"/>
      <rgbColor rgb="FFDBE5F1"/>
      <rgbColor rgb="00000000"/>
      <rgbColor rgb="FFFFC7CE"/>
      <rgbColor rgb="FF9C0006"/>
      <rgbColor rgb="FFC6EFCE"/>
      <rgbColor rgb="FF006100"/>
      <rgbColor rgb="FFFF0000"/>
      <rgbColor rgb="E5AFE489"/>
      <rgbColor rgb="E5FF9781"/>
      <rgbColor rgb="FFE6E9EE"/>
      <rgbColor rgb="FF333333"/>
      <rgbColor rgb="FFD8D8D8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难度增长曲线</c:v>
          </c:tx>
          <c:marker>
            <c:symbol val="none"/>
          </c:marker>
          <c:cat>
            <c:numRef>
              <c:f>难度统计!$C$3:$C$234</c:f>
              <c:numCache>
                <c:formatCode>m/d/yyyy</c:formatCode>
                <c:ptCount val="232"/>
                <c:pt idx="0">
                  <c:v>42878</c:v>
                </c:pt>
                <c:pt idx="1">
                  <c:v>42865</c:v>
                </c:pt>
                <c:pt idx="2">
                  <c:v>42852</c:v>
                </c:pt>
                <c:pt idx="3">
                  <c:v>42838</c:v>
                </c:pt>
                <c:pt idx="4">
                  <c:v>42825</c:v>
                </c:pt>
                <c:pt idx="5">
                  <c:v>42811</c:v>
                </c:pt>
                <c:pt idx="6">
                  <c:v>42798</c:v>
                </c:pt>
                <c:pt idx="7">
                  <c:v>42784</c:v>
                </c:pt>
                <c:pt idx="8">
                  <c:v>42771</c:v>
                </c:pt>
                <c:pt idx="9">
                  <c:v>42758</c:v>
                </c:pt>
                <c:pt idx="10">
                  <c:v>42746</c:v>
                </c:pt>
                <c:pt idx="11">
                  <c:v>42733</c:v>
                </c:pt>
                <c:pt idx="12">
                  <c:v>42719</c:v>
                </c:pt>
                <c:pt idx="13">
                  <c:v>42706</c:v>
                </c:pt>
                <c:pt idx="14">
                  <c:v>42692</c:v>
                </c:pt>
                <c:pt idx="15">
                  <c:v>42680</c:v>
                </c:pt>
                <c:pt idx="16">
                  <c:v>42666</c:v>
                </c:pt>
                <c:pt idx="17">
                  <c:v>42651</c:v>
                </c:pt>
                <c:pt idx="18">
                  <c:v>42638</c:v>
                </c:pt>
                <c:pt idx="19">
                  <c:v>42625</c:v>
                </c:pt>
                <c:pt idx="20">
                  <c:v>42611</c:v>
                </c:pt>
                <c:pt idx="21">
                  <c:v>42598</c:v>
                </c:pt>
                <c:pt idx="22">
                  <c:v>42585</c:v>
                </c:pt>
                <c:pt idx="23">
                  <c:v>42570</c:v>
                </c:pt>
                <c:pt idx="24">
                  <c:v>42556</c:v>
                </c:pt>
                <c:pt idx="25">
                  <c:v>42542</c:v>
                </c:pt>
                <c:pt idx="26">
                  <c:v>42529</c:v>
                </c:pt>
                <c:pt idx="27">
                  <c:v>42515</c:v>
                </c:pt>
                <c:pt idx="28">
                  <c:v>42501</c:v>
                </c:pt>
                <c:pt idx="29">
                  <c:v>42488</c:v>
                </c:pt>
                <c:pt idx="30">
                  <c:v>42474</c:v>
                </c:pt>
                <c:pt idx="31">
                  <c:v>42461</c:v>
                </c:pt>
                <c:pt idx="32">
                  <c:v>42447</c:v>
                </c:pt>
                <c:pt idx="33">
                  <c:v>42434</c:v>
                </c:pt>
                <c:pt idx="34">
                  <c:v>42419</c:v>
                </c:pt>
                <c:pt idx="35">
                  <c:v>42407</c:v>
                </c:pt>
                <c:pt idx="36">
                  <c:v>42395</c:v>
                </c:pt>
                <c:pt idx="37">
                  <c:v>42382</c:v>
                </c:pt>
                <c:pt idx="38">
                  <c:v>42369</c:v>
                </c:pt>
                <c:pt idx="39">
                  <c:v>42357</c:v>
                </c:pt>
                <c:pt idx="40">
                  <c:v>42345</c:v>
                </c:pt>
                <c:pt idx="41">
                  <c:v>42332</c:v>
                </c:pt>
                <c:pt idx="42">
                  <c:v>42319</c:v>
                </c:pt>
                <c:pt idx="43">
                  <c:v>42306</c:v>
                </c:pt>
                <c:pt idx="44">
                  <c:v>42292</c:v>
                </c:pt>
                <c:pt idx="45">
                  <c:v>42278</c:v>
                </c:pt>
                <c:pt idx="46">
                  <c:v>42265</c:v>
                </c:pt>
                <c:pt idx="47">
                  <c:v>42251</c:v>
                </c:pt>
                <c:pt idx="48">
                  <c:v>42238</c:v>
                </c:pt>
                <c:pt idx="49">
                  <c:v>42224</c:v>
                </c:pt>
                <c:pt idx="50">
                  <c:v>42210</c:v>
                </c:pt>
                <c:pt idx="51">
                  <c:v>42197</c:v>
                </c:pt>
                <c:pt idx="52">
                  <c:v>42183</c:v>
                </c:pt>
                <c:pt idx="53">
                  <c:v>42169</c:v>
                </c:pt>
                <c:pt idx="54">
                  <c:v>42156</c:v>
                </c:pt>
                <c:pt idx="55">
                  <c:v>42141</c:v>
                </c:pt>
                <c:pt idx="56">
                  <c:v>42128</c:v>
                </c:pt>
                <c:pt idx="57">
                  <c:v>42114</c:v>
                </c:pt>
                <c:pt idx="58">
                  <c:v>42099</c:v>
                </c:pt>
                <c:pt idx="59">
                  <c:v>42086</c:v>
                </c:pt>
                <c:pt idx="60">
                  <c:v>42072</c:v>
                </c:pt>
                <c:pt idx="61">
                  <c:v>42058</c:v>
                </c:pt>
                <c:pt idx="62">
                  <c:v>42044</c:v>
                </c:pt>
                <c:pt idx="63">
                  <c:v>42031</c:v>
                </c:pt>
                <c:pt idx="64">
                  <c:v>42017</c:v>
                </c:pt>
                <c:pt idx="65">
                  <c:v>42004</c:v>
                </c:pt>
                <c:pt idx="66">
                  <c:v>41990</c:v>
                </c:pt>
                <c:pt idx="67">
                  <c:v>41976</c:v>
                </c:pt>
                <c:pt idx="68">
                  <c:v>41962</c:v>
                </c:pt>
                <c:pt idx="69">
                  <c:v>41948</c:v>
                </c:pt>
                <c:pt idx="70">
                  <c:v>41935</c:v>
                </c:pt>
                <c:pt idx="71">
                  <c:v>41922</c:v>
                </c:pt>
                <c:pt idx="72">
                  <c:v>41908</c:v>
                </c:pt>
                <c:pt idx="73">
                  <c:v>41896</c:v>
                </c:pt>
                <c:pt idx="74">
                  <c:v>41883</c:v>
                </c:pt>
                <c:pt idx="75">
                  <c:v>41871</c:v>
                </c:pt>
                <c:pt idx="76">
                  <c:v>41859</c:v>
                </c:pt>
                <c:pt idx="77">
                  <c:v>41846</c:v>
                </c:pt>
                <c:pt idx="78">
                  <c:v>41833</c:v>
                </c:pt>
                <c:pt idx="79">
                  <c:v>41819</c:v>
                </c:pt>
                <c:pt idx="80">
                  <c:v>41808</c:v>
                </c:pt>
                <c:pt idx="81">
                  <c:v>41796</c:v>
                </c:pt>
                <c:pt idx="82">
                  <c:v>41783</c:v>
                </c:pt>
                <c:pt idx="83">
                  <c:v>41771</c:v>
                </c:pt>
                <c:pt idx="84">
                  <c:v>41759</c:v>
                </c:pt>
                <c:pt idx="85">
                  <c:v>41747</c:v>
                </c:pt>
                <c:pt idx="86">
                  <c:v>41734</c:v>
                </c:pt>
                <c:pt idx="87">
                  <c:v>41723</c:v>
                </c:pt>
                <c:pt idx="88">
                  <c:v>41711</c:v>
                </c:pt>
                <c:pt idx="89">
                  <c:v>41698</c:v>
                </c:pt>
                <c:pt idx="90">
                  <c:v>41687</c:v>
                </c:pt>
                <c:pt idx="91">
                  <c:v>41675</c:v>
                </c:pt>
                <c:pt idx="92">
                  <c:v>41663</c:v>
                </c:pt>
                <c:pt idx="93">
                  <c:v>41652</c:v>
                </c:pt>
                <c:pt idx="94">
                  <c:v>41641</c:v>
                </c:pt>
                <c:pt idx="95">
                  <c:v>41629</c:v>
                </c:pt>
                <c:pt idx="96">
                  <c:v>41618</c:v>
                </c:pt>
                <c:pt idx="97">
                  <c:v>41608</c:v>
                </c:pt>
                <c:pt idx="98">
                  <c:v>41595</c:v>
                </c:pt>
                <c:pt idx="99">
                  <c:v>41584</c:v>
                </c:pt>
                <c:pt idx="100">
                  <c:v>41573</c:v>
                </c:pt>
                <c:pt idx="101">
                  <c:v>41563</c:v>
                </c:pt>
                <c:pt idx="102">
                  <c:v>41553</c:v>
                </c:pt>
                <c:pt idx="103">
                  <c:v>41542</c:v>
                </c:pt>
                <c:pt idx="104">
                  <c:v>41532</c:v>
                </c:pt>
                <c:pt idx="105">
                  <c:v>41521</c:v>
                </c:pt>
                <c:pt idx="106">
                  <c:v>41510</c:v>
                </c:pt>
                <c:pt idx="107">
                  <c:v>41500</c:v>
                </c:pt>
                <c:pt idx="108">
                  <c:v>41489</c:v>
                </c:pt>
                <c:pt idx="109">
                  <c:v>41478</c:v>
                </c:pt>
                <c:pt idx="110">
                  <c:v>41466</c:v>
                </c:pt>
                <c:pt idx="111">
                  <c:v>41454</c:v>
                </c:pt>
                <c:pt idx="112">
                  <c:v>41442</c:v>
                </c:pt>
                <c:pt idx="113">
                  <c:v>41430</c:v>
                </c:pt>
                <c:pt idx="114">
                  <c:v>41420</c:v>
                </c:pt>
                <c:pt idx="115">
                  <c:v>41407</c:v>
                </c:pt>
                <c:pt idx="116">
                  <c:v>41394</c:v>
                </c:pt>
                <c:pt idx="117">
                  <c:v>41382</c:v>
                </c:pt>
                <c:pt idx="118">
                  <c:v>41370</c:v>
                </c:pt>
                <c:pt idx="119">
                  <c:v>41357</c:v>
                </c:pt>
                <c:pt idx="120">
                  <c:v>41347</c:v>
                </c:pt>
                <c:pt idx="121">
                  <c:v>41335</c:v>
                </c:pt>
                <c:pt idx="122">
                  <c:v>41323</c:v>
                </c:pt>
                <c:pt idx="123">
                  <c:v>41310</c:v>
                </c:pt>
                <c:pt idx="124">
                  <c:v>41298</c:v>
                </c:pt>
                <c:pt idx="125">
                  <c:v>41282</c:v>
                </c:pt>
                <c:pt idx="126">
                  <c:v>41269</c:v>
                </c:pt>
                <c:pt idx="127">
                  <c:v>41254</c:v>
                </c:pt>
                <c:pt idx="128">
                  <c:v>41239</c:v>
                </c:pt>
                <c:pt idx="129">
                  <c:v>41226</c:v>
                </c:pt>
                <c:pt idx="130">
                  <c:v>41212</c:v>
                </c:pt>
                <c:pt idx="131">
                  <c:v>41199</c:v>
                </c:pt>
                <c:pt idx="132">
                  <c:v>41185</c:v>
                </c:pt>
                <c:pt idx="133">
                  <c:v>41172</c:v>
                </c:pt>
                <c:pt idx="134">
                  <c:v>41159</c:v>
                </c:pt>
                <c:pt idx="135">
                  <c:v>41146</c:v>
                </c:pt>
                <c:pt idx="136">
                  <c:v>41133</c:v>
                </c:pt>
                <c:pt idx="137">
                  <c:v>41120</c:v>
                </c:pt>
                <c:pt idx="138">
                  <c:v>41107</c:v>
                </c:pt>
                <c:pt idx="139">
                  <c:v>41094</c:v>
                </c:pt>
                <c:pt idx="140">
                  <c:v>41081</c:v>
                </c:pt>
                <c:pt idx="141">
                  <c:v>41068</c:v>
                </c:pt>
                <c:pt idx="142">
                  <c:v>41054</c:v>
                </c:pt>
                <c:pt idx="143">
                  <c:v>41038</c:v>
                </c:pt>
                <c:pt idx="144">
                  <c:v>41026</c:v>
                </c:pt>
                <c:pt idx="145">
                  <c:v>41012</c:v>
                </c:pt>
                <c:pt idx="146">
                  <c:v>40997</c:v>
                </c:pt>
                <c:pt idx="147">
                  <c:v>40984</c:v>
                </c:pt>
                <c:pt idx="148">
                  <c:v>40970</c:v>
                </c:pt>
                <c:pt idx="149">
                  <c:v>40957</c:v>
                </c:pt>
                <c:pt idx="150">
                  <c:v>40943</c:v>
                </c:pt>
                <c:pt idx="151">
                  <c:v>40930</c:v>
                </c:pt>
                <c:pt idx="152">
                  <c:v>40917</c:v>
                </c:pt>
                <c:pt idx="153">
                  <c:v>40904</c:v>
                </c:pt>
                <c:pt idx="154">
                  <c:v>40890</c:v>
                </c:pt>
                <c:pt idx="155">
                  <c:v>40876</c:v>
                </c:pt>
                <c:pt idx="156">
                  <c:v>40861</c:v>
                </c:pt>
                <c:pt idx="157">
                  <c:v>40847</c:v>
                </c:pt>
                <c:pt idx="158">
                  <c:v>40830</c:v>
                </c:pt>
                <c:pt idx="159">
                  <c:v>40814</c:v>
                </c:pt>
                <c:pt idx="160">
                  <c:v>40799</c:v>
                </c:pt>
                <c:pt idx="161">
                  <c:v>40785</c:v>
                </c:pt>
                <c:pt idx="162">
                  <c:v>40771</c:v>
                </c:pt>
                <c:pt idx="163">
                  <c:v>40756</c:v>
                </c:pt>
                <c:pt idx="164">
                  <c:v>40744</c:v>
                </c:pt>
                <c:pt idx="165">
                  <c:v>40731</c:v>
                </c:pt>
                <c:pt idx="166">
                  <c:v>40718</c:v>
                </c:pt>
                <c:pt idx="167">
                  <c:v>40709</c:v>
                </c:pt>
                <c:pt idx="168">
                  <c:v>40700</c:v>
                </c:pt>
                <c:pt idx="169">
                  <c:v>40690</c:v>
                </c:pt>
                <c:pt idx="170">
                  <c:v>40682</c:v>
                </c:pt>
                <c:pt idx="171">
                  <c:v>40673</c:v>
                </c:pt>
                <c:pt idx="172">
                  <c:v>40663</c:v>
                </c:pt>
                <c:pt idx="173">
                  <c:v>40651</c:v>
                </c:pt>
                <c:pt idx="174">
                  <c:v>40639</c:v>
                </c:pt>
                <c:pt idx="175">
                  <c:v>40627</c:v>
                </c:pt>
                <c:pt idx="176">
                  <c:v>40611</c:v>
                </c:pt>
                <c:pt idx="177">
                  <c:v>40601</c:v>
                </c:pt>
                <c:pt idx="178">
                  <c:v>40592</c:v>
                </c:pt>
                <c:pt idx="179">
                  <c:v>40582</c:v>
                </c:pt>
                <c:pt idx="180">
                  <c:v>40570</c:v>
                </c:pt>
                <c:pt idx="181">
                  <c:v>40558</c:v>
                </c:pt>
                <c:pt idx="182">
                  <c:v>40546</c:v>
                </c:pt>
                <c:pt idx="183">
                  <c:v>40534</c:v>
                </c:pt>
                <c:pt idx="184">
                  <c:v>40522</c:v>
                </c:pt>
                <c:pt idx="185">
                  <c:v>40513</c:v>
                </c:pt>
                <c:pt idx="186">
                  <c:v>40501</c:v>
                </c:pt>
                <c:pt idx="187">
                  <c:v>40491</c:v>
                </c:pt>
                <c:pt idx="188">
                  <c:v>40482</c:v>
                </c:pt>
                <c:pt idx="189">
                  <c:v>40472</c:v>
                </c:pt>
                <c:pt idx="190">
                  <c:v>40463</c:v>
                </c:pt>
                <c:pt idx="191">
                  <c:v>40450</c:v>
                </c:pt>
                <c:pt idx="192">
                  <c:v>40440</c:v>
                </c:pt>
                <c:pt idx="193">
                  <c:v>40429</c:v>
                </c:pt>
                <c:pt idx="194">
                  <c:v>40417</c:v>
                </c:pt>
                <c:pt idx="195">
                  <c:v>40405</c:v>
                </c:pt>
                <c:pt idx="196">
                  <c:v>40396</c:v>
                </c:pt>
                <c:pt idx="197">
                  <c:v>40386</c:v>
                </c:pt>
                <c:pt idx="198">
                  <c:v>40376</c:v>
                </c:pt>
                <c:pt idx="199">
                  <c:v>40372</c:v>
                </c:pt>
                <c:pt idx="200">
                  <c:v>40365</c:v>
                </c:pt>
                <c:pt idx="201">
                  <c:v>40353</c:v>
                </c:pt>
                <c:pt idx="202">
                  <c:v>40341</c:v>
                </c:pt>
                <c:pt idx="203">
                  <c:v>40327</c:v>
                </c:pt>
                <c:pt idx="204">
                  <c:v>40317</c:v>
                </c:pt>
                <c:pt idx="205">
                  <c:v>40302</c:v>
                </c:pt>
                <c:pt idx="206">
                  <c:v>40290</c:v>
                </c:pt>
                <c:pt idx="207">
                  <c:v>40280</c:v>
                </c:pt>
                <c:pt idx="208">
                  <c:v>40269</c:v>
                </c:pt>
                <c:pt idx="209">
                  <c:v>40259</c:v>
                </c:pt>
                <c:pt idx="210">
                  <c:v>40245</c:v>
                </c:pt>
                <c:pt idx="211">
                  <c:v>40233</c:v>
                </c:pt>
                <c:pt idx="212">
                  <c:v>40224</c:v>
                </c:pt>
                <c:pt idx="213">
                  <c:v>40214</c:v>
                </c:pt>
                <c:pt idx="214">
                  <c:v>40203</c:v>
                </c:pt>
                <c:pt idx="215">
                  <c:v>40190</c:v>
                </c:pt>
                <c:pt idx="216">
                  <c:v>40177</c:v>
                </c:pt>
                <c:pt idx="217">
                  <c:v>40165</c:v>
                </c:pt>
                <c:pt idx="218">
                  <c:v>40145</c:v>
                </c:pt>
                <c:pt idx="219">
                  <c:v>40117</c:v>
                </c:pt>
                <c:pt idx="220">
                  <c:v>40088</c:v>
                </c:pt>
                <c:pt idx="221">
                  <c:v>40060</c:v>
                </c:pt>
                <c:pt idx="222">
                  <c:v>40019</c:v>
                </c:pt>
                <c:pt idx="223">
                  <c:v>39991</c:v>
                </c:pt>
                <c:pt idx="224">
                  <c:v>39964</c:v>
                </c:pt>
                <c:pt idx="225">
                  <c:v>39945</c:v>
                </c:pt>
                <c:pt idx="226">
                  <c:v>39928</c:v>
                </c:pt>
                <c:pt idx="227">
                  <c:v>39910</c:v>
                </c:pt>
                <c:pt idx="228">
                  <c:v>39892</c:v>
                </c:pt>
                <c:pt idx="229">
                  <c:v>39874</c:v>
                </c:pt>
                <c:pt idx="230">
                  <c:v>39857</c:v>
                </c:pt>
                <c:pt idx="231">
                  <c:v>39840</c:v>
                </c:pt>
              </c:numCache>
            </c:numRef>
          </c:cat>
          <c:val>
            <c:numRef>
              <c:f>难度统计!$G$2:$G$234</c:f>
              <c:numCache>
                <c:formatCode>General</c:formatCode>
                <c:ptCount val="233"/>
                <c:pt idx="0">
                  <c:v>0</c:v>
                </c:pt>
                <c:pt idx="1">
                  <c:v>4260000</c:v>
                </c:pt>
                <c:pt idx="2">
                  <c:v>4010000</c:v>
                </c:pt>
                <c:pt idx="3">
                  <c:v>3740000</c:v>
                </c:pt>
                <c:pt idx="4">
                  <c:v>3730000</c:v>
                </c:pt>
                <c:pt idx="5">
                  <c:v>3570000</c:v>
                </c:pt>
                <c:pt idx="6">
                  <c:v>3400000</c:v>
                </c:pt>
                <c:pt idx="7">
                  <c:v>3300000</c:v>
                </c:pt>
                <c:pt idx="8">
                  <c:v>3150000</c:v>
                </c:pt>
                <c:pt idx="9">
                  <c:v>3020000</c:v>
                </c:pt>
                <c:pt idx="10">
                  <c:v>2810000</c:v>
                </c:pt>
                <c:pt idx="11">
                  <c:v>2410000</c:v>
                </c:pt>
                <c:pt idx="12">
                  <c:v>2270000</c:v>
                </c:pt>
                <c:pt idx="13">
                  <c:v>2220000</c:v>
                </c:pt>
                <c:pt idx="14">
                  <c:v>2050000</c:v>
                </c:pt>
                <c:pt idx="15">
                  <c:v>2020000</c:v>
                </c:pt>
                <c:pt idx="16">
                  <c:v>1820000</c:v>
                </c:pt>
                <c:pt idx="17">
                  <c:v>1810000</c:v>
                </c:pt>
                <c:pt idx="18">
                  <c:v>1850000</c:v>
                </c:pt>
                <c:pt idx="19">
                  <c:v>1730000</c:v>
                </c:pt>
                <c:pt idx="20">
                  <c:v>1620000</c:v>
                </c:pt>
                <c:pt idx="21">
                  <c:v>1580000</c:v>
                </c:pt>
                <c:pt idx="22">
                  <c:v>1560000</c:v>
                </c:pt>
                <c:pt idx="23">
                  <c:v>1440000</c:v>
                </c:pt>
                <c:pt idx="24">
                  <c:v>1530000</c:v>
                </c:pt>
                <c:pt idx="25">
                  <c:v>1530000</c:v>
                </c:pt>
                <c:pt idx="26">
                  <c:v>1500000</c:v>
                </c:pt>
                <c:pt idx="27">
                  <c:v>1400000</c:v>
                </c:pt>
                <c:pt idx="28">
                  <c:v>1430000</c:v>
                </c:pt>
                <c:pt idx="29">
                  <c:v>1390000</c:v>
                </c:pt>
                <c:pt idx="30">
                  <c:v>1280000</c:v>
                </c:pt>
                <c:pt idx="31">
                  <c:v>1280000</c:v>
                </c:pt>
                <c:pt idx="32">
                  <c:v>1190000</c:v>
                </c:pt>
                <c:pt idx="33">
                  <c:v>1180000</c:v>
                </c:pt>
                <c:pt idx="34">
                  <c:v>1130000</c:v>
                </c:pt>
                <c:pt idx="35">
                  <c:v>1170000</c:v>
                </c:pt>
                <c:pt idx="36">
                  <c:v>1030000</c:v>
                </c:pt>
                <c:pt idx="37">
                  <c:v>858280</c:v>
                </c:pt>
                <c:pt idx="38">
                  <c:v>811340</c:v>
                </c:pt>
                <c:pt idx="39">
                  <c:v>742830</c:v>
                </c:pt>
                <c:pt idx="40">
                  <c:v>668450</c:v>
                </c:pt>
                <c:pt idx="41">
                  <c:v>566160</c:v>
                </c:pt>
                <c:pt idx="42">
                  <c:v>520330</c:v>
                </c:pt>
                <c:pt idx="43">
                  <c:v>471190</c:v>
                </c:pt>
                <c:pt idx="44">
                  <c:v>445260</c:v>
                </c:pt>
                <c:pt idx="45">
                  <c:v>435760</c:v>
                </c:pt>
                <c:pt idx="46">
                  <c:v>435030</c:v>
                </c:pt>
                <c:pt idx="47">
                  <c:v>424460</c:v>
                </c:pt>
                <c:pt idx="48">
                  <c:v>407480</c:v>
                </c:pt>
                <c:pt idx="49">
                  <c:v>388130</c:v>
                </c:pt>
                <c:pt idx="50">
                  <c:v>377010</c:v>
                </c:pt>
                <c:pt idx="51">
                  <c:v>374160</c:v>
                </c:pt>
                <c:pt idx="52">
                  <c:v>365280</c:v>
                </c:pt>
                <c:pt idx="53">
                  <c:v>353410</c:v>
                </c:pt>
                <c:pt idx="54">
                  <c:v>355660</c:v>
                </c:pt>
                <c:pt idx="55">
                  <c:v>340610</c:v>
                </c:pt>
                <c:pt idx="56">
                  <c:v>349280</c:v>
                </c:pt>
                <c:pt idx="57">
                  <c:v>340860</c:v>
                </c:pt>
                <c:pt idx="58">
                  <c:v>340720</c:v>
                </c:pt>
                <c:pt idx="59">
                  <c:v>353920</c:v>
                </c:pt>
                <c:pt idx="60">
                  <c:v>334350</c:v>
                </c:pt>
                <c:pt idx="61">
                  <c:v>339330</c:v>
                </c:pt>
                <c:pt idx="62">
                  <c:v>333980</c:v>
                </c:pt>
                <c:pt idx="63">
                  <c:v>318090</c:v>
                </c:pt>
                <c:pt idx="64">
                  <c:v>295400</c:v>
                </c:pt>
                <c:pt idx="65">
                  <c:v>314620</c:v>
                </c:pt>
                <c:pt idx="66">
                  <c:v>290870</c:v>
                </c:pt>
                <c:pt idx="67">
                  <c:v>282250</c:v>
                </c:pt>
                <c:pt idx="68">
                  <c:v>286350</c:v>
                </c:pt>
                <c:pt idx="69">
                  <c:v>288040</c:v>
                </c:pt>
                <c:pt idx="70">
                  <c:v>283460</c:v>
                </c:pt>
                <c:pt idx="71">
                  <c:v>257380</c:v>
                </c:pt>
                <c:pt idx="72">
                  <c:v>250560</c:v>
                </c:pt>
                <c:pt idx="73">
                  <c:v>248070</c:v>
                </c:pt>
                <c:pt idx="74">
                  <c:v>213620</c:v>
                </c:pt>
                <c:pt idx="75">
                  <c:v>196330</c:v>
                </c:pt>
                <c:pt idx="76">
                  <c:v>170590</c:v>
                </c:pt>
                <c:pt idx="77">
                  <c:v>141190</c:v>
                </c:pt>
                <c:pt idx="78">
                  <c:v>134120</c:v>
                </c:pt>
                <c:pt idx="79">
                  <c:v>123800</c:v>
                </c:pt>
                <c:pt idx="80">
                  <c:v>120390</c:v>
                </c:pt>
                <c:pt idx="81">
                  <c:v>96370</c:v>
                </c:pt>
                <c:pt idx="82">
                  <c:v>84120</c:v>
                </c:pt>
                <c:pt idx="83">
                  <c:v>74830</c:v>
                </c:pt>
                <c:pt idx="84">
                  <c:v>63370</c:v>
                </c:pt>
                <c:pt idx="85">
                  <c:v>57250</c:v>
                </c:pt>
                <c:pt idx="86">
                  <c:v>49930</c:v>
                </c:pt>
                <c:pt idx="87">
                  <c:v>43760</c:v>
                </c:pt>
                <c:pt idx="88">
                  <c:v>35830</c:v>
                </c:pt>
                <c:pt idx="89">
                  <c:v>30420</c:v>
                </c:pt>
                <c:pt idx="90">
                  <c:v>27300</c:v>
                </c:pt>
                <c:pt idx="91">
                  <c:v>22400</c:v>
                </c:pt>
                <c:pt idx="92">
                  <c:v>18730</c:v>
                </c:pt>
                <c:pt idx="93">
                  <c:v>15700</c:v>
                </c:pt>
                <c:pt idx="94">
                  <c:v>12810</c:v>
                </c:pt>
                <c:pt idx="95">
                  <c:v>10150</c:v>
                </c:pt>
                <c:pt idx="96">
                  <c:v>8440</c:v>
                </c:pt>
                <c:pt idx="97">
                  <c:v>6500</c:v>
                </c:pt>
                <c:pt idx="98">
                  <c:v>5060</c:v>
                </c:pt>
                <c:pt idx="99">
                  <c:v>4340</c:v>
                </c:pt>
                <c:pt idx="100">
                  <c:v>3650</c:v>
                </c:pt>
                <c:pt idx="101">
                  <c:v>2800</c:v>
                </c:pt>
                <c:pt idx="102">
                  <c:v>1920</c:v>
                </c:pt>
                <c:pt idx="103">
                  <c:v>1350</c:v>
                </c:pt>
                <c:pt idx="104">
                  <c:v>1060</c:v>
                </c:pt>
                <c:pt idx="105">
                  <c:v>806.1</c:v>
                </c:pt>
                <c:pt idx="106">
                  <c:v>622.1</c:v>
                </c:pt>
                <c:pt idx="107">
                  <c:v>470.12</c:v>
                </c:pt>
                <c:pt idx="108">
                  <c:v>363.63</c:v>
                </c:pt>
                <c:pt idx="109">
                  <c:v>267.62</c:v>
                </c:pt>
                <c:pt idx="110">
                  <c:v>223.48</c:v>
                </c:pt>
                <c:pt idx="111">
                  <c:v>187.28</c:v>
                </c:pt>
                <c:pt idx="112">
                  <c:v>152.63999999999999</c:v>
                </c:pt>
                <c:pt idx="113">
                  <c:v>138.4</c:v>
                </c:pt>
                <c:pt idx="114">
                  <c:v>111.64</c:v>
                </c:pt>
                <c:pt idx="115">
                  <c:v>86.98</c:v>
                </c:pt>
                <c:pt idx="116">
                  <c:v>80.069999999999993</c:v>
                </c:pt>
                <c:pt idx="117">
                  <c:v>72.06</c:v>
                </c:pt>
                <c:pt idx="118">
                  <c:v>64.22</c:v>
                </c:pt>
                <c:pt idx="119">
                  <c:v>54.84</c:v>
                </c:pt>
                <c:pt idx="120">
                  <c:v>47.89</c:v>
                </c:pt>
                <c:pt idx="121">
                  <c:v>34.69</c:v>
                </c:pt>
                <c:pt idx="122">
                  <c:v>31.26</c:v>
                </c:pt>
                <c:pt idx="123">
                  <c:v>26.13</c:v>
                </c:pt>
                <c:pt idx="124">
                  <c:v>23.44</c:v>
                </c:pt>
                <c:pt idx="125">
                  <c:v>21.24</c:v>
                </c:pt>
                <c:pt idx="126">
                  <c:v>23.22</c:v>
                </c:pt>
                <c:pt idx="127">
                  <c:v>21.33</c:v>
                </c:pt>
                <c:pt idx="128">
                  <c:v>24.12</c:v>
                </c:pt>
                <c:pt idx="129">
                  <c:v>24.61</c:v>
                </c:pt>
                <c:pt idx="130">
                  <c:v>24.1</c:v>
                </c:pt>
                <c:pt idx="131">
                  <c:v>23.58</c:v>
                </c:pt>
                <c:pt idx="132">
                  <c:v>22.01</c:v>
                </c:pt>
                <c:pt idx="133">
                  <c:v>21.87</c:v>
                </c:pt>
                <c:pt idx="134">
                  <c:v>20.5</c:v>
                </c:pt>
                <c:pt idx="135">
                  <c:v>19.28</c:v>
                </c:pt>
                <c:pt idx="136">
                  <c:v>17.46</c:v>
                </c:pt>
                <c:pt idx="137">
                  <c:v>15.67</c:v>
                </c:pt>
                <c:pt idx="138">
                  <c:v>14.55</c:v>
                </c:pt>
                <c:pt idx="139">
                  <c:v>13.36</c:v>
                </c:pt>
                <c:pt idx="140">
                  <c:v>12.53</c:v>
                </c:pt>
                <c:pt idx="141">
                  <c:v>12.36</c:v>
                </c:pt>
                <c:pt idx="142">
                  <c:v>11.32</c:v>
                </c:pt>
                <c:pt idx="143">
                  <c:v>11.39</c:v>
                </c:pt>
                <c:pt idx="144">
                  <c:v>12.41</c:v>
                </c:pt>
                <c:pt idx="145">
                  <c:v>10.79</c:v>
                </c:pt>
                <c:pt idx="146">
                  <c:v>11.29</c:v>
                </c:pt>
                <c:pt idx="147">
                  <c:v>11.64</c:v>
                </c:pt>
                <c:pt idx="148">
                  <c:v>10.72</c:v>
                </c:pt>
                <c:pt idx="149">
                  <c:v>10.71</c:v>
                </c:pt>
                <c:pt idx="150">
                  <c:v>9.85</c:v>
                </c:pt>
                <c:pt idx="151">
                  <c:v>9.8699999999999992</c:v>
                </c:pt>
                <c:pt idx="152">
                  <c:v>9.36</c:v>
                </c:pt>
                <c:pt idx="153">
                  <c:v>8.9499999999999993</c:v>
                </c:pt>
                <c:pt idx="154">
                  <c:v>8.2899999999999991</c:v>
                </c:pt>
                <c:pt idx="155">
                  <c:v>8.27</c:v>
                </c:pt>
                <c:pt idx="156">
                  <c:v>7.81</c:v>
                </c:pt>
                <c:pt idx="157">
                  <c:v>8.5299999999999994</c:v>
                </c:pt>
                <c:pt idx="158">
                  <c:v>8.61</c:v>
                </c:pt>
                <c:pt idx="159">
                  <c:v>10.5</c:v>
                </c:pt>
                <c:pt idx="160">
                  <c:v>12.09</c:v>
                </c:pt>
                <c:pt idx="161">
                  <c:v>12.57</c:v>
                </c:pt>
                <c:pt idx="162">
                  <c:v>12.72</c:v>
                </c:pt>
                <c:pt idx="163">
                  <c:v>12.92</c:v>
                </c:pt>
                <c:pt idx="164">
                  <c:v>13.52</c:v>
                </c:pt>
                <c:pt idx="165">
                  <c:v>12.1</c:v>
                </c:pt>
                <c:pt idx="166">
                  <c:v>11.18</c:v>
                </c:pt>
                <c:pt idx="167">
                  <c:v>9.86</c:v>
                </c:pt>
                <c:pt idx="168">
                  <c:v>6.28</c:v>
                </c:pt>
                <c:pt idx="169">
                  <c:v>4.0599999999999996</c:v>
                </c:pt>
                <c:pt idx="170">
                  <c:v>3.11</c:v>
                </c:pt>
                <c:pt idx="171">
                  <c:v>1.75</c:v>
                </c:pt>
                <c:pt idx="172">
                  <c:v>1.1299999999999999</c:v>
                </c:pt>
                <c:pt idx="173">
                  <c:v>0.78469</c:v>
                </c:pt>
                <c:pt idx="174">
                  <c:v>0.66093000000000002</c:v>
                </c:pt>
                <c:pt idx="175">
                  <c:v>0.58933999999999997</c:v>
                </c:pt>
                <c:pt idx="176">
                  <c:v>0.49364000000000002</c:v>
                </c:pt>
                <c:pt idx="177">
                  <c:v>0.54474</c:v>
                </c:pt>
                <c:pt idx="178">
                  <c:v>0.39728999999999998</c:v>
                </c:pt>
                <c:pt idx="179">
                  <c:v>0.26012000000000002</c:v>
                </c:pt>
                <c:pt idx="180">
                  <c:v>0.18601000000000001</c:v>
                </c:pt>
                <c:pt idx="181">
                  <c:v>0.15734000000000001</c:v>
                </c:pt>
                <c:pt idx="182">
                  <c:v>0.13194</c:v>
                </c:pt>
                <c:pt idx="183">
                  <c:v>0.11667</c:v>
                </c:pt>
                <c:pt idx="184">
                  <c:v>0.10367</c:v>
                </c:pt>
                <c:pt idx="185">
                  <c:v>8.7639999999999996E-2</c:v>
                </c:pt>
                <c:pt idx="186">
                  <c:v>5.7759999999999999E-2</c:v>
                </c:pt>
                <c:pt idx="187">
                  <c:v>4.9090000000000002E-2</c:v>
                </c:pt>
                <c:pt idx="188">
                  <c:v>3.2390000000000002E-2</c:v>
                </c:pt>
                <c:pt idx="189">
                  <c:v>2.2110000000000001E-2</c:v>
                </c:pt>
                <c:pt idx="190">
                  <c:v>1.537E-2</c:v>
                </c:pt>
                <c:pt idx="191">
                  <c:v>9.8600000000000007E-3</c:v>
                </c:pt>
                <c:pt idx="192">
                  <c:v>9.4299999999999991E-3</c:v>
                </c:pt>
                <c:pt idx="193">
                  <c:v>6.5599999999999999E-3</c:v>
                </c:pt>
                <c:pt idx="194">
                  <c:v>5.1000000000000004E-3</c:v>
                </c:pt>
                <c:pt idx="195">
                  <c:v>4.45E-3</c:v>
                </c:pt>
                <c:pt idx="196">
                  <c:v>3.6600000000000001E-3</c:v>
                </c:pt>
                <c:pt idx="197">
                  <c:v>2.5200000000000001E-3</c:v>
                </c:pt>
                <c:pt idx="198">
                  <c:v>1.74E-3</c:v>
                </c:pt>
                <c:pt idx="199">
                  <c:v>1.3500000000000001E-3</c:v>
                </c:pt>
                <c:pt idx="200">
                  <c:v>3.1774E-4</c:v>
                </c:pt>
                <c:pt idx="201">
                  <c:v>1.6468E-4</c:v>
                </c:pt>
                <c:pt idx="202">
                  <c:v>1.3583000000000001E-4</c:v>
                </c:pt>
                <c:pt idx="203">
                  <c:v>1.197E-4</c:v>
                </c:pt>
                <c:pt idx="204">
                  <c:v>1.1035999999999999E-4</c:v>
                </c:pt>
                <c:pt idx="205">
                  <c:v>7.9190000000000006E-5</c:v>
                </c:pt>
                <c:pt idx="206">
                  <c:v>8.8220000000000006E-5</c:v>
                </c:pt>
                <c:pt idx="207">
                  <c:v>7.3449999999999996E-5</c:v>
                </c:pt>
                <c:pt idx="208">
                  <c:v>5.5179999999999997E-5</c:v>
                </c:pt>
                <c:pt idx="209">
                  <c:v>3.8139999999999997E-5</c:v>
                </c:pt>
                <c:pt idx="210">
                  <c:v>2.883E-5</c:v>
                </c:pt>
                <c:pt idx="211">
                  <c:v>2.5720000000000001E-5</c:v>
                </c:pt>
                <c:pt idx="212">
                  <c:v>2.1399999999999998E-5</c:v>
                </c:pt>
                <c:pt idx="213">
                  <c:v>9.9299999999999998E-6</c:v>
                </c:pt>
                <c:pt idx="214">
                  <c:v>9.6800000000000005E-6</c:v>
                </c:pt>
                <c:pt idx="215">
                  <c:v>7.3699999999999997E-6</c:v>
                </c:pt>
                <c:pt idx="216">
                  <c:v>7.9000000000000006E-6</c:v>
                </c:pt>
                <c:pt idx="217">
                  <c:v>8.4600000000000003E-6</c:v>
                </c:pt>
                <c:pt idx="218">
                  <c:v>4.8899999999999998E-6</c:v>
                </c:pt>
                <c:pt idx="219">
                  <c:v>3.6799999999999999E-6</c:v>
                </c:pt>
                <c:pt idx="220">
                  <c:v>3.4000000000000001E-6</c:v>
                </c:pt>
                <c:pt idx="221">
                  <c:v>3.63E-6</c:v>
                </c:pt>
                <c:pt idx="222">
                  <c:v>2.4099999999999998E-6</c:v>
                </c:pt>
                <c:pt idx="223">
                  <c:v>3.5599999999999998E-6</c:v>
                </c:pt>
                <c:pt idx="224">
                  <c:v>3.7400000000000002E-6</c:v>
                </c:pt>
                <c:pt idx="225">
                  <c:v>5.2800000000000003E-6</c:v>
                </c:pt>
                <c:pt idx="226">
                  <c:v>5.7799999999999997E-6</c:v>
                </c:pt>
                <c:pt idx="227">
                  <c:v>5.6099999999999997E-6</c:v>
                </c:pt>
                <c:pt idx="228">
                  <c:v>5.5999999999999997E-6</c:v>
                </c:pt>
                <c:pt idx="229">
                  <c:v>5.6099999999999997E-6</c:v>
                </c:pt>
                <c:pt idx="230">
                  <c:v>5.7699999999999998E-6</c:v>
                </c:pt>
                <c:pt idx="231">
                  <c:v>6.1700000000000002E-6</c:v>
                </c:pt>
                <c:pt idx="232">
                  <c:v>4.2100000000000003E-6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5424"/>
        <c:axId val="94616960"/>
      </c:lineChart>
      <c:dateAx>
        <c:axId val="94615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4616960"/>
        <c:crosses val="autoZero"/>
        <c:auto val="1"/>
        <c:lblOffset val="100"/>
        <c:baseTimeUnit val="days"/>
      </c:dateAx>
      <c:valAx>
        <c:axId val="946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现金流(卖币)</c:v>
          </c:tx>
          <c:marker>
            <c:symbol val="none"/>
          </c:marker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收益计算!$H$3:$H$74</c:f>
              <c:numCache>
                <c:formatCode>" "* #,##0.00" ";" "* "-"#,##0.00" ";" "* "-"??" "</c:formatCode>
                <c:ptCount val="72"/>
                <c:pt idx="0">
                  <c:v>88184.449020328189</c:v>
                </c:pt>
                <c:pt idx="1">
                  <c:v>84985.771690110196</c:v>
                </c:pt>
                <c:pt idx="2">
                  <c:v>81884.334150730836</c:v>
                </c:pt>
                <c:pt idx="3">
                  <c:v>78877.180312548619</c:v>
                </c:pt>
                <c:pt idx="4">
                  <c:v>75961.443951047157</c:v>
                </c:pt>
                <c:pt idx="5">
                  <c:v>73134.345974935306</c:v>
                </c:pt>
                <c:pt idx="6">
                  <c:v>70393.191777297267</c:v>
                </c:pt>
                <c:pt idx="7">
                  <c:v>67735.368667267423</c:v>
                </c:pt>
                <c:pt idx="8">
                  <c:v>65158.343379782498</c:v>
                </c:pt>
                <c:pt idx="9">
                  <c:v>62659.659661037105</c:v>
                </c:pt>
                <c:pt idx="10">
                  <c:v>60236.935927341576</c:v>
                </c:pt>
                <c:pt idx="11">
                  <c:v>57887.862995150383</c:v>
                </c:pt>
                <c:pt idx="12">
                  <c:v>55610.201880097811</c:v>
                </c:pt>
                <c:pt idx="13">
                  <c:v>53401.781662942827</c:v>
                </c:pt>
                <c:pt idx="14">
                  <c:v>51260.497420389365</c:v>
                </c:pt>
                <c:pt idx="15">
                  <c:v>49184.308218809529</c:v>
                </c:pt>
                <c:pt idx="16">
                  <c:v>47171.235168957719</c:v>
                </c:pt>
                <c:pt idx="17">
                  <c:v>45219.35953982138</c:v>
                </c:pt>
                <c:pt idx="18">
                  <c:v>43326.820929810827</c:v>
                </c:pt>
                <c:pt idx="19">
                  <c:v>41491.815493544564</c:v>
                </c:pt>
                <c:pt idx="20">
                  <c:v>39712.594222540807</c:v>
                </c:pt>
                <c:pt idx="21">
                  <c:v>37987.461278175571</c:v>
                </c:pt>
                <c:pt idx="22">
                  <c:v>36314.772375319037</c:v>
                </c:pt>
                <c:pt idx="23">
                  <c:v>34692.93321510934</c:v>
                </c:pt>
                <c:pt idx="24">
                  <c:v>33120.397965370008</c:v>
                </c:pt>
                <c:pt idx="25">
                  <c:v>31595.667787222763</c:v>
                </c:pt>
                <c:pt idx="26">
                  <c:v>30117.2894064912</c:v>
                </c:pt>
                <c:pt idx="27">
                  <c:v>28683.853728533864</c:v>
                </c:pt>
                <c:pt idx="28">
                  <c:v>27293.994495186435</c:v>
                </c:pt>
                <c:pt idx="29">
                  <c:v>25946.38698253276</c:v>
                </c:pt>
                <c:pt idx="30">
                  <c:v>24639.746738263766</c:v>
                </c:pt>
                <c:pt idx="31">
                  <c:v>23372.828357420545</c:v>
                </c:pt>
                <c:pt idx="32">
                  <c:v>22144.424295354958</c:v>
                </c:pt>
                <c:pt idx="33">
                  <c:v>20953.363716776166</c:v>
                </c:pt>
                <c:pt idx="34">
                  <c:v>19798.511379786167</c:v>
                </c:pt>
                <c:pt idx="35">
                  <c:v>18678.766553840669</c:v>
                </c:pt>
                <c:pt idx="36">
                  <c:v>17593.061970603918</c:v>
                </c:pt>
                <c:pt idx="37">
                  <c:v>16540.362806697554</c:v>
                </c:pt>
                <c:pt idx="38">
                  <c:v>15519.665697373948</c:v>
                </c:pt>
                <c:pt idx="39">
                  <c:v>14529.997780173777</c:v>
                </c:pt>
                <c:pt idx="40">
                  <c:v>13570.415767656494</c:v>
                </c:pt>
                <c:pt idx="41">
                  <c:v>12640.005048319734</c:v>
                </c:pt>
                <c:pt idx="42">
                  <c:v>11737.878814850817</c:v>
                </c:pt>
                <c:pt idx="43">
                  <c:v>10863.177218879351</c:v>
                </c:pt>
                <c:pt idx="44">
                  <c:v>10015.066551425418</c:v>
                </c:pt>
                <c:pt idx="45">
                  <c:v>9192.7384482620837</c:v>
                </c:pt>
                <c:pt idx="46">
                  <c:v>8395.4091194349166</c:v>
                </c:pt>
                <c:pt idx="47">
                  <c:v>7622.3186022040973</c:v>
                </c:pt>
                <c:pt idx="48">
                  <c:v>6872.7300366970958</c:v>
                </c:pt>
                <c:pt idx="49">
                  <c:v>6145.9289635815039</c:v>
                </c:pt>
                <c:pt idx="50">
                  <c:v>5441.2226430886258</c:v>
                </c:pt>
                <c:pt idx="51">
                  <c:v>4757.9393947387325</c:v>
                </c:pt>
                <c:pt idx="52">
                  <c:v>4095.427957138676</c:v>
                </c:pt>
                <c:pt idx="53">
                  <c:v>3453.0568672416593</c:v>
                </c:pt>
                <c:pt idx="54">
                  <c:v>2830.213858477513</c:v>
                </c:pt>
                <c:pt idx="55">
                  <c:v>2226.3052771797993</c:v>
                </c:pt>
                <c:pt idx="56">
                  <c:v>1640.755516753532</c:v>
                </c:pt>
                <c:pt idx="57">
                  <c:v>1073.0064690442232</c:v>
                </c:pt>
                <c:pt idx="58">
                  <c:v>522.5169923852809</c:v>
                </c:pt>
                <c:pt idx="59">
                  <c:v>-11.237604183235817</c:v>
                </c:pt>
                <c:pt idx="60">
                  <c:v>-528.76606101606376</c:v>
                </c:pt>
                <c:pt idx="61">
                  <c:v>-1030.5616527611746</c:v>
                </c:pt>
                <c:pt idx="62">
                  <c:v>-1517.1026585172367</c:v>
                </c:pt>
                <c:pt idx="63">
                  <c:v>-1988.8528176983127</c:v>
                </c:pt>
                <c:pt idx="64">
                  <c:v>-2446.261772040285</c:v>
                </c:pt>
                <c:pt idx="65">
                  <c:v>-2889.7654941702604</c:v>
                </c:pt>
                <c:pt idx="66">
                  <c:v>-3319.7867031474852</c:v>
                </c:pt>
                <c:pt idx="67">
                  <c:v>-3736.7352673718015</c:v>
                </c:pt>
                <c:pt idx="68">
                  <c:v>-4141.0085952436984</c:v>
                </c:pt>
                <c:pt idx="69">
                  <c:v>-4532.9920139482911</c:v>
                </c:pt>
                <c:pt idx="70">
                  <c:v>-4913.059136724265</c:v>
                </c:pt>
                <c:pt idx="71">
                  <c:v>-5281.5722189678472</c:v>
                </c:pt>
              </c:numCache>
            </c:numRef>
          </c:val>
          <c:smooth val="0"/>
        </c:ser>
        <c:ser>
          <c:idx val="7"/>
          <c:order val="1"/>
          <c:marker>
            <c:symbol val="none"/>
          </c:marker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收益计算!$J$3:$J$74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3776"/>
        <c:axId val="94525312"/>
      </c:lineChart>
      <c:dateAx>
        <c:axId val="9452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4525312"/>
        <c:crosses val="autoZero"/>
        <c:auto val="1"/>
        <c:lblOffset val="100"/>
        <c:baseTimeUnit val="days"/>
      </c:dateAx>
      <c:valAx>
        <c:axId val="94525312"/>
        <c:scaling>
          <c:orientation val="minMax"/>
        </c:scaling>
        <c:delete val="0"/>
        <c:axPos val="l"/>
        <c:majorGridlines/>
        <c:numFmt formatCode="&quot; &quot;* #,##0.00&quot; &quot;;&quot; &quot;* &quot;-&quot;#,##0.00&quot; &quot;;&quot; &quot;* &quot;-&quot;??&quot; &quot;" sourceLinked="1"/>
        <c:majorTickMark val="out"/>
        <c:minorTickMark val="none"/>
        <c:tickLblPos val="nextTo"/>
        <c:crossAx val="945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现金流(囤币)</c:v>
          </c:tx>
          <c:marker>
            <c:symbol val="none"/>
          </c:marker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收益计算!$I$3:$I$74</c:f>
              <c:numCache>
                <c:formatCode>" "* #,##0.00" ";" "* "-"#,##0.00" ";" "* "-"??" "</c:formatCode>
                <c:ptCount val="72"/>
                <c:pt idx="0">
                  <c:v>6.155900180927194</c:v>
                </c:pt>
                <c:pt idx="1">
                  <c:v>5.8738710987397953</c:v>
                </c:pt>
                <c:pt idx="2">
                  <c:v>5.6034775667205885</c:v>
                </c:pt>
                <c:pt idx="3">
                  <c:v>5.3442506540818497</c:v>
                </c:pt>
                <c:pt idx="4">
                  <c:v>5.0957402220077697</c:v>
                </c:pt>
                <c:pt idx="5">
                  <c:v>4.8575141716316104</c:v>
                </c:pt>
                <c:pt idx="6">
                  <c:v>4.6291577220971885</c:v>
                </c:pt>
                <c:pt idx="7">
                  <c:v>4.4102727175012637</c:v>
                </c:pt>
                <c:pt idx="8">
                  <c:v>4.2004769615615727</c:v>
                </c:pt>
                <c:pt idx="9">
                  <c:v>3.9994035789014464</c:v>
                </c:pt>
                <c:pt idx="10">
                  <c:v>3.8067004018863155</c:v>
                </c:pt>
                <c:pt idx="11">
                  <c:v>3.6220293819899987</c:v>
                </c:pt>
                <c:pt idx="12">
                  <c:v>3.4450660247095426</c:v>
                </c:pt>
                <c:pt idx="13">
                  <c:v>3.2754988470866504</c:v>
                </c:pt>
                <c:pt idx="14">
                  <c:v>3.113028856931392</c:v>
                </c:pt>
                <c:pt idx="15">
                  <c:v>2.9573690528800842</c:v>
                </c:pt>
                <c:pt idx="16">
                  <c:v>2.8082439444539382</c:v>
                </c:pt>
                <c:pt idx="17">
                  <c:v>2.6653890913184117</c:v>
                </c:pt>
                <c:pt idx="18">
                  <c:v>2.5285506609752111</c:v>
                </c:pt>
                <c:pt idx="19">
                  <c:v>2.3974850041496043</c:v>
                </c:pt>
                <c:pt idx="20">
                  <c:v>2.2719582471652062</c:v>
                </c:pt>
                <c:pt idx="21">
                  <c:v>2.151745900626703</c:v>
                </c:pt>
                <c:pt idx="22">
                  <c:v>2.036632483758174</c:v>
                </c:pt>
                <c:pt idx="23">
                  <c:v>1.9264111637707575</c:v>
                </c:pt>
                <c:pt idx="24">
                  <c:v>1.8208834096584523</c:v>
                </c:pt>
                <c:pt idx="25">
                  <c:v>1.7198586598449115</c:v>
                </c:pt>
                <c:pt idx="26">
                  <c:v>1.6231540031271519</c:v>
                </c:pt>
                <c:pt idx="27">
                  <c:v>1.5305938723842802</c:v>
                </c:pt>
                <c:pt idx="28">
                  <c:v>1.4420097505406066</c:v>
                </c:pt>
                <c:pt idx="29">
                  <c:v>1.3572398882929404</c:v>
                </c:pt>
                <c:pt idx="30">
                  <c:v>1.2761290331314781</c:v>
                </c:pt>
                <c:pt idx="31">
                  <c:v>1.1985281692025116</c:v>
                </c:pt>
                <c:pt idx="32">
                  <c:v>1.1242942675792553</c:v>
                </c:pt>
                <c:pt idx="33">
                  <c:v>1.0532900465244457</c:v>
                </c:pt>
                <c:pt idx="34">
                  <c:v>0.98538374134501283</c:v>
                </c:pt>
                <c:pt idx="35">
                  <c:v>0.92044888345511844</c:v>
                </c:pt>
                <c:pt idx="36">
                  <c:v>0.85836408827919697</c:v>
                </c:pt>
                <c:pt idx="37">
                  <c:v>0.7990128516413787</c:v>
                </c:pt>
                <c:pt idx="38">
                  <c:v>0.74228335430181236</c:v>
                </c:pt>
                <c:pt idx="39">
                  <c:v>0.68806827431398621</c:v>
                </c:pt>
                <c:pt idx="40">
                  <c:v>0.63626460689018549</c:v>
                </c:pt>
                <c:pt idx="41">
                  <c:v>0.58677349147473534</c:v>
                </c:pt>
                <c:pt idx="42">
                  <c:v>0.53950004573669363</c:v>
                </c:pt>
                <c:pt idx="43">
                  <c:v>0.49435320620519396</c:v>
                </c:pt>
                <c:pt idx="44">
                  <c:v>0.45124557528170706</c:v>
                </c:pt>
                <c:pt idx="45">
                  <c:v>0.41009327437412268</c:v>
                </c:pt>
                <c:pt idx="46">
                  <c:v>0.37081580290775584</c:v>
                </c:pt>
                <c:pt idx="47">
                  <c:v>0.33333590297817639</c:v>
                </c:pt>
                <c:pt idx="48">
                  <c:v>0.29757942942016891</c:v>
                </c:pt>
                <c:pt idx="49">
                  <c:v>0.26347522507615384</c:v>
                </c:pt>
                <c:pt idx="50">
                  <c:v>0.2309550010560697</c:v>
                </c:pt>
                <c:pt idx="51">
                  <c:v>0.19995322178903674</c:v>
                </c:pt>
                <c:pt idx="52">
                  <c:v>0.17040699467510889</c:v>
                </c:pt>
                <c:pt idx="53">
                  <c:v>0.14225596415308828</c:v>
                </c:pt>
                <c:pt idx="54">
                  <c:v>0.1154422100077408</c:v>
                </c:pt>
                <c:pt idx="55">
                  <c:v>8.9910149746813328E-2</c:v>
                </c:pt>
                <c:pt idx="56">
                  <c:v>6.5606444885041859E-2</c:v>
                </c:pt>
                <c:pt idx="57">
                  <c:v>4.2479910978849289E-2</c:v>
                </c:pt>
                <c:pt idx="58">
                  <c:v>2.0481431261684446E-2</c:v>
                </c:pt>
                <c:pt idx="59">
                  <c:v>-4.3612626404121446E-4</c:v>
                </c:pt>
                <c:pt idx="60">
                  <c:v>-2.0317988416705624E-2</c:v>
                </c:pt>
                <c:pt idx="61">
                  <c:v>-3.920755323966707E-2</c:v>
                </c:pt>
                <c:pt idx="62">
                  <c:v>-5.7146463347337528E-2</c:v>
                </c:pt>
                <c:pt idx="63">
                  <c:v>-7.4174676335480805E-2</c:v>
                </c:pt>
                <c:pt idx="64">
                  <c:v>-9.0330532373187111E-2</c:v>
                </c:pt>
                <c:pt idx="65">
                  <c:v>-0.10565081908927498</c:v>
                </c:pt>
                <c:pt idx="66">
                  <c:v>-0.12017083386136279</c:v>
                </c:pt>
                <c:pt idx="67">
                  <c:v>-0.13392444361152095</c:v>
                </c:pt>
                <c:pt idx="68">
                  <c:v>-0.14694414220826074</c:v>
                </c:pt>
                <c:pt idx="69">
                  <c:v>-0.15926110557062401</c:v>
                </c:pt>
                <c:pt idx="70">
                  <c:v>-0.17090524456630773</c:v>
                </c:pt>
                <c:pt idx="71">
                  <c:v>-0.18190525579207967</c:v>
                </c:pt>
              </c:numCache>
            </c:numRef>
          </c:val>
          <c:smooth val="0"/>
        </c:ser>
        <c:ser>
          <c:idx val="7"/>
          <c:order val="1"/>
          <c:marker>
            <c:symbol val="none"/>
          </c:marker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收益计算!$J$3:$J$74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62944"/>
        <c:axId val="94568832"/>
      </c:lineChart>
      <c:dateAx>
        <c:axId val="94562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4568832"/>
        <c:crosses val="autoZero"/>
        <c:auto val="1"/>
        <c:lblOffset val="100"/>
        <c:baseTimeUnit val="days"/>
      </c:dateAx>
      <c:valAx>
        <c:axId val="94568832"/>
        <c:scaling>
          <c:orientation val="minMax"/>
        </c:scaling>
        <c:delete val="0"/>
        <c:axPos val="l"/>
        <c:majorGridlines/>
        <c:numFmt formatCode="&quot; &quot;* #,##0.00&quot; &quot;;&quot; &quot;* &quot;-&quot;#,##0.00&quot; &quot;;&quot; &quot;* &quot;-&quot;??&quot; &quot;" sourceLinked="1"/>
        <c:majorTickMark val="out"/>
        <c:minorTickMark val="none"/>
        <c:tickLblPos val="nextTo"/>
        <c:crossAx val="945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0"/>
          <c:marker>
            <c:symbol val="none"/>
          </c:marker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收益计算!$J$3:$J$74</c:f>
            </c:numRef>
          </c:val>
          <c:smooth val="0"/>
        </c:ser>
        <c:ser>
          <c:idx val="0"/>
          <c:order val="1"/>
          <c:tx>
            <c:v>累计收益(囤币)</c:v>
          </c:tx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收益计算!$L$3:$L$74</c:f>
              <c:numCache>
                <c:formatCode>" "* #,##0.00" ";" "* "-"#,##0.00" ";" "* "-"??" "</c:formatCode>
                <c:ptCount val="72"/>
                <c:pt idx="0">
                  <c:v>6.155900180927194</c:v>
                </c:pt>
                <c:pt idx="1">
                  <c:v>12.029771279666988</c:v>
                </c:pt>
                <c:pt idx="2">
                  <c:v>17.633248846387577</c:v>
                </c:pt>
                <c:pt idx="3">
                  <c:v>22.977499500469428</c:v>
                </c:pt>
                <c:pt idx="4">
                  <c:v>28.073239722477197</c:v>
                </c:pt>
                <c:pt idx="5">
                  <c:v>32.930753894108804</c:v>
                </c:pt>
                <c:pt idx="6">
                  <c:v>37.559911616205994</c:v>
                </c:pt>
                <c:pt idx="7">
                  <c:v>41.970184333707259</c:v>
                </c:pt>
                <c:pt idx="8">
                  <c:v>46.170661295268829</c:v>
                </c:pt>
                <c:pt idx="9">
                  <c:v>50.170064874170272</c:v>
                </c:pt>
                <c:pt idx="10">
                  <c:v>53.976765276056589</c:v>
                </c:pt>
                <c:pt idx="11">
                  <c:v>57.598794658046586</c:v>
                </c:pt>
                <c:pt idx="12">
                  <c:v>61.043860682756126</c:v>
                </c:pt>
                <c:pt idx="13">
                  <c:v>64.319359529842771</c:v>
                </c:pt>
                <c:pt idx="14">
                  <c:v>67.432388386774164</c:v>
                </c:pt>
                <c:pt idx="15">
                  <c:v>70.389757439654247</c:v>
                </c:pt>
                <c:pt idx="16">
                  <c:v>73.198001384108181</c:v>
                </c:pt>
                <c:pt idx="17">
                  <c:v>75.863390475426598</c:v>
                </c:pt>
                <c:pt idx="18">
                  <c:v>78.391941136401812</c:v>
                </c:pt>
                <c:pt idx="19">
                  <c:v>80.789426140551413</c:v>
                </c:pt>
                <c:pt idx="20">
                  <c:v>83.061384387716615</c:v>
                </c:pt>
                <c:pt idx="21">
                  <c:v>85.213130288343322</c:v>
                </c:pt>
                <c:pt idx="22">
                  <c:v>87.249762772101491</c:v>
                </c:pt>
                <c:pt idx="23">
                  <c:v>89.176173935872242</c:v>
                </c:pt>
                <c:pt idx="24">
                  <c:v>90.997057345530692</c:v>
                </c:pt>
                <c:pt idx="25">
                  <c:v>92.716916005375609</c:v>
                </c:pt>
                <c:pt idx="26">
                  <c:v>94.340070008502764</c:v>
                </c:pt>
                <c:pt idx="27">
                  <c:v>95.870663880887051</c:v>
                </c:pt>
                <c:pt idx="28">
                  <c:v>97.312673631427657</c:v>
                </c:pt>
                <c:pt idx="29">
                  <c:v>98.669913519720595</c:v>
                </c:pt>
                <c:pt idx="30">
                  <c:v>99.946042552852077</c:v>
                </c:pt>
                <c:pt idx="31">
                  <c:v>101.1445707220546</c:v>
                </c:pt>
                <c:pt idx="32">
                  <c:v>102.26886498963385</c:v>
                </c:pt>
                <c:pt idx="33">
                  <c:v>103.32215503615831</c:v>
                </c:pt>
                <c:pt idx="34">
                  <c:v>104.30753877750332</c:v>
                </c:pt>
                <c:pt idx="35">
                  <c:v>105.22798766095845</c:v>
                </c:pt>
                <c:pt idx="36">
                  <c:v>106.08635174923765</c:v>
                </c:pt>
                <c:pt idx="37">
                  <c:v>106.88536460087903</c:v>
                </c:pt>
                <c:pt idx="38">
                  <c:v>107.62764795518085</c:v>
                </c:pt>
                <c:pt idx="39">
                  <c:v>108.31571622949484</c:v>
                </c:pt>
                <c:pt idx="40">
                  <c:v>108.95198083638502</c:v>
                </c:pt>
                <c:pt idx="41">
                  <c:v>109.53875432785975</c:v>
                </c:pt>
                <c:pt idx="42">
                  <c:v>110.07825437359644</c:v>
                </c:pt>
                <c:pt idx="43">
                  <c:v>110.57260757980163</c:v>
                </c:pt>
                <c:pt idx="44">
                  <c:v>111.02385315508333</c:v>
                </c:pt>
                <c:pt idx="45">
                  <c:v>111.43394642945745</c:v>
                </c:pt>
                <c:pt idx="46">
                  <c:v>111.80476223236521</c:v>
                </c:pt>
                <c:pt idx="47">
                  <c:v>112.13809813534338</c:v>
                </c:pt>
                <c:pt idx="48">
                  <c:v>112.43567756476355</c:v>
                </c:pt>
                <c:pt idx="49">
                  <c:v>112.6991527898397</c:v>
                </c:pt>
                <c:pt idx="50">
                  <c:v>112.93010779089578</c:v>
                </c:pt>
                <c:pt idx="51">
                  <c:v>113.13006101268481</c:v>
                </c:pt>
                <c:pt idx="52">
                  <c:v>113.30046800735991</c:v>
                </c:pt>
                <c:pt idx="53">
                  <c:v>113.442723971513</c:v>
                </c:pt>
                <c:pt idx="54">
                  <c:v>113.55816618152075</c:v>
                </c:pt>
                <c:pt idx="55">
                  <c:v>113.64807633126756</c:v>
                </c:pt>
                <c:pt idx="56">
                  <c:v>113.71368277615261</c:v>
                </c:pt>
                <c:pt idx="57">
                  <c:v>113.75616268713146</c:v>
                </c:pt>
                <c:pt idx="58">
                  <c:v>113.77664411839315</c:v>
                </c:pt>
                <c:pt idx="59">
                  <c:v>113.77620799212912</c:v>
                </c:pt>
                <c:pt idx="60">
                  <c:v>113.75589000371241</c:v>
                </c:pt>
                <c:pt idx="61">
                  <c:v>113.71668245047275</c:v>
                </c:pt>
                <c:pt idx="62">
                  <c:v>113.65953598712541</c:v>
                </c:pt>
                <c:pt idx="63">
                  <c:v>113.58536131078993</c:v>
                </c:pt>
                <c:pt idx="64">
                  <c:v>113.49503077841675</c:v>
                </c:pt>
                <c:pt idx="65">
                  <c:v>113.38937995932747</c:v>
                </c:pt>
                <c:pt idx="66">
                  <c:v>113.26920912546611</c:v>
                </c:pt>
                <c:pt idx="67">
                  <c:v>113.13528468185459</c:v>
                </c:pt>
                <c:pt idx="68">
                  <c:v>112.98834053964633</c:v>
                </c:pt>
                <c:pt idx="69">
                  <c:v>112.82907943407571</c:v>
                </c:pt>
                <c:pt idx="70">
                  <c:v>112.6581741895094</c:v>
                </c:pt>
                <c:pt idx="71">
                  <c:v>112.47626893371732</c:v>
                </c:pt>
              </c:numCache>
            </c:numRef>
          </c:val>
          <c:smooth val="0"/>
        </c:ser>
        <c:ser>
          <c:idx val="1"/>
          <c:order val="2"/>
          <c:tx>
            <c:v>投入成本</c:v>
          </c:tx>
          <c:val>
            <c:numRef>
              <c:f>收益计算!$N$3:$N$74</c:f>
              <c:numCache>
                <c:formatCode>0.0000" ";\(0.0000\)</c:formatCode>
                <c:ptCount val="72"/>
                <c:pt idx="0">
                  <c:v>74.642857142857139</c:v>
                </c:pt>
                <c:pt idx="1">
                  <c:v>74.642857142857139</c:v>
                </c:pt>
                <c:pt idx="2">
                  <c:v>74.642857142857139</c:v>
                </c:pt>
                <c:pt idx="3">
                  <c:v>74.642857142857139</c:v>
                </c:pt>
                <c:pt idx="4">
                  <c:v>74.642857142857139</c:v>
                </c:pt>
                <c:pt idx="5">
                  <c:v>74.642857142857139</c:v>
                </c:pt>
                <c:pt idx="6">
                  <c:v>74.642857142857139</c:v>
                </c:pt>
                <c:pt idx="7">
                  <c:v>74.642857142857139</c:v>
                </c:pt>
                <c:pt idx="8">
                  <c:v>74.642857142857139</c:v>
                </c:pt>
                <c:pt idx="9">
                  <c:v>74.642857142857139</c:v>
                </c:pt>
                <c:pt idx="10">
                  <c:v>74.642857142857139</c:v>
                </c:pt>
                <c:pt idx="11">
                  <c:v>74.642857142857139</c:v>
                </c:pt>
                <c:pt idx="12">
                  <c:v>74.642857142857139</c:v>
                </c:pt>
                <c:pt idx="13">
                  <c:v>74.642857142857139</c:v>
                </c:pt>
                <c:pt idx="14">
                  <c:v>74.642857142857139</c:v>
                </c:pt>
                <c:pt idx="15">
                  <c:v>74.642857142857139</c:v>
                </c:pt>
                <c:pt idx="16">
                  <c:v>74.642857142857139</c:v>
                </c:pt>
                <c:pt idx="17">
                  <c:v>74.642857142857139</c:v>
                </c:pt>
                <c:pt idx="18">
                  <c:v>74.642857142857139</c:v>
                </c:pt>
                <c:pt idx="19">
                  <c:v>74.642857142857139</c:v>
                </c:pt>
                <c:pt idx="20">
                  <c:v>74.642857142857139</c:v>
                </c:pt>
                <c:pt idx="21">
                  <c:v>74.642857142857139</c:v>
                </c:pt>
                <c:pt idx="22">
                  <c:v>74.642857142857139</c:v>
                </c:pt>
                <c:pt idx="23">
                  <c:v>74.642857142857139</c:v>
                </c:pt>
                <c:pt idx="24">
                  <c:v>74.642857142857139</c:v>
                </c:pt>
                <c:pt idx="25">
                  <c:v>74.642857142857139</c:v>
                </c:pt>
                <c:pt idx="26">
                  <c:v>74.642857142857139</c:v>
                </c:pt>
                <c:pt idx="27">
                  <c:v>74.642857142857139</c:v>
                </c:pt>
                <c:pt idx="28">
                  <c:v>74.642857142857139</c:v>
                </c:pt>
                <c:pt idx="29">
                  <c:v>74.642857142857139</c:v>
                </c:pt>
                <c:pt idx="30">
                  <c:v>74.642857142857139</c:v>
                </c:pt>
                <c:pt idx="31">
                  <c:v>74.642857142857139</c:v>
                </c:pt>
                <c:pt idx="32">
                  <c:v>74.642857142857139</c:v>
                </c:pt>
                <c:pt idx="33">
                  <c:v>74.642857142857139</c:v>
                </c:pt>
                <c:pt idx="34">
                  <c:v>74.642857142857139</c:v>
                </c:pt>
                <c:pt idx="35">
                  <c:v>74.642857142857139</c:v>
                </c:pt>
                <c:pt idx="36">
                  <c:v>74.642857142857139</c:v>
                </c:pt>
                <c:pt idx="37">
                  <c:v>74.642857142857139</c:v>
                </c:pt>
                <c:pt idx="38">
                  <c:v>74.642857142857139</c:v>
                </c:pt>
                <c:pt idx="39">
                  <c:v>74.642857142857139</c:v>
                </c:pt>
                <c:pt idx="40">
                  <c:v>74.642857142857139</c:v>
                </c:pt>
                <c:pt idx="41">
                  <c:v>74.642857142857139</c:v>
                </c:pt>
                <c:pt idx="42">
                  <c:v>74.642857142857139</c:v>
                </c:pt>
                <c:pt idx="43">
                  <c:v>74.642857142857139</c:v>
                </c:pt>
                <c:pt idx="44">
                  <c:v>74.642857142857139</c:v>
                </c:pt>
                <c:pt idx="45">
                  <c:v>74.642857142857139</c:v>
                </c:pt>
                <c:pt idx="46">
                  <c:v>74.642857142857139</c:v>
                </c:pt>
                <c:pt idx="47">
                  <c:v>74.642857142857139</c:v>
                </c:pt>
                <c:pt idx="48">
                  <c:v>74.642857142857139</c:v>
                </c:pt>
                <c:pt idx="49">
                  <c:v>74.642857142857139</c:v>
                </c:pt>
                <c:pt idx="50">
                  <c:v>74.642857142857139</c:v>
                </c:pt>
                <c:pt idx="51">
                  <c:v>74.642857142857139</c:v>
                </c:pt>
                <c:pt idx="52">
                  <c:v>74.642857142857139</c:v>
                </c:pt>
                <c:pt idx="53">
                  <c:v>74.642857142857139</c:v>
                </c:pt>
                <c:pt idx="54">
                  <c:v>74.642857142857139</c:v>
                </c:pt>
                <c:pt idx="55">
                  <c:v>74.642857142857139</c:v>
                </c:pt>
                <c:pt idx="56">
                  <c:v>74.642857142857139</c:v>
                </c:pt>
                <c:pt idx="57">
                  <c:v>74.642857142857139</c:v>
                </c:pt>
                <c:pt idx="58">
                  <c:v>74.642857142857139</c:v>
                </c:pt>
                <c:pt idx="59">
                  <c:v>74.642857142857139</c:v>
                </c:pt>
                <c:pt idx="60">
                  <c:v>74.642857142857139</c:v>
                </c:pt>
                <c:pt idx="61">
                  <c:v>74.642857142857139</c:v>
                </c:pt>
                <c:pt idx="62">
                  <c:v>74.642857142857139</c:v>
                </c:pt>
                <c:pt idx="63">
                  <c:v>74.642857142857139</c:v>
                </c:pt>
                <c:pt idx="64">
                  <c:v>74.642857142857139</c:v>
                </c:pt>
                <c:pt idx="65">
                  <c:v>74.642857142857139</c:v>
                </c:pt>
                <c:pt idx="66">
                  <c:v>74.642857142857139</c:v>
                </c:pt>
                <c:pt idx="67">
                  <c:v>74.642857142857139</c:v>
                </c:pt>
                <c:pt idx="68">
                  <c:v>74.642857142857139</c:v>
                </c:pt>
                <c:pt idx="69">
                  <c:v>74.642857142857139</c:v>
                </c:pt>
                <c:pt idx="70">
                  <c:v>74.642857142857139</c:v>
                </c:pt>
                <c:pt idx="71">
                  <c:v>74.642857142857139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60320"/>
        <c:axId val="96361856"/>
      </c:lineChart>
      <c:dateAx>
        <c:axId val="9636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6361856"/>
        <c:crosses val="autoZero"/>
        <c:auto val="1"/>
        <c:lblOffset val="100"/>
        <c:baseTimeUnit val="days"/>
      </c:dateAx>
      <c:valAx>
        <c:axId val="96361856"/>
        <c:scaling>
          <c:orientation val="minMax"/>
        </c:scaling>
        <c:delete val="0"/>
        <c:axPos val="l"/>
        <c:majorGridlines/>
        <c:numFmt formatCode="&quot; &quot;* #,##0.00&quot; &quot;;&quot; &quot;* &quot;-&quot;#,##0.00&quot; &quot;;&quot; &quot;* &quot;-&quot;??&quot; &quot;" sourceLinked="1"/>
        <c:majorTickMark val="out"/>
        <c:minorTickMark val="none"/>
        <c:tickLblPos val="nextTo"/>
        <c:crossAx val="963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0"/>
          <c:marker>
            <c:symbol val="none"/>
          </c:marker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收益计算!$J$3:$J$74</c:f>
            </c:numRef>
          </c:val>
          <c:smooth val="0"/>
        </c:ser>
        <c:ser>
          <c:idx val="0"/>
          <c:order val="1"/>
          <c:tx>
            <c:v>累计收益(卖币)</c:v>
          </c:tx>
          <c:cat>
            <c:numRef>
              <c:f>收益计算!$B$3:$B$74</c:f>
              <c:numCache>
                <c:formatCode>m/d/yyyy</c:formatCode>
                <c:ptCount val="72"/>
                <c:pt idx="0">
                  <c:v>42913</c:v>
                </c:pt>
                <c:pt idx="1">
                  <c:v>42926</c:v>
                </c:pt>
                <c:pt idx="2">
                  <c:v>42939</c:v>
                </c:pt>
                <c:pt idx="3">
                  <c:v>42952</c:v>
                </c:pt>
                <c:pt idx="4">
                  <c:v>42965</c:v>
                </c:pt>
                <c:pt idx="5">
                  <c:v>42978</c:v>
                </c:pt>
                <c:pt idx="6">
                  <c:v>42991</c:v>
                </c:pt>
                <c:pt idx="7">
                  <c:v>43004</c:v>
                </c:pt>
                <c:pt idx="8">
                  <c:v>43017</c:v>
                </c:pt>
                <c:pt idx="9">
                  <c:v>43030</c:v>
                </c:pt>
                <c:pt idx="10">
                  <c:v>43043</c:v>
                </c:pt>
                <c:pt idx="11">
                  <c:v>43056</c:v>
                </c:pt>
                <c:pt idx="12">
                  <c:v>43069</c:v>
                </c:pt>
                <c:pt idx="13">
                  <c:v>43082</c:v>
                </c:pt>
                <c:pt idx="14">
                  <c:v>43095</c:v>
                </c:pt>
                <c:pt idx="15">
                  <c:v>43108</c:v>
                </c:pt>
                <c:pt idx="16">
                  <c:v>43121</c:v>
                </c:pt>
                <c:pt idx="17">
                  <c:v>43134</c:v>
                </c:pt>
                <c:pt idx="18">
                  <c:v>43147</c:v>
                </c:pt>
                <c:pt idx="19">
                  <c:v>43160</c:v>
                </c:pt>
                <c:pt idx="20">
                  <c:v>43173</c:v>
                </c:pt>
                <c:pt idx="21">
                  <c:v>43186</c:v>
                </c:pt>
                <c:pt idx="22">
                  <c:v>43199</c:v>
                </c:pt>
                <c:pt idx="23">
                  <c:v>43212</c:v>
                </c:pt>
                <c:pt idx="24">
                  <c:v>43225</c:v>
                </c:pt>
                <c:pt idx="25">
                  <c:v>43238</c:v>
                </c:pt>
                <c:pt idx="26">
                  <c:v>43251</c:v>
                </c:pt>
                <c:pt idx="27">
                  <c:v>43264</c:v>
                </c:pt>
                <c:pt idx="28">
                  <c:v>43277</c:v>
                </c:pt>
                <c:pt idx="29">
                  <c:v>43290</c:v>
                </c:pt>
                <c:pt idx="30">
                  <c:v>43303</c:v>
                </c:pt>
                <c:pt idx="31">
                  <c:v>43316</c:v>
                </c:pt>
                <c:pt idx="32">
                  <c:v>43329</c:v>
                </c:pt>
                <c:pt idx="33">
                  <c:v>43342</c:v>
                </c:pt>
                <c:pt idx="34">
                  <c:v>43355</c:v>
                </c:pt>
                <c:pt idx="35">
                  <c:v>43368</c:v>
                </c:pt>
                <c:pt idx="36">
                  <c:v>43381</c:v>
                </c:pt>
                <c:pt idx="37">
                  <c:v>43394</c:v>
                </c:pt>
                <c:pt idx="38">
                  <c:v>43407</c:v>
                </c:pt>
                <c:pt idx="39">
                  <c:v>43420</c:v>
                </c:pt>
                <c:pt idx="40">
                  <c:v>43433</c:v>
                </c:pt>
                <c:pt idx="41">
                  <c:v>43446</c:v>
                </c:pt>
                <c:pt idx="42">
                  <c:v>43459</c:v>
                </c:pt>
                <c:pt idx="43">
                  <c:v>43472</c:v>
                </c:pt>
                <c:pt idx="44">
                  <c:v>43485</c:v>
                </c:pt>
                <c:pt idx="45">
                  <c:v>43498</c:v>
                </c:pt>
                <c:pt idx="46">
                  <c:v>43511</c:v>
                </c:pt>
                <c:pt idx="47">
                  <c:v>43524</c:v>
                </c:pt>
                <c:pt idx="48">
                  <c:v>43537</c:v>
                </c:pt>
                <c:pt idx="49">
                  <c:v>43550</c:v>
                </c:pt>
                <c:pt idx="50">
                  <c:v>43563</c:v>
                </c:pt>
                <c:pt idx="51">
                  <c:v>43576</c:v>
                </c:pt>
                <c:pt idx="52">
                  <c:v>43589</c:v>
                </c:pt>
                <c:pt idx="53">
                  <c:v>43602</c:v>
                </c:pt>
                <c:pt idx="54">
                  <c:v>43615</c:v>
                </c:pt>
                <c:pt idx="55">
                  <c:v>43628</c:v>
                </c:pt>
                <c:pt idx="56">
                  <c:v>43641</c:v>
                </c:pt>
                <c:pt idx="57">
                  <c:v>43654</c:v>
                </c:pt>
                <c:pt idx="58">
                  <c:v>43667</c:v>
                </c:pt>
                <c:pt idx="59">
                  <c:v>43680</c:v>
                </c:pt>
                <c:pt idx="60">
                  <c:v>43693</c:v>
                </c:pt>
                <c:pt idx="61">
                  <c:v>43706</c:v>
                </c:pt>
                <c:pt idx="62">
                  <c:v>43719</c:v>
                </c:pt>
                <c:pt idx="63">
                  <c:v>43732</c:v>
                </c:pt>
                <c:pt idx="64">
                  <c:v>43745</c:v>
                </c:pt>
                <c:pt idx="65">
                  <c:v>43758</c:v>
                </c:pt>
                <c:pt idx="66">
                  <c:v>43771</c:v>
                </c:pt>
                <c:pt idx="67">
                  <c:v>43784</c:v>
                </c:pt>
                <c:pt idx="68">
                  <c:v>43797</c:v>
                </c:pt>
                <c:pt idx="69">
                  <c:v>43810</c:v>
                </c:pt>
                <c:pt idx="70">
                  <c:v>43823</c:v>
                </c:pt>
                <c:pt idx="71">
                  <c:v>43836</c:v>
                </c:pt>
              </c:numCache>
            </c:numRef>
          </c:cat>
          <c:val>
            <c:numRef>
              <c:f>收益计算!$K$3:$K$74</c:f>
              <c:numCache>
                <c:formatCode>" "* #,##0.00" ";" "* "-"#,##0.00" ";" "* "-"??" "</c:formatCode>
                <c:ptCount val="72"/>
                <c:pt idx="0">
                  <c:v>88184.449020328189</c:v>
                </c:pt>
                <c:pt idx="1">
                  <c:v>173170.22071043839</c:v>
                </c:pt>
                <c:pt idx="2">
                  <c:v>255054.55486116922</c:v>
                </c:pt>
                <c:pt idx="3">
                  <c:v>333931.73517371784</c:v>
                </c:pt>
                <c:pt idx="4">
                  <c:v>409893.17912476498</c:v>
                </c:pt>
                <c:pt idx="5">
                  <c:v>483027.52509970032</c:v>
                </c:pt>
                <c:pt idx="6">
                  <c:v>553420.71687699761</c:v>
                </c:pt>
                <c:pt idx="7">
                  <c:v>621156.08554426499</c:v>
                </c:pt>
                <c:pt idx="8">
                  <c:v>686314.4289240475</c:v>
                </c:pt>
                <c:pt idx="9">
                  <c:v>748974.08858508465</c:v>
                </c:pt>
                <c:pt idx="10">
                  <c:v>809211.02451242623</c:v>
                </c:pt>
                <c:pt idx="11">
                  <c:v>867098.88750757661</c:v>
                </c:pt>
                <c:pt idx="12">
                  <c:v>922709.08938767447</c:v>
                </c:pt>
                <c:pt idx="13">
                  <c:v>976110.87105061731</c:v>
                </c:pt>
                <c:pt idx="14">
                  <c:v>1027371.3684710066</c:v>
                </c:pt>
                <c:pt idx="15">
                  <c:v>1076555.6766898162</c:v>
                </c:pt>
                <c:pt idx="16">
                  <c:v>1123726.9118587738</c:v>
                </c:pt>
                <c:pt idx="17">
                  <c:v>1168946.2713985951</c:v>
                </c:pt>
                <c:pt idx="18">
                  <c:v>1212273.0923284059</c:v>
                </c:pt>
                <c:pt idx="19">
                  <c:v>1253764.9078219505</c:v>
                </c:pt>
                <c:pt idx="20">
                  <c:v>1293477.5020444912</c:v>
                </c:pt>
                <c:pt idx="21">
                  <c:v>1331464.9633226667</c:v>
                </c:pt>
                <c:pt idx="22">
                  <c:v>1367779.7356979856</c:v>
                </c:pt>
                <c:pt idx="23">
                  <c:v>1402472.668913095</c:v>
                </c:pt>
                <c:pt idx="24">
                  <c:v>1435593.066878465</c:v>
                </c:pt>
                <c:pt idx="25">
                  <c:v>1467188.7346656877</c:v>
                </c:pt>
                <c:pt idx="26">
                  <c:v>1497306.0240721789</c:v>
                </c:pt>
                <c:pt idx="27">
                  <c:v>1525989.8778007128</c:v>
                </c:pt>
                <c:pt idx="28">
                  <c:v>1553283.8722958993</c:v>
                </c:pt>
                <c:pt idx="29">
                  <c:v>1579230.259278432</c:v>
                </c:pt>
                <c:pt idx="30">
                  <c:v>1603870.0060166959</c:v>
                </c:pt>
                <c:pt idx="31">
                  <c:v>1627242.8343741165</c:v>
                </c:pt>
                <c:pt idx="32">
                  <c:v>1649387.2586694714</c:v>
                </c:pt>
                <c:pt idx="33">
                  <c:v>1670340.6223862476</c:v>
                </c:pt>
                <c:pt idx="34">
                  <c:v>1690139.1337660337</c:v>
                </c:pt>
                <c:pt idx="35">
                  <c:v>1708817.9003198743</c:v>
                </c:pt>
                <c:pt idx="36">
                  <c:v>1726410.9622904782</c:v>
                </c:pt>
                <c:pt idx="37">
                  <c:v>1742951.3250971758</c:v>
                </c:pt>
                <c:pt idx="38">
                  <c:v>1758470.9907945497</c:v>
                </c:pt>
                <c:pt idx="39">
                  <c:v>1773000.9885747235</c:v>
                </c:pt>
                <c:pt idx="40">
                  <c:v>1786571.4043423799</c:v>
                </c:pt>
                <c:pt idx="41">
                  <c:v>1799211.4093906996</c:v>
                </c:pt>
                <c:pt idx="42">
                  <c:v>1810949.2882055505</c:v>
                </c:pt>
                <c:pt idx="43">
                  <c:v>1821812.4654244299</c:v>
                </c:pt>
                <c:pt idx="44">
                  <c:v>1831827.5319758554</c:v>
                </c:pt>
                <c:pt idx="45">
                  <c:v>1841020.2704241173</c:v>
                </c:pt>
                <c:pt idx="46">
                  <c:v>1849415.6795435522</c:v>
                </c:pt>
                <c:pt idx="47">
                  <c:v>1857037.9981457563</c:v>
                </c:pt>
                <c:pt idx="48">
                  <c:v>1863910.7281824534</c:v>
                </c:pt>
                <c:pt idx="49">
                  <c:v>1870056.657146035</c:v>
                </c:pt>
                <c:pt idx="50">
                  <c:v>1875497.8797891235</c:v>
                </c:pt>
                <c:pt idx="51">
                  <c:v>1880255.8191838623</c:v>
                </c:pt>
                <c:pt idx="52">
                  <c:v>1884351.247141001</c:v>
                </c:pt>
                <c:pt idx="53">
                  <c:v>1887804.3040082427</c:v>
                </c:pt>
                <c:pt idx="54">
                  <c:v>1890634.5178667202</c:v>
                </c:pt>
                <c:pt idx="55">
                  <c:v>1892860.8231438999</c:v>
                </c:pt>
                <c:pt idx="56">
                  <c:v>1894501.5786606534</c:v>
                </c:pt>
                <c:pt idx="57">
                  <c:v>1895574.5851296976</c:v>
                </c:pt>
                <c:pt idx="58">
                  <c:v>1896097.1021220828</c:v>
                </c:pt>
                <c:pt idx="59">
                  <c:v>1896085.8645178997</c:v>
                </c:pt>
                <c:pt idx="60">
                  <c:v>1895557.0984568836</c:v>
                </c:pt>
                <c:pt idx="61">
                  <c:v>1894526.5368041224</c:v>
                </c:pt>
                <c:pt idx="62">
                  <c:v>1893009.4341456052</c:v>
                </c:pt>
                <c:pt idx="63">
                  <c:v>1891020.5813279068</c:v>
                </c:pt>
                <c:pt idx="64">
                  <c:v>1888574.3195558665</c:v>
                </c:pt>
                <c:pt idx="65">
                  <c:v>1885684.5540616962</c:v>
                </c:pt>
                <c:pt idx="66">
                  <c:v>1882364.7673585487</c:v>
                </c:pt>
                <c:pt idx="67">
                  <c:v>1878628.0320911768</c:v>
                </c:pt>
                <c:pt idx="68">
                  <c:v>1874487.023495933</c:v>
                </c:pt>
                <c:pt idx="69">
                  <c:v>1869954.0314819848</c:v>
                </c:pt>
                <c:pt idx="70">
                  <c:v>1865040.9723452604</c:v>
                </c:pt>
                <c:pt idx="71">
                  <c:v>1859759.4001262926</c:v>
                </c:pt>
              </c:numCache>
            </c:numRef>
          </c:val>
          <c:smooth val="0"/>
        </c:ser>
        <c:ser>
          <c:idx val="1"/>
          <c:order val="2"/>
          <c:tx>
            <c:v>投入成本</c:v>
          </c:tx>
          <c:val>
            <c:numRef>
              <c:f>收益计算!$M$3:$M$74</c:f>
              <c:numCache>
                <c:formatCode>#,##0</c:formatCode>
                <c:ptCount val="72"/>
                <c:pt idx="0">
                  <c:v>1045000</c:v>
                </c:pt>
                <c:pt idx="1">
                  <c:v>1045000</c:v>
                </c:pt>
                <c:pt idx="2">
                  <c:v>1045000</c:v>
                </c:pt>
                <c:pt idx="3">
                  <c:v>1045000</c:v>
                </c:pt>
                <c:pt idx="4">
                  <c:v>1045000</c:v>
                </c:pt>
                <c:pt idx="5">
                  <c:v>1045000</c:v>
                </c:pt>
                <c:pt idx="6">
                  <c:v>1045000</c:v>
                </c:pt>
                <c:pt idx="7">
                  <c:v>1045000</c:v>
                </c:pt>
                <c:pt idx="8">
                  <c:v>1045000</c:v>
                </c:pt>
                <c:pt idx="9">
                  <c:v>1045000</c:v>
                </c:pt>
                <c:pt idx="10">
                  <c:v>1045000</c:v>
                </c:pt>
                <c:pt idx="11">
                  <c:v>1045000</c:v>
                </c:pt>
                <c:pt idx="12">
                  <c:v>1045000</c:v>
                </c:pt>
                <c:pt idx="13">
                  <c:v>1045000</c:v>
                </c:pt>
                <c:pt idx="14">
                  <c:v>1045000</c:v>
                </c:pt>
                <c:pt idx="15">
                  <c:v>1045000</c:v>
                </c:pt>
                <c:pt idx="16">
                  <c:v>1045000</c:v>
                </c:pt>
                <c:pt idx="17">
                  <c:v>1045000</c:v>
                </c:pt>
                <c:pt idx="18">
                  <c:v>1045000</c:v>
                </c:pt>
                <c:pt idx="19">
                  <c:v>1045000</c:v>
                </c:pt>
                <c:pt idx="20">
                  <c:v>1045000</c:v>
                </c:pt>
                <c:pt idx="21">
                  <c:v>1045000</c:v>
                </c:pt>
                <c:pt idx="22">
                  <c:v>1045000</c:v>
                </c:pt>
                <c:pt idx="23">
                  <c:v>1045000</c:v>
                </c:pt>
                <c:pt idx="24">
                  <c:v>1045000</c:v>
                </c:pt>
                <c:pt idx="25">
                  <c:v>1045000</c:v>
                </c:pt>
                <c:pt idx="26">
                  <c:v>1045000</c:v>
                </c:pt>
                <c:pt idx="27">
                  <c:v>1045000</c:v>
                </c:pt>
                <c:pt idx="28">
                  <c:v>1045000</c:v>
                </c:pt>
                <c:pt idx="29">
                  <c:v>1045000</c:v>
                </c:pt>
                <c:pt idx="30">
                  <c:v>1045000</c:v>
                </c:pt>
                <c:pt idx="31">
                  <c:v>1045000</c:v>
                </c:pt>
                <c:pt idx="32">
                  <c:v>1045000</c:v>
                </c:pt>
                <c:pt idx="33">
                  <c:v>1045000</c:v>
                </c:pt>
                <c:pt idx="34">
                  <c:v>1045000</c:v>
                </c:pt>
                <c:pt idx="35">
                  <c:v>1045000</c:v>
                </c:pt>
                <c:pt idx="36">
                  <c:v>1045000</c:v>
                </c:pt>
                <c:pt idx="37">
                  <c:v>1045000</c:v>
                </c:pt>
                <c:pt idx="38">
                  <c:v>1045000</c:v>
                </c:pt>
                <c:pt idx="39">
                  <c:v>1045000</c:v>
                </c:pt>
                <c:pt idx="40">
                  <c:v>1045000</c:v>
                </c:pt>
                <c:pt idx="41">
                  <c:v>1045000</c:v>
                </c:pt>
                <c:pt idx="42">
                  <c:v>1045000</c:v>
                </c:pt>
                <c:pt idx="43">
                  <c:v>1045000</c:v>
                </c:pt>
                <c:pt idx="44">
                  <c:v>1045000</c:v>
                </c:pt>
                <c:pt idx="45">
                  <c:v>1045000</c:v>
                </c:pt>
                <c:pt idx="46">
                  <c:v>1045000</c:v>
                </c:pt>
                <c:pt idx="47">
                  <c:v>1045000</c:v>
                </c:pt>
                <c:pt idx="48">
                  <c:v>1045000</c:v>
                </c:pt>
                <c:pt idx="49">
                  <c:v>1045000</c:v>
                </c:pt>
                <c:pt idx="50">
                  <c:v>1045000</c:v>
                </c:pt>
                <c:pt idx="51">
                  <c:v>1045000</c:v>
                </c:pt>
                <c:pt idx="52">
                  <c:v>1045000</c:v>
                </c:pt>
                <c:pt idx="53">
                  <c:v>1045000</c:v>
                </c:pt>
                <c:pt idx="54">
                  <c:v>1045000</c:v>
                </c:pt>
                <c:pt idx="55">
                  <c:v>1045000</c:v>
                </c:pt>
                <c:pt idx="56">
                  <c:v>1045000</c:v>
                </c:pt>
                <c:pt idx="57">
                  <c:v>1045000</c:v>
                </c:pt>
                <c:pt idx="58">
                  <c:v>1045000</c:v>
                </c:pt>
                <c:pt idx="59">
                  <c:v>1045000</c:v>
                </c:pt>
                <c:pt idx="60">
                  <c:v>1045000</c:v>
                </c:pt>
                <c:pt idx="61">
                  <c:v>1045000</c:v>
                </c:pt>
                <c:pt idx="62">
                  <c:v>1045000</c:v>
                </c:pt>
                <c:pt idx="63">
                  <c:v>1045000</c:v>
                </c:pt>
                <c:pt idx="64">
                  <c:v>1045000</c:v>
                </c:pt>
                <c:pt idx="65">
                  <c:v>1045000</c:v>
                </c:pt>
                <c:pt idx="66">
                  <c:v>1045000</c:v>
                </c:pt>
                <c:pt idx="67">
                  <c:v>1045000</c:v>
                </c:pt>
                <c:pt idx="68">
                  <c:v>1045000</c:v>
                </c:pt>
                <c:pt idx="69">
                  <c:v>1045000</c:v>
                </c:pt>
                <c:pt idx="70">
                  <c:v>1045000</c:v>
                </c:pt>
                <c:pt idx="71">
                  <c:v>1045000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6032"/>
        <c:axId val="96397568"/>
      </c:lineChart>
      <c:dateAx>
        <c:axId val="9639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6397568"/>
        <c:crosses val="autoZero"/>
        <c:auto val="1"/>
        <c:lblOffset val="100"/>
        <c:baseTimeUnit val="days"/>
      </c:dateAx>
      <c:valAx>
        <c:axId val="96397568"/>
        <c:scaling>
          <c:orientation val="minMax"/>
        </c:scaling>
        <c:delete val="0"/>
        <c:axPos val="l"/>
        <c:majorGridlines/>
        <c:numFmt formatCode="&quot; &quot;* #,##0.00&quot; &quot;;&quot; &quot;* &quot;-&quot;#,##0.00&quot; &quot;;&quot; &quot;* &quot;-&quot;??&quot; &quot;" sourceLinked="1"/>
        <c:majorTickMark val="out"/>
        <c:minorTickMark val="none"/>
        <c:tickLblPos val="nextTo"/>
        <c:crossAx val="963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4762</xdr:rowOff>
    </xdr:from>
    <xdr:to>
      <xdr:col>8</xdr:col>
      <xdr:colOff>285750</xdr:colOff>
      <xdr:row>15</xdr:row>
      <xdr:rowOff>80962</xdr:rowOff>
    </xdr:to>
    <xdr:graphicFrame macro="">
      <xdr:nvGraphicFramePr>
        <xdr:cNvPr id="2" name="图表 1" title="算力增长曲线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17</xdr:row>
      <xdr:rowOff>166686</xdr:rowOff>
    </xdr:from>
    <xdr:to>
      <xdr:col>8</xdr:col>
      <xdr:colOff>295275</xdr:colOff>
      <xdr:row>33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35</xdr:row>
      <xdr:rowOff>104775</xdr:rowOff>
    </xdr:from>
    <xdr:to>
      <xdr:col>8</xdr:col>
      <xdr:colOff>304801</xdr:colOff>
      <xdr:row>50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17</xdr:row>
      <xdr:rowOff>171450</xdr:rowOff>
    </xdr:from>
    <xdr:to>
      <xdr:col>21</xdr:col>
      <xdr:colOff>161925</xdr:colOff>
      <xdr:row>34</xdr:row>
      <xdr:rowOff>4763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219075</xdr:colOff>
      <xdr:row>1</xdr:row>
      <xdr:rowOff>9525</xdr:rowOff>
    </xdr:from>
    <xdr:to>
      <xdr:col>21</xdr:col>
      <xdr:colOff>133350</xdr:colOff>
      <xdr:row>17</xdr:row>
      <xdr:rowOff>33338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表7" displayName="表7" ref="A2:C9" totalsRowShown="0" headerRowDxfId="55" dataDxfId="54" tableBorderDxfId="53">
  <tableColumns count="3">
    <tableColumn id="1" name="内容" dataDxfId="52"/>
    <tableColumn id="2" name="结果" dataDxfId="51"/>
    <tableColumn id="3" name="说明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12:C17" totalsRowShown="0" dataDxfId="48" headerRowBorderDxfId="49" tableBorderDxfId="47" totalsRowBorderDxfId="46">
  <tableColumns count="3">
    <tableColumn id="1" name="内容 " dataDxfId="45"/>
    <tableColumn id="2" name="计算结果" dataDxfId="44"/>
    <tableColumn id="3" name="说明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A20:C26" totalsRowShown="0" headerRowBorderDxfId="42" tableBorderDxfId="41" totalsRowBorderDxfId="40">
  <tableColumns count="3">
    <tableColumn id="1" name="内容"/>
    <tableColumn id="2" name="计算结果"/>
    <tableColumn id="3" name="说明" dataDxfId="3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表3" displayName="表3" ref="A3:H10" totalsRowShown="0" headerRowDxfId="38" dataDxfId="37">
  <tableColumns count="8">
    <tableColumn id="1" name="价格增长率" dataDxfId="36"/>
    <tableColumn id="2" name="每年增长率" dataDxfId="35">
      <calculatedColumnFormula>POWER(1+A4,28)-1</calculatedColumnFormula>
    </tableColumn>
    <tableColumn id="3" name="一年后价格" dataDxfId="34">
      <calculatedColumnFormula>(B4+1)*常量!$B$3</calculatedColumnFormula>
    </tableColumn>
    <tableColumn id="4" name="回本周期"/>
    <tableColumn id="5" name="投资回报率(ROI)" dataDxfId="33"/>
    <tableColumn id="6" name="净现值(NPV)" dataDxfId="32"/>
    <tableColumn id="7" name="内部收益率(IRR)" dataDxfId="31"/>
    <tableColumn id="8" name="全生命周期比特币均价" dataDxfId="3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A13:I22" totalsRowShown="0" headerRowDxfId="29">
  <tableColumns count="9">
    <tableColumn id="1" name="难度增长率" dataDxfId="28"/>
    <tableColumn id="2" name="每年增长率" dataDxfId="27">
      <calculatedColumnFormula>POWER(1+A14,28)-1</calculatedColumnFormula>
    </tableColumn>
    <tableColumn id="3" name="一年后总算力(P)" dataDxfId="26"/>
    <tableColumn id="4" name="需增加投资(亿元)" dataDxfId="25">
      <calculatedColumnFormula>B14*30</calculatedColumnFormula>
    </tableColumn>
    <tableColumn id="5" name="回本周期"/>
    <tableColumn id="6" name="投资回报率(ROI)" dataDxfId="24"/>
    <tableColumn id="7" name="净现值(NPV)" dataDxfId="23"/>
    <tableColumn id="8" name="内部收益率(IRR)" dataDxfId="22"/>
    <tableColumn id="9" name="全生命周期比特币均价" dataDxfId="2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" name="表1" displayName="表1" ref="A2:G234" totalsRowShown="0">
  <tableColumns count="7">
    <tableColumn id="1" name="序号"/>
    <tableColumn id="2" name="区块高度" dataDxfId="2"/>
    <tableColumn id="3" name="区块时间" dataDxfId="1"/>
    <tableColumn id="4" name="难度"/>
    <tableColumn id="5" name="增长率" dataDxfId="0"/>
    <tableColumn id="6" name="出块时间(Min)"/>
    <tableColumn id="7" name="平均算力(TH/s)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" name="表2" displayName="表2" ref="I2:J19" totalsRowShown="0">
  <tableColumns count="2">
    <tableColumn id="1" name="时间段"/>
    <tableColumn id="2" name="平均难度增长率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showGridLines="0" workbookViewId="0">
      <selection activeCell="A21" sqref="A21:B26"/>
    </sheetView>
  </sheetViews>
  <sheetFormatPr defaultColWidth="8.85546875" defaultRowHeight="15" customHeight="1" x14ac:dyDescent="0.25"/>
  <cols>
    <col min="1" max="1" width="31.7109375" style="1" customWidth="1"/>
    <col min="2" max="2" width="24.42578125" style="1" customWidth="1"/>
    <col min="3" max="3" width="59.85546875" style="1" bestFit="1" customWidth="1"/>
    <col min="4" max="256" width="8.85546875" style="1" customWidth="1"/>
  </cols>
  <sheetData>
    <row r="1" spans="1:256" ht="15.95" customHeight="1" x14ac:dyDescent="0.25">
      <c r="A1" s="80" t="s">
        <v>0</v>
      </c>
      <c r="B1" s="81"/>
      <c r="C1" s="81"/>
    </row>
    <row r="2" spans="1:256" ht="15.95" customHeight="1" x14ac:dyDescent="0.25">
      <c r="A2" s="25" t="s">
        <v>33</v>
      </c>
      <c r="B2" s="27" t="s">
        <v>47</v>
      </c>
      <c r="C2" s="28" t="s">
        <v>5</v>
      </c>
    </row>
    <row r="3" spans="1:256" ht="15.95" customHeight="1" x14ac:dyDescent="0.25">
      <c r="A3" s="20" t="s">
        <v>69</v>
      </c>
      <c r="B3" s="43">
        <v>3.3999999999999998E-3</v>
      </c>
      <c r="C3" s="47" t="s">
        <v>68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256" ht="15.95" customHeight="1" x14ac:dyDescent="0.25">
      <c r="A4" s="19" t="s">
        <v>50</v>
      </c>
      <c r="B4" s="34">
        <f>MATCH(0,收益计算!H3:H74,-1)</f>
        <v>59</v>
      </c>
      <c r="C4" s="35" t="s">
        <v>54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5.95" customHeight="1" x14ac:dyDescent="0.25">
      <c r="A5" s="20" t="s">
        <v>70</v>
      </c>
      <c r="B5" s="73">
        <f>INDEX(收益计算!B3:B74,B4)+13</f>
        <v>43680</v>
      </c>
      <c r="C5" s="47" t="s">
        <v>49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15.95" customHeight="1" x14ac:dyDescent="0.25">
      <c r="A6" s="31" t="s">
        <v>2</v>
      </c>
      <c r="B6" s="32">
        <f>收益统计!B5-收益计算!B3</f>
        <v>767</v>
      </c>
      <c r="C6" s="33" t="s">
        <v>41</v>
      </c>
    </row>
    <row r="7" spans="1:256" ht="15.95" customHeight="1" x14ac:dyDescent="0.25">
      <c r="A7" s="19" t="s">
        <v>6</v>
      </c>
      <c r="B7" s="34">
        <f ca="1">SUM(OFFSET(收益计算!F3:F74,0,0,收益统计!B4))</f>
        <v>167.10964569339507</v>
      </c>
      <c r="C7" s="35" t="s">
        <v>7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ht="15.95" customHeight="1" x14ac:dyDescent="0.25">
      <c r="A8" s="36" t="s">
        <v>1</v>
      </c>
      <c r="B8" s="37">
        <f>B6*常量!B16/13</f>
        <v>1005076.8</v>
      </c>
      <c r="C8" s="33" t="s">
        <v>35</v>
      </c>
    </row>
    <row r="9" spans="1:256" ht="15.95" customHeight="1" x14ac:dyDescent="0.25">
      <c r="A9" s="38" t="s">
        <v>103</v>
      </c>
      <c r="B9" s="39">
        <f>MATCH(常量!B14,收益计算!K3:K74,1)*13 + 变量!B5</f>
        <v>225</v>
      </c>
      <c r="C9" s="40" t="s">
        <v>41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256" ht="15.95" customHeight="1" x14ac:dyDescent="0.25">
      <c r="A10" s="4"/>
      <c r="B10" s="2"/>
      <c r="C10" s="3"/>
    </row>
    <row r="11" spans="1:256" ht="15.95" customHeight="1" x14ac:dyDescent="0.25">
      <c r="A11" s="85" t="s">
        <v>3</v>
      </c>
      <c r="B11" s="83"/>
      <c r="C11" s="84"/>
    </row>
    <row r="12" spans="1:256" ht="15.95" customHeight="1" x14ac:dyDescent="0.25">
      <c r="A12" s="26" t="s">
        <v>48</v>
      </c>
      <c r="B12" s="29" t="s">
        <v>4</v>
      </c>
      <c r="C12" s="30" t="s">
        <v>5</v>
      </c>
    </row>
    <row r="13" spans="1:256" ht="15.95" customHeight="1" x14ac:dyDescent="0.25">
      <c r="A13" s="20" t="s">
        <v>52</v>
      </c>
      <c r="B13" s="34">
        <f>INDEX(收益计算!K3:K74,收益统计!B4)</f>
        <v>1896097.1021220828</v>
      </c>
      <c r="C13" s="35" t="s">
        <v>9</v>
      </c>
    </row>
    <row r="14" spans="1:256" ht="15.95" customHeight="1" x14ac:dyDescent="0.25">
      <c r="A14" s="20" t="s">
        <v>8</v>
      </c>
      <c r="B14" s="41">
        <f>B13-常量!B14</f>
        <v>851097.10212208284</v>
      </c>
      <c r="C14" s="35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ht="15.95" customHeight="1" x14ac:dyDescent="0.25">
      <c r="A15" s="42" t="s">
        <v>11</v>
      </c>
      <c r="B15" s="43">
        <f>B14/常量!B14/(收益统计!B5-常量!B2)*365</f>
        <v>0.37299015119444356</v>
      </c>
      <c r="C15" s="53" t="s">
        <v>95</v>
      </c>
    </row>
    <row r="16" spans="1:256" ht="15.95" customHeight="1" x14ac:dyDescent="0.25">
      <c r="A16" s="20" t="s">
        <v>66</v>
      </c>
      <c r="B16" s="41">
        <f ca="1">XNPV(B3,OFFSET(收益计算!H2:H74,0,0,B4),OFFSET(收益计算!B2:B74,0,0,B4))</f>
        <v>846387.93016444379</v>
      </c>
      <c r="C16" s="45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t="15.95" customHeight="1" x14ac:dyDescent="0.25">
      <c r="A17" s="20" t="s">
        <v>67</v>
      </c>
      <c r="B17" s="43">
        <f ca="1">XIRR(OFFSET(收益计算!H2:H74,0,0,B4),OFFSET(收益计算!B2:B74,0,0,B4))</f>
        <v>1.9316057920455934</v>
      </c>
      <c r="C17" s="4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t="15.95" customHeight="1" x14ac:dyDescent="0.25">
      <c r="A18" s="4"/>
      <c r="B18" s="2"/>
      <c r="C18" s="3"/>
    </row>
    <row r="19" spans="1:256" ht="15.95" customHeight="1" x14ac:dyDescent="0.25">
      <c r="A19" s="82" t="s">
        <v>71</v>
      </c>
      <c r="B19" s="83"/>
      <c r="C19" s="84"/>
    </row>
    <row r="20" spans="1:256" ht="15.95" customHeight="1" x14ac:dyDescent="0.25">
      <c r="A20" s="26" t="s">
        <v>33</v>
      </c>
      <c r="B20" s="29" t="s">
        <v>4</v>
      </c>
      <c r="C20" s="30" t="s">
        <v>5</v>
      </c>
    </row>
    <row r="21" spans="1:256" ht="15.95" customHeight="1" x14ac:dyDescent="0.25">
      <c r="A21" s="20" t="s">
        <v>53</v>
      </c>
      <c r="B21" s="46">
        <f>INDEX(收益计算!L3:'收益计算'!L74,收益统计!B4)</f>
        <v>113.77664411839315</v>
      </c>
      <c r="C21" s="47" t="s">
        <v>51</v>
      </c>
    </row>
    <row r="22" spans="1:256" ht="15.95" customHeight="1" x14ac:dyDescent="0.25">
      <c r="A22" s="20" t="s">
        <v>10</v>
      </c>
      <c r="B22" s="46">
        <f>B21-常量!B17</f>
        <v>39.133786975536012</v>
      </c>
      <c r="C22" s="4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5.95" customHeight="1" x14ac:dyDescent="0.25">
      <c r="A23" s="48" t="s">
        <v>11</v>
      </c>
      <c r="B23" s="49">
        <f>B22/常量!B17/B6*365</f>
        <v>0.24949458393790386</v>
      </c>
      <c r="C23" s="50"/>
    </row>
    <row r="24" spans="1:256" ht="15.95" customHeight="1" x14ac:dyDescent="0.25">
      <c r="A24" s="20" t="s">
        <v>66</v>
      </c>
      <c r="B24" s="41">
        <f ca="1">XNPV(B3,OFFSET(收益计算!I2:I74,0,0,B4),OFFSET(收益计算!B2:B74,0,0,B4))</f>
        <v>38.883509879908608</v>
      </c>
      <c r="C24" s="50" t="s">
        <v>74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t="15.95" customHeight="1" x14ac:dyDescent="0.25">
      <c r="A25" s="20" t="s">
        <v>67</v>
      </c>
      <c r="B25" s="43">
        <f ca="1">XIRR(OFFSET(收益计算!I2:I74,0,0,B4),OFFSET(收益计算!B2:B74,0,0,B4))</f>
        <v>1.2170459389686581</v>
      </c>
      <c r="C25" s="5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t="15.95" customHeight="1" x14ac:dyDescent="0.25">
      <c r="A26" s="51" t="s">
        <v>13</v>
      </c>
      <c r="B26" s="44">
        <f>常量!B14/收益统计!B21</f>
        <v>9184.6618266627629</v>
      </c>
      <c r="C26" s="52" t="s">
        <v>35</v>
      </c>
    </row>
  </sheetData>
  <mergeCells count="3">
    <mergeCell ref="A1:C1"/>
    <mergeCell ref="A19:C19"/>
    <mergeCell ref="A11:C11"/>
  </mergeCells>
  <pageMargins left="0.7" right="0.7" top="0.75" bottom="0.75" header="0.3" footer="0.3"/>
  <pageSetup orientation="portrait"/>
  <headerFooter>
    <oddFooter>&amp;C&amp;"Helvetica,Regular"&amp;12&amp;K000000&amp;P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D22" sqref="D22"/>
    </sheetView>
  </sheetViews>
  <sheetFormatPr defaultRowHeight="15" x14ac:dyDescent="0.25"/>
  <cols>
    <col min="1" max="1" width="12.42578125" customWidth="1"/>
    <col min="2" max="2" width="12.42578125" bestFit="1" customWidth="1"/>
    <col min="3" max="3" width="23.5703125" customWidth="1"/>
    <col min="4" max="4" width="18.7109375" bestFit="1" customWidth="1"/>
    <col min="5" max="6" width="17.28515625" bestFit="1" customWidth="1"/>
    <col min="7" max="7" width="16.85546875" bestFit="1" customWidth="1"/>
    <col min="8" max="9" width="24.28515625" bestFit="1" customWidth="1"/>
  </cols>
  <sheetData>
    <row r="2" spans="1:9" x14ac:dyDescent="0.25">
      <c r="A2" t="s">
        <v>96</v>
      </c>
    </row>
    <row r="3" spans="1:9" x14ac:dyDescent="0.25">
      <c r="A3" s="78" t="s">
        <v>109</v>
      </c>
      <c r="B3" t="s">
        <v>97</v>
      </c>
      <c r="C3" t="s">
        <v>98</v>
      </c>
      <c r="D3" t="s">
        <v>12</v>
      </c>
      <c r="E3" t="s">
        <v>11</v>
      </c>
      <c r="F3" t="s">
        <v>66</v>
      </c>
      <c r="G3" t="s">
        <v>67</v>
      </c>
      <c r="H3" s="78" t="s">
        <v>13</v>
      </c>
    </row>
    <row r="4" spans="1:9" x14ac:dyDescent="0.25">
      <c r="A4" s="76">
        <v>-0.05</v>
      </c>
      <c r="B4" s="62">
        <f>POWER(1+A4,28)-1</f>
        <v>-0.76217311474466753</v>
      </c>
      <c r="C4" s="77">
        <f>(B4+1)*常量!$B$3</f>
        <v>3329.5763935746545</v>
      </c>
      <c r="D4">
        <v>966</v>
      </c>
      <c r="E4" s="62">
        <v>-0.64426572108707336</v>
      </c>
      <c r="F4" s="60">
        <v>-511761.85794288933</v>
      </c>
      <c r="G4" s="62">
        <v>-0.90968345776200299</v>
      </c>
      <c r="H4" s="79">
        <v>18614.010468020642</v>
      </c>
    </row>
    <row r="5" spans="1:9" x14ac:dyDescent="0.25">
      <c r="A5" s="76">
        <v>-0.02</v>
      </c>
      <c r="B5" s="62">
        <f t="shared" ref="B5:B10" si="0">POWER(1+A5,28)-1</f>
        <v>-0.432023824049941</v>
      </c>
      <c r="C5" s="77">
        <f>(B5+1)*常量!$B$3</f>
        <v>7951.6664633008259</v>
      </c>
      <c r="D5">
        <v>966</v>
      </c>
      <c r="E5" s="62">
        <v>-0.14040446115912014</v>
      </c>
      <c r="F5" s="60">
        <v>-165403.57781884947</v>
      </c>
      <c r="G5" s="62">
        <v>-0.37300716266036049</v>
      </c>
      <c r="H5" s="79">
        <v>13456.474710793971</v>
      </c>
    </row>
    <row r="6" spans="1:9" x14ac:dyDescent="0.25">
      <c r="A6" s="76">
        <v>-0.01</v>
      </c>
      <c r="B6" s="62">
        <f t="shared" si="0"/>
        <v>-0.24528071279636765</v>
      </c>
      <c r="C6" s="77">
        <f>(B6+1)*常量!$B$3</f>
        <v>10566.070020850853</v>
      </c>
      <c r="D6">
        <v>368</v>
      </c>
      <c r="E6" s="62">
        <v>3.0981637052262503E-2</v>
      </c>
      <c r="F6" s="60">
        <v>40706.627053391188</v>
      </c>
      <c r="G6" s="62">
        <v>0.10108664631843567</v>
      </c>
      <c r="H6" s="79">
        <v>11921.868027758986</v>
      </c>
    </row>
    <row r="7" spans="1:9" x14ac:dyDescent="0.25">
      <c r="A7" s="76">
        <v>0</v>
      </c>
      <c r="B7" s="62">
        <f t="shared" si="0"/>
        <v>0</v>
      </c>
      <c r="C7" s="77">
        <f>(B7+1)*常量!$B$3</f>
        <v>14000</v>
      </c>
      <c r="D7">
        <v>264</v>
      </c>
      <c r="E7" s="62">
        <v>0.19859576775045212</v>
      </c>
      <c r="F7" s="60">
        <v>347260.28919114254</v>
      </c>
      <c r="G7" s="62">
        <v>0.84483515024185207</v>
      </c>
      <c r="H7" s="79">
        <v>10489.87517607546</v>
      </c>
    </row>
    <row r="8" spans="1:9" x14ac:dyDescent="0.25">
      <c r="A8" s="76">
        <v>0.01</v>
      </c>
      <c r="B8" s="62">
        <f t="shared" si="0"/>
        <v>0.3212909668982511</v>
      </c>
      <c r="C8" s="77">
        <f>(B8+1)*常量!$B$3</f>
        <v>18498.073536575514</v>
      </c>
      <c r="D8">
        <v>225</v>
      </c>
      <c r="E8" s="62">
        <v>0.37299015119444356</v>
      </c>
      <c r="F8" s="60">
        <v>846387.93016444379</v>
      </c>
      <c r="G8" s="62">
        <v>1.9316057920455934</v>
      </c>
      <c r="H8" s="79">
        <v>9184.6618266627629</v>
      </c>
    </row>
    <row r="9" spans="1:9" x14ac:dyDescent="0.25">
      <c r="A9" s="76">
        <v>0.02</v>
      </c>
      <c r="B9" s="62">
        <f t="shared" si="0"/>
        <v>0.74102420617392695</v>
      </c>
      <c r="C9" s="77">
        <f>(B9+1)*常量!$B$3</f>
        <v>24374.338886434976</v>
      </c>
      <c r="D9">
        <v>199</v>
      </c>
      <c r="E9" s="62">
        <v>0.63785796820140095</v>
      </c>
      <c r="F9" s="60">
        <v>1748451.56212763</v>
      </c>
      <c r="G9" s="62">
        <v>3.40964691638947</v>
      </c>
      <c r="H9" s="79">
        <v>8108.6983046026389</v>
      </c>
    </row>
    <row r="10" spans="1:9" x14ac:dyDescent="0.25">
      <c r="A10" s="76">
        <v>0.05</v>
      </c>
      <c r="B10" s="62">
        <f t="shared" si="0"/>
        <v>2.9201291384586514</v>
      </c>
      <c r="C10" s="77">
        <f>(B10+1)*常量!$B$3</f>
        <v>54881.807938421123</v>
      </c>
      <c r="D10">
        <v>160</v>
      </c>
      <c r="E10" s="62">
        <v>3.2090133959340101</v>
      </c>
      <c r="F10" s="60">
        <v>8641314.0173516907</v>
      </c>
      <c r="G10" s="62">
        <v>10.9982321739197</v>
      </c>
      <c r="H10" s="79">
        <v>6885.8597147468163</v>
      </c>
    </row>
    <row r="11" spans="1:9" x14ac:dyDescent="0.25">
      <c r="B11" s="76"/>
    </row>
    <row r="12" spans="1:9" x14ac:dyDescent="0.25">
      <c r="A12" s="78" t="s">
        <v>99</v>
      </c>
    </row>
    <row r="13" spans="1:9" x14ac:dyDescent="0.25">
      <c r="A13" s="78" t="s">
        <v>102</v>
      </c>
      <c r="B13" t="s">
        <v>97</v>
      </c>
      <c r="C13" s="78" t="s">
        <v>100</v>
      </c>
      <c r="D13" s="78" t="s">
        <v>101</v>
      </c>
      <c r="E13" s="78" t="s">
        <v>12</v>
      </c>
      <c r="F13" s="78" t="s">
        <v>11</v>
      </c>
      <c r="G13" s="78" t="s">
        <v>66</v>
      </c>
      <c r="H13" s="78" t="s">
        <v>67</v>
      </c>
      <c r="I13" s="78" t="s">
        <v>13</v>
      </c>
    </row>
    <row r="14" spans="1:9" x14ac:dyDescent="0.25">
      <c r="A14" s="76">
        <v>-0.02</v>
      </c>
      <c r="B14" s="62">
        <f>POWER(1+A14,28)-1</f>
        <v>-0.432023824049941</v>
      </c>
      <c r="C14" s="77">
        <f>(1+B14)*难度统计!G3/1000</f>
        <v>2419.5785095472511</v>
      </c>
      <c r="D14" s="77">
        <f>B14*30</f>
        <v>-12.960714721498229</v>
      </c>
      <c r="E14">
        <v>160</v>
      </c>
      <c r="F14" s="62">
        <v>8.6499143112701677</v>
      </c>
      <c r="G14" s="60">
        <v>22925884.702642065</v>
      </c>
      <c r="H14" s="62">
        <v>16.595405673980714</v>
      </c>
      <c r="I14" s="60">
        <v>950.42687032513936</v>
      </c>
    </row>
    <row r="15" spans="1:9" x14ac:dyDescent="0.25">
      <c r="A15" s="76">
        <v>-0.01</v>
      </c>
      <c r="B15" s="62">
        <f t="shared" ref="B15:B21" si="1">POWER(1+A15,28)-1</f>
        <v>-0.24528071279636765</v>
      </c>
      <c r="C15" s="77">
        <f>(1+B15)*难度统计!G4/1000</f>
        <v>3026.4243416865661</v>
      </c>
      <c r="D15" s="77">
        <f t="shared" ref="D15:D21" si="2">B15*30</f>
        <v>-7.3584213838910291</v>
      </c>
      <c r="E15">
        <v>160</v>
      </c>
      <c r="F15" s="62">
        <v>5.2178027408439558</v>
      </c>
      <c r="G15" s="60">
        <v>13931946.339277724</v>
      </c>
      <c r="H15" s="62">
        <v>12.56943693161011</v>
      </c>
      <c r="I15" s="60">
        <v>1476.6823407696891</v>
      </c>
    </row>
    <row r="16" spans="1:9" x14ac:dyDescent="0.25">
      <c r="A16" s="76">
        <v>0</v>
      </c>
      <c r="B16" s="62">
        <f t="shared" si="1"/>
        <v>0</v>
      </c>
      <c r="C16" s="77">
        <f>(1+B16)*难度统计!G5/1000</f>
        <v>3740</v>
      </c>
      <c r="D16" s="77">
        <f t="shared" si="2"/>
        <v>0</v>
      </c>
      <c r="E16">
        <v>173</v>
      </c>
      <c r="F16" s="62">
        <v>3.162345439650514</v>
      </c>
      <c r="G16" s="60">
        <v>8501244.7205449436</v>
      </c>
      <c r="H16" s="62">
        <v>9.3771513938903812</v>
      </c>
      <c r="I16" s="60">
        <v>2235.7224394723803</v>
      </c>
    </row>
    <row r="17" spans="1:9" x14ac:dyDescent="0.25">
      <c r="A17" s="76">
        <v>0.01</v>
      </c>
      <c r="B17" s="62">
        <f t="shared" si="1"/>
        <v>0.3212909668982511</v>
      </c>
      <c r="C17" s="77">
        <f>(1+B17)*难度统计!G6/1000</f>
        <v>4928.4153065304763</v>
      </c>
      <c r="D17" s="77">
        <f t="shared" si="2"/>
        <v>9.638729006947532</v>
      </c>
      <c r="E17">
        <v>173</v>
      </c>
      <c r="F17" s="62">
        <v>1.9081981868761391</v>
      </c>
      <c r="G17" s="60">
        <v>5162008.0372748254</v>
      </c>
      <c r="H17" s="62">
        <v>6.8466331005096448</v>
      </c>
      <c r="I17" s="60">
        <v>3298.1668215179079</v>
      </c>
    </row>
    <row r="18" spans="1:9" x14ac:dyDescent="0.25">
      <c r="A18" s="76">
        <v>0.02</v>
      </c>
      <c r="B18" s="62">
        <f t="shared" si="1"/>
        <v>0.74102420617392695</v>
      </c>
      <c r="C18" s="77">
        <f>(1+B18)*难度统计!G7/1000</f>
        <v>6215.4564160409191</v>
      </c>
      <c r="D18" s="77">
        <f t="shared" si="2"/>
        <v>22.230726185217808</v>
      </c>
      <c r="E18">
        <v>186</v>
      </c>
      <c r="F18" s="62">
        <v>1.1257183405046614</v>
      </c>
      <c r="G18" s="60">
        <v>3063782.4455245403</v>
      </c>
      <c r="H18" s="62">
        <v>4.8371150493621835</v>
      </c>
      <c r="I18" s="60">
        <v>4748.5582246993654</v>
      </c>
    </row>
    <row r="19" spans="1:9" x14ac:dyDescent="0.25">
      <c r="A19" s="76">
        <v>0.04</v>
      </c>
      <c r="B19" s="62">
        <f t="shared" si="1"/>
        <v>1.9987033191822694</v>
      </c>
      <c r="C19" s="77">
        <f>(1+B19)*难度统计!G8/1000</f>
        <v>10195.591285219716</v>
      </c>
      <c r="D19" s="77">
        <f t="shared" si="2"/>
        <v>59.961099575468083</v>
      </c>
      <c r="E19">
        <v>225</v>
      </c>
      <c r="F19" s="62">
        <v>0.37299015119444356</v>
      </c>
      <c r="G19" s="60">
        <v>846387.93016444379</v>
      </c>
      <c r="H19" s="62">
        <v>1.9316057920455934</v>
      </c>
      <c r="I19" s="60">
        <v>9184.6618266627629</v>
      </c>
    </row>
    <row r="20" spans="1:9" x14ac:dyDescent="0.25">
      <c r="A20" s="76">
        <v>0.05</v>
      </c>
      <c r="B20" s="62">
        <f t="shared" si="1"/>
        <v>2.9201291384586514</v>
      </c>
      <c r="C20" s="77">
        <f>(1+B20)*难度统计!G8/1000</f>
        <v>13328.439070759416</v>
      </c>
      <c r="D20" s="77">
        <f t="shared" si="2"/>
        <v>87.603874153759548</v>
      </c>
      <c r="E20">
        <v>251</v>
      </c>
      <c r="F20" s="62">
        <v>0.21704757816623077</v>
      </c>
      <c r="G20" s="60">
        <v>379698.72606438521</v>
      </c>
      <c r="H20" s="62">
        <v>0.94794627428054801</v>
      </c>
      <c r="I20" s="60">
        <v>11749.280772295278</v>
      </c>
    </row>
    <row r="21" spans="1:9" x14ac:dyDescent="0.25">
      <c r="A21" s="76">
        <v>7.0000000000000007E-2</v>
      </c>
      <c r="B21" s="62">
        <f t="shared" si="1"/>
        <v>5.6488383637540664</v>
      </c>
      <c r="C21" s="77">
        <f>(1+B21)*难度统计!G9/1000</f>
        <v>21941.16660038842</v>
      </c>
      <c r="D21" s="77">
        <f t="shared" si="2"/>
        <v>169.46515091262199</v>
      </c>
      <c r="E21">
        <v>966</v>
      </c>
      <c r="F21" s="62">
        <v>-7.2760245042112578E-2</v>
      </c>
      <c r="G21" s="60">
        <v>-88729.927755535435</v>
      </c>
      <c r="H21" s="62">
        <v>-0.21445591375231743</v>
      </c>
      <c r="I21" s="60">
        <v>16844.726726708144</v>
      </c>
    </row>
    <row r="22" spans="1:9" x14ac:dyDescent="0.25">
      <c r="A22" s="76">
        <v>0.1</v>
      </c>
      <c r="B22" s="62">
        <f>POWER(1+A22,28)-1</f>
        <v>13.420993610649951</v>
      </c>
      <c r="C22" s="77">
        <f>(1+B22)*难度统计!G10/1000</f>
        <v>45426.129873547347</v>
      </c>
      <c r="D22" s="77">
        <f>B22*30</f>
        <v>402.62980831949852</v>
      </c>
      <c r="F22" s="62"/>
      <c r="G22" s="60"/>
      <c r="H22" s="62"/>
      <c r="I22" s="60"/>
    </row>
    <row r="24" spans="1:9" x14ac:dyDescent="0.25">
      <c r="A24" s="78"/>
    </row>
    <row r="25" spans="1:9" x14ac:dyDescent="0.25">
      <c r="A25" s="78"/>
      <c r="B25" s="78"/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4"/>
  <sheetViews>
    <sheetView showGridLines="0" workbookViewId="0">
      <selection activeCell="D50" sqref="D50"/>
    </sheetView>
  </sheetViews>
  <sheetFormatPr defaultColWidth="8.85546875" defaultRowHeight="15" customHeight="1" x14ac:dyDescent="0.25"/>
  <cols>
    <col min="1" max="1" width="5.5703125" style="5" bestFit="1" customWidth="1"/>
    <col min="2" max="2" width="10.7109375" style="5" bestFit="1" customWidth="1"/>
    <col min="3" max="3" width="7.85546875" style="5" bestFit="1" customWidth="1"/>
    <col min="4" max="4" width="17.5703125" style="5" bestFit="1" customWidth="1"/>
    <col min="5" max="5" width="14" style="18" bestFit="1" customWidth="1"/>
    <col min="6" max="6" width="8.85546875" style="5" customWidth="1"/>
    <col min="7" max="7" width="12.42578125" style="5" bestFit="1" customWidth="1"/>
    <col min="8" max="8" width="15" style="5" bestFit="1" customWidth="1"/>
    <col min="9" max="9" width="14.140625" style="5" bestFit="1" customWidth="1"/>
    <col min="10" max="10" width="19.7109375" style="18" hidden="1" customWidth="1"/>
    <col min="11" max="11" width="16.7109375" style="5" bestFit="1" customWidth="1"/>
    <col min="12" max="12" width="14.140625" style="5" customWidth="1"/>
    <col min="13" max="13" width="15" style="18" bestFit="1" customWidth="1"/>
    <col min="14" max="14" width="14.140625" bestFit="1" customWidth="1"/>
    <col min="15" max="259" width="8.85546875" style="5" customWidth="1"/>
  </cols>
  <sheetData>
    <row r="1" spans="1:259" ht="30" x14ac:dyDescent="0.25">
      <c r="A1" s="24" t="s">
        <v>45</v>
      </c>
      <c r="B1" s="23" t="s">
        <v>44</v>
      </c>
      <c r="C1" s="23" t="s">
        <v>43</v>
      </c>
      <c r="D1" s="6" t="s">
        <v>14</v>
      </c>
      <c r="E1" s="23" t="s">
        <v>65</v>
      </c>
      <c r="F1" s="23" t="s">
        <v>42</v>
      </c>
      <c r="G1" s="23" t="s">
        <v>46</v>
      </c>
      <c r="H1" s="23" t="s">
        <v>72</v>
      </c>
      <c r="I1" s="23" t="s">
        <v>73</v>
      </c>
      <c r="J1" s="23" t="s">
        <v>104</v>
      </c>
      <c r="K1" s="23" t="s">
        <v>105</v>
      </c>
      <c r="L1" s="23" t="s">
        <v>106</v>
      </c>
      <c r="M1" s="6" t="s">
        <v>108</v>
      </c>
      <c r="N1" s="6" t="s">
        <v>107</v>
      </c>
    </row>
    <row r="2" spans="1:259" x14ac:dyDescent="0.25">
      <c r="A2" s="7">
        <v>0</v>
      </c>
      <c r="B2" s="74">
        <f>常量!B2</f>
        <v>42883</v>
      </c>
      <c r="C2" s="8">
        <v>0</v>
      </c>
      <c r="D2" s="8">
        <f>常量!B4</f>
        <v>595921917085</v>
      </c>
      <c r="E2" s="8">
        <v>0</v>
      </c>
      <c r="F2" s="9">
        <v>0</v>
      </c>
      <c r="G2" s="10">
        <v>14000</v>
      </c>
      <c r="H2" s="10">
        <f>-常量!B14</f>
        <v>-1045000</v>
      </c>
      <c r="I2" s="10">
        <f>-常量!B17</f>
        <v>-74.642857142857139</v>
      </c>
      <c r="J2" s="10">
        <f>-常量!B14/G2</f>
        <v>-74.642857142857139</v>
      </c>
      <c r="K2" s="10"/>
      <c r="L2" s="10"/>
      <c r="M2" s="8"/>
      <c r="N2" s="9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</row>
    <row r="3" spans="1:259" ht="15.95" customHeight="1" x14ac:dyDescent="0.25">
      <c r="A3" s="7">
        <v>1</v>
      </c>
      <c r="B3" s="74">
        <f>常量!B2+变量!B5</f>
        <v>42913</v>
      </c>
      <c r="C3" s="8">
        <f>B3-常量!$B$2</f>
        <v>30</v>
      </c>
      <c r="D3" s="8">
        <f>常量!B4</f>
        <v>595921917085</v>
      </c>
      <c r="E3" s="8">
        <f>常量!$B$14*POWER(变量!$B$4,C3/13)</f>
        <v>319.7280393006746</v>
      </c>
      <c r="F3" s="9">
        <f>常量!B15*常量!B7*13*(1-常量!$B$13)</f>
        <v>7.345078</v>
      </c>
      <c r="G3" s="10">
        <f>G2*POWER(1+变量!$B$2,C3/13)</f>
        <v>14325.191511965997</v>
      </c>
      <c r="H3" s="10">
        <f>F3*G3-常量!$B$16</f>
        <v>88184.449020328189</v>
      </c>
      <c r="I3" s="10">
        <f>F3-常量!$B$16/G3</f>
        <v>6.155900180927194</v>
      </c>
      <c r="J3" s="10">
        <f>-常量!$B$16/收益计算!G3</f>
        <v>-1.1891778190728062</v>
      </c>
      <c r="K3" s="10">
        <f>H3</f>
        <v>88184.449020328189</v>
      </c>
      <c r="L3" s="10">
        <f>I3</f>
        <v>6.155900180927194</v>
      </c>
      <c r="M3" s="8">
        <f>-H2</f>
        <v>1045000</v>
      </c>
      <c r="N3" s="9">
        <f>-I2</f>
        <v>74.642857142857139</v>
      </c>
    </row>
    <row r="4" spans="1:259" ht="15.95" customHeight="1" x14ac:dyDescent="0.25">
      <c r="A4" s="7">
        <v>2</v>
      </c>
      <c r="B4" s="74">
        <f t="shared" ref="B4:B35" si="0">B3+13</f>
        <v>42926</v>
      </c>
      <c r="C4" s="8">
        <f>B4-常量!$B$2</f>
        <v>43</v>
      </c>
      <c r="D4" s="8">
        <f>D3*(1+变量!$B$3)</f>
        <v>619758793768.40002</v>
      </c>
      <c r="E4" s="8">
        <f>E3*(1-变量!$B$4)</f>
        <v>310.13619812165433</v>
      </c>
      <c r="F4" s="9">
        <f>F3*(1-变量!$B$3)</f>
        <v>7.0512748799999994</v>
      </c>
      <c r="G4" s="10">
        <f>G3*(1+变量!$B$2)</f>
        <v>14468.443427085656</v>
      </c>
      <c r="H4" s="10">
        <f>F4*G4-常量!$B$16</f>
        <v>84985.771690110196</v>
      </c>
      <c r="I4" s="10">
        <f>F4-常量!$B$16/G4</f>
        <v>5.8738710987397953</v>
      </c>
      <c r="J4" s="10">
        <f>-常量!$B$16/收益计算!G4</f>
        <v>-1.1774037812602043</v>
      </c>
      <c r="K4" s="10">
        <f t="shared" ref="K4:K35" si="1">K3+H4</f>
        <v>173170.22071043839</v>
      </c>
      <c r="L4" s="10">
        <f t="shared" ref="L4:L35" si="2">L3+I4</f>
        <v>12.029771279666988</v>
      </c>
      <c r="M4" s="8">
        <f>M3</f>
        <v>1045000</v>
      </c>
      <c r="N4" s="9">
        <f>N3</f>
        <v>74.642857142857139</v>
      </c>
    </row>
    <row r="5" spans="1:259" ht="15.95" customHeight="1" x14ac:dyDescent="0.25">
      <c r="A5" s="7">
        <v>3</v>
      </c>
      <c r="B5" s="74">
        <f t="shared" si="0"/>
        <v>42939</v>
      </c>
      <c r="C5" s="8">
        <f>B5-常量!$B$2</f>
        <v>56</v>
      </c>
      <c r="D5" s="8">
        <f>D4*(1+变量!$B$3)</f>
        <v>644549145519.13611</v>
      </c>
      <c r="E5" s="8">
        <f>E4*(1-变量!$B$4)</f>
        <v>300.83211217800471</v>
      </c>
      <c r="F5" s="9">
        <f>F4*(1-变量!$B$3)</f>
        <v>6.7692238847999988</v>
      </c>
      <c r="G5" s="10">
        <f>G4*(1+变量!$B$2)</f>
        <v>14613.127861356514</v>
      </c>
      <c r="H5" s="10">
        <f>F5*G5-常量!$B$16</f>
        <v>81884.334150730836</v>
      </c>
      <c r="I5" s="10">
        <f>F5-常量!$B$16/G5</f>
        <v>5.6034775667205885</v>
      </c>
      <c r="J5" s="10">
        <f>-常量!$B$16/收益计算!G5</f>
        <v>-1.1657463180794101</v>
      </c>
      <c r="K5" s="10">
        <f t="shared" si="1"/>
        <v>255054.55486116922</v>
      </c>
      <c r="L5" s="10">
        <f t="shared" si="2"/>
        <v>17.633248846387577</v>
      </c>
      <c r="M5" s="8">
        <f t="shared" ref="M5:M68" si="3">M4</f>
        <v>1045000</v>
      </c>
      <c r="N5" s="9">
        <f t="shared" ref="N5:N68" si="4">N4</f>
        <v>74.642857142857139</v>
      </c>
    </row>
    <row r="6" spans="1:259" ht="15.95" customHeight="1" x14ac:dyDescent="0.25">
      <c r="A6" s="7">
        <v>4</v>
      </c>
      <c r="B6" s="74">
        <f t="shared" si="0"/>
        <v>42952</v>
      </c>
      <c r="C6" s="8">
        <f>B6-常量!$B$2</f>
        <v>69</v>
      </c>
      <c r="D6" s="8">
        <f>D5*(1+变量!$B$3)</f>
        <v>670331111339.90161</v>
      </c>
      <c r="E6" s="8">
        <f>E5*(1-变量!$B$4)</f>
        <v>291.80714881266454</v>
      </c>
      <c r="F6" s="9">
        <f>F5*(1-变量!$B$3)</f>
        <v>6.4984549294079983</v>
      </c>
      <c r="G6" s="10">
        <f>G5*(1+变量!$B$2)</f>
        <v>14759.25913997008</v>
      </c>
      <c r="H6" s="10">
        <f>F6*G6-常量!$B$16</f>
        <v>78877.180312548619</v>
      </c>
      <c r="I6" s="10">
        <f>F6-常量!$B$16/G6</f>
        <v>5.3442506540818497</v>
      </c>
      <c r="J6" s="10">
        <f>-常量!$B$16/收益计算!G6</f>
        <v>-1.1542042753261486</v>
      </c>
      <c r="K6" s="10">
        <f t="shared" si="1"/>
        <v>333931.73517371784</v>
      </c>
      <c r="L6" s="10">
        <f t="shared" si="2"/>
        <v>22.977499500469428</v>
      </c>
      <c r="M6" s="8">
        <f t="shared" si="3"/>
        <v>1045000</v>
      </c>
      <c r="N6" s="9">
        <f t="shared" si="4"/>
        <v>74.642857142857139</v>
      </c>
    </row>
    <row r="7" spans="1:259" ht="15.95" customHeight="1" x14ac:dyDescent="0.25">
      <c r="A7" s="7">
        <v>5</v>
      </c>
      <c r="B7" s="74">
        <f t="shared" si="0"/>
        <v>42965</v>
      </c>
      <c r="C7" s="8">
        <f>B7-常量!$B$2</f>
        <v>82</v>
      </c>
      <c r="D7" s="8">
        <f>D6*(1+变量!$B$3)</f>
        <v>697144355793.49768</v>
      </c>
      <c r="E7" s="8">
        <f>E6*(1-变量!$B$4)</f>
        <v>283.05293434828457</v>
      </c>
      <c r="F7" s="9">
        <f>F6*(1-变量!$B$3)</f>
        <v>6.2385167322316786</v>
      </c>
      <c r="G7" s="10">
        <f>G6*(1+变量!$B$2)</f>
        <v>14906.851731369781</v>
      </c>
      <c r="H7" s="10">
        <f>F7*G7-常量!$B$16</f>
        <v>75961.443951047157</v>
      </c>
      <c r="I7" s="10">
        <f>F7-常量!$B$16/G7</f>
        <v>5.0957402220077697</v>
      </c>
      <c r="J7" s="10">
        <f>-常量!$B$16/收益计算!G7</f>
        <v>-1.1427765102239094</v>
      </c>
      <c r="K7" s="10">
        <f t="shared" si="1"/>
        <v>409893.17912476498</v>
      </c>
      <c r="L7" s="10">
        <f t="shared" si="2"/>
        <v>28.073239722477197</v>
      </c>
      <c r="M7" s="8">
        <f t="shared" si="3"/>
        <v>1045000</v>
      </c>
      <c r="N7" s="9">
        <f t="shared" si="4"/>
        <v>74.642857142857139</v>
      </c>
    </row>
    <row r="8" spans="1:259" ht="15.75" customHeight="1" x14ac:dyDescent="0.25">
      <c r="A8" s="7">
        <v>6</v>
      </c>
      <c r="B8" s="74">
        <f t="shared" si="0"/>
        <v>42978</v>
      </c>
      <c r="C8" s="8">
        <f>B8-常量!$B$2</f>
        <v>95</v>
      </c>
      <c r="D8" s="8">
        <f>D7*(1+变量!$B$3)</f>
        <v>725030130025.23767</v>
      </c>
      <c r="E8" s="8">
        <f>E7*(1-变量!$B$4)</f>
        <v>274.56134631783601</v>
      </c>
      <c r="F8" s="9">
        <f>F7*(1-变量!$B$3)</f>
        <v>5.9889760629424114</v>
      </c>
      <c r="G8" s="10">
        <f>G7*(1+变量!$B$2)</f>
        <v>15055.920248683478</v>
      </c>
      <c r="H8" s="10">
        <f>F8*G8-常量!$B$16</f>
        <v>73134.345974935306</v>
      </c>
      <c r="I8" s="10">
        <f>F8-常量!$B$16/G8</f>
        <v>4.8575141716316104</v>
      </c>
      <c r="J8" s="10">
        <f>-常量!$B$16/收益计算!G8</f>
        <v>-1.1314618913108014</v>
      </c>
      <c r="K8" s="10">
        <f t="shared" si="1"/>
        <v>483027.52509970032</v>
      </c>
      <c r="L8" s="10">
        <f t="shared" si="2"/>
        <v>32.930753894108804</v>
      </c>
      <c r="M8" s="8">
        <f t="shared" si="3"/>
        <v>1045000</v>
      </c>
      <c r="N8" s="9">
        <f t="shared" si="4"/>
        <v>74.642857142857139</v>
      </c>
    </row>
    <row r="9" spans="1:259" ht="15.95" customHeight="1" x14ac:dyDescent="0.25">
      <c r="A9" s="7">
        <v>7</v>
      </c>
      <c r="B9" s="74">
        <f t="shared" si="0"/>
        <v>42991</v>
      </c>
      <c r="C9" s="8">
        <f>B9-常量!$B$2</f>
        <v>108</v>
      </c>
      <c r="D9" s="8">
        <f>D8*(1+变量!$B$3)</f>
        <v>754031335226.24719</v>
      </c>
      <c r="E9" s="8">
        <f>E8*(1-变量!$B$4)</f>
        <v>266.32450592830094</v>
      </c>
      <c r="F9" s="9">
        <f>F8*(1-变量!$B$3)</f>
        <v>5.7494170204247146</v>
      </c>
      <c r="G9" s="10">
        <f>G8*(1+变量!$B$2)</f>
        <v>15206.479451170313</v>
      </c>
      <c r="H9" s="10">
        <f>F9*G9-常量!$B$16</f>
        <v>70393.191777297267</v>
      </c>
      <c r="I9" s="10">
        <f>F9-常量!$B$16/G9</f>
        <v>4.6291577220971885</v>
      </c>
      <c r="J9" s="10">
        <f>-常量!$B$16/收益计算!G9</f>
        <v>-1.1202592983275261</v>
      </c>
      <c r="K9" s="10">
        <f t="shared" si="1"/>
        <v>553420.71687699761</v>
      </c>
      <c r="L9" s="10">
        <f t="shared" si="2"/>
        <v>37.559911616205994</v>
      </c>
      <c r="M9" s="8">
        <f t="shared" si="3"/>
        <v>1045000</v>
      </c>
      <c r="N9" s="9">
        <f t="shared" si="4"/>
        <v>74.642857142857139</v>
      </c>
    </row>
    <row r="10" spans="1:259" ht="15.95" customHeight="1" x14ac:dyDescent="0.25">
      <c r="A10" s="7">
        <v>8</v>
      </c>
      <c r="B10" s="74">
        <f t="shared" si="0"/>
        <v>43004</v>
      </c>
      <c r="C10" s="8">
        <f>B10-常量!$B$2</f>
        <v>121</v>
      </c>
      <c r="D10" s="8">
        <f>D9*(1+变量!$B$3)</f>
        <v>784192588635.29712</v>
      </c>
      <c r="E10" s="8">
        <f>E9*(1-变量!$B$4)</f>
        <v>258.33477075045192</v>
      </c>
      <c r="F10" s="9">
        <f>F9*(1-变量!$B$3)</f>
        <v>5.5194403396077254</v>
      </c>
      <c r="G10" s="10">
        <f>G9*(1+变量!$B$2)</f>
        <v>15358.544245682016</v>
      </c>
      <c r="H10" s="10">
        <f>F10*G10-常量!$B$16</f>
        <v>67735.368667267423</v>
      </c>
      <c r="I10" s="10">
        <f>F10-常量!$B$16/G10</f>
        <v>4.4102727175012637</v>
      </c>
      <c r="J10" s="10">
        <f>-常量!$B$16/收益计算!G10</f>
        <v>-1.1091676221064615</v>
      </c>
      <c r="K10" s="10">
        <f t="shared" si="1"/>
        <v>621156.08554426499</v>
      </c>
      <c r="L10" s="10">
        <f t="shared" si="2"/>
        <v>41.970184333707259</v>
      </c>
      <c r="M10" s="8">
        <f t="shared" si="3"/>
        <v>1045000</v>
      </c>
      <c r="N10" s="9">
        <f t="shared" si="4"/>
        <v>74.642857142857139</v>
      </c>
    </row>
    <row r="11" spans="1:259" ht="15.95" customHeight="1" x14ac:dyDescent="0.25">
      <c r="A11" s="7">
        <v>9</v>
      </c>
      <c r="B11" s="74">
        <f t="shared" si="0"/>
        <v>43017</v>
      </c>
      <c r="C11" s="8">
        <f>B11-常量!$B$2</f>
        <v>134</v>
      </c>
      <c r="D11" s="8">
        <f>D10*(1+变量!$B$3)</f>
        <v>815560292180.70898</v>
      </c>
      <c r="E11" s="8">
        <f>E10*(1-变量!$B$4)</f>
        <v>250.58472762793835</v>
      </c>
      <c r="F11" s="9">
        <f>F10*(1-变量!$B$3)</f>
        <v>5.2986627260234158</v>
      </c>
      <c r="G11" s="10">
        <f>G10*(1+变量!$B$2)</f>
        <v>15512.129688138837</v>
      </c>
      <c r="H11" s="10">
        <f>F11*G11-常量!$B$16</f>
        <v>65158.343379782498</v>
      </c>
      <c r="I11" s="10">
        <f>F11-常量!$B$16/G11</f>
        <v>4.2004769615615727</v>
      </c>
      <c r="J11" s="10">
        <f>-常量!$B$16/收益计算!G11</f>
        <v>-1.0981857644618431</v>
      </c>
      <c r="K11" s="10">
        <f t="shared" si="1"/>
        <v>686314.4289240475</v>
      </c>
      <c r="L11" s="10">
        <f t="shared" si="2"/>
        <v>46.170661295268829</v>
      </c>
      <c r="M11" s="8">
        <f t="shared" si="3"/>
        <v>1045000</v>
      </c>
      <c r="N11" s="9">
        <f t="shared" si="4"/>
        <v>74.642857142857139</v>
      </c>
    </row>
    <row r="12" spans="1:259" ht="15.95" customHeight="1" x14ac:dyDescent="0.25">
      <c r="A12" s="7">
        <v>10</v>
      </c>
      <c r="B12" s="74">
        <f t="shared" si="0"/>
        <v>43030</v>
      </c>
      <c r="C12" s="8">
        <f>B12-常量!$B$2</f>
        <v>147</v>
      </c>
      <c r="D12" s="8">
        <f>D11*(1+变量!$B$3)</f>
        <v>848182703867.93738</v>
      </c>
      <c r="E12" s="8">
        <f>E11*(1-变量!$B$4)</f>
        <v>243.0671857991002</v>
      </c>
      <c r="F12" s="9">
        <f>F11*(1-变量!$B$3)</f>
        <v>5.0867162169824791</v>
      </c>
      <c r="G12" s="10">
        <f>G11*(1+变量!$B$2)</f>
        <v>15667.250985020226</v>
      </c>
      <c r="H12" s="10">
        <f>F12*G12-常量!$B$16</f>
        <v>62659.659661037105</v>
      </c>
      <c r="I12" s="10">
        <f>F12-常量!$B$16/G12</f>
        <v>3.9994035789014464</v>
      </c>
      <c r="J12" s="10">
        <f>-常量!$B$16/收益计算!G12</f>
        <v>-1.0873126380810327</v>
      </c>
      <c r="K12" s="10">
        <f t="shared" si="1"/>
        <v>748974.08858508465</v>
      </c>
      <c r="L12" s="10">
        <f t="shared" si="2"/>
        <v>50.170064874170272</v>
      </c>
      <c r="M12" s="8">
        <f t="shared" si="3"/>
        <v>1045000</v>
      </c>
      <c r="N12" s="9">
        <f t="shared" si="4"/>
        <v>74.642857142857139</v>
      </c>
    </row>
    <row r="13" spans="1:259" ht="15.95" customHeight="1" x14ac:dyDescent="0.25">
      <c r="A13" s="7">
        <v>11</v>
      </c>
      <c r="B13" s="74">
        <f t="shared" si="0"/>
        <v>43043</v>
      </c>
      <c r="C13" s="8">
        <f>B13-常量!$B$2</f>
        <v>160</v>
      </c>
      <c r="D13" s="8">
        <f>D12*(1+变量!$B$3)</f>
        <v>882110012022.65491</v>
      </c>
      <c r="E13" s="8">
        <f>E12*(1-变量!$B$4)</f>
        <v>235.7751702251272</v>
      </c>
      <c r="F13" s="9">
        <f>F12*(1-变量!$B$3)</f>
        <v>4.8832475683031795</v>
      </c>
      <c r="G13" s="10">
        <f>G12*(1+变量!$B$2)</f>
        <v>15823.923494870429</v>
      </c>
      <c r="H13" s="10">
        <f>F13*G13-常量!$B$16</f>
        <v>60236.935927341576</v>
      </c>
      <c r="I13" s="10">
        <f>F13-常量!$B$16/G13</f>
        <v>3.8067004018863155</v>
      </c>
      <c r="J13" s="10">
        <f>-常量!$B$16/收益计算!G13</f>
        <v>-1.076547166416864</v>
      </c>
      <c r="K13" s="10">
        <f t="shared" si="1"/>
        <v>809211.02451242623</v>
      </c>
      <c r="L13" s="10">
        <f t="shared" si="2"/>
        <v>53.976765276056589</v>
      </c>
      <c r="M13" s="8">
        <f t="shared" si="3"/>
        <v>1045000</v>
      </c>
      <c r="N13" s="9">
        <f t="shared" si="4"/>
        <v>74.642857142857139</v>
      </c>
    </row>
    <row r="14" spans="1:259" ht="15.95" customHeight="1" x14ac:dyDescent="0.25">
      <c r="A14" s="7">
        <v>12</v>
      </c>
      <c r="B14" s="74">
        <f t="shared" si="0"/>
        <v>43056</v>
      </c>
      <c r="C14" s="8">
        <f>B14-常量!$B$2</f>
        <v>173</v>
      </c>
      <c r="D14" s="8">
        <f>D13*(1+变量!$B$3)</f>
        <v>917394412503.56116</v>
      </c>
      <c r="E14" s="8">
        <f>E13*(1-变量!$B$4)</f>
        <v>228.70191511837336</v>
      </c>
      <c r="F14" s="9">
        <f>F13*(1-变量!$B$3)</f>
        <v>4.6879176655710522</v>
      </c>
      <c r="G14" s="10">
        <f>G13*(1+变量!$B$2)</f>
        <v>15982.162729819132</v>
      </c>
      <c r="H14" s="10">
        <f>F14*G14-常量!$B$16</f>
        <v>57887.862995150383</v>
      </c>
      <c r="I14" s="10">
        <f>F14-常量!$B$16/G14</f>
        <v>3.6220293819899987</v>
      </c>
      <c r="J14" s="10">
        <f>-常量!$B$16/收益计算!G14</f>
        <v>-1.0658882835810535</v>
      </c>
      <c r="K14" s="10">
        <f t="shared" si="1"/>
        <v>867098.88750757661</v>
      </c>
      <c r="L14" s="10">
        <f t="shared" si="2"/>
        <v>57.598794658046586</v>
      </c>
      <c r="M14" s="8">
        <f t="shared" si="3"/>
        <v>1045000</v>
      </c>
      <c r="N14" s="9">
        <f t="shared" si="4"/>
        <v>74.642857142857139</v>
      </c>
    </row>
    <row r="15" spans="1:259" ht="15.95" customHeight="1" x14ac:dyDescent="0.25">
      <c r="A15" s="7">
        <v>13</v>
      </c>
      <c r="B15" s="74">
        <f t="shared" si="0"/>
        <v>43069</v>
      </c>
      <c r="C15" s="8">
        <f>B15-常量!$B$2</f>
        <v>186</v>
      </c>
      <c r="D15" s="8">
        <f>D14*(1+变量!$B$3)</f>
        <v>954090189003.70361</v>
      </c>
      <c r="E15" s="8">
        <f>E14*(1-变量!$B$4)</f>
        <v>221.84085766482215</v>
      </c>
      <c r="F15" s="9">
        <f>F14*(1-变量!$B$3)</f>
        <v>4.5004009589482097</v>
      </c>
      <c r="G15" s="10">
        <f>G14*(1+变量!$B$2)</f>
        <v>16141.984357117324</v>
      </c>
      <c r="H15" s="10">
        <f>F15*G15-常量!$B$16</f>
        <v>55610.201880097811</v>
      </c>
      <c r="I15" s="10">
        <f>F15-常量!$B$16/G15</f>
        <v>3.4450660247095426</v>
      </c>
      <c r="J15" s="10">
        <f>-常量!$B$16/收益计算!G15</f>
        <v>-1.0553349342386669</v>
      </c>
      <c r="K15" s="10">
        <f t="shared" si="1"/>
        <v>922709.08938767447</v>
      </c>
      <c r="L15" s="10">
        <f t="shared" si="2"/>
        <v>61.043860682756126</v>
      </c>
      <c r="M15" s="8">
        <f t="shared" si="3"/>
        <v>1045000</v>
      </c>
      <c r="N15" s="9">
        <f t="shared" si="4"/>
        <v>74.642857142857139</v>
      </c>
    </row>
    <row r="16" spans="1:259" ht="15.95" customHeight="1" x14ac:dyDescent="0.25">
      <c r="A16" s="7">
        <v>14</v>
      </c>
      <c r="B16" s="74">
        <f t="shared" si="0"/>
        <v>43082</v>
      </c>
      <c r="C16" s="8">
        <f>B16-常量!$B$2</f>
        <v>199</v>
      </c>
      <c r="D16" s="8">
        <f>D15*(1+变量!$B$3)</f>
        <v>992253796563.85181</v>
      </c>
      <c r="E16" s="8">
        <f>E15*(1-变量!$B$4)</f>
        <v>215.18563193487748</v>
      </c>
      <c r="F16" s="9">
        <f>F15*(1-变量!$B$3)</f>
        <v>4.3203849205902811</v>
      </c>
      <c r="G16" s="10">
        <f>G15*(1+变量!$B$2)</f>
        <v>16303.404200688497</v>
      </c>
      <c r="H16" s="10">
        <f>F16*G16-常量!$B$16</f>
        <v>53401.781662942827</v>
      </c>
      <c r="I16" s="10">
        <f>F16-常量!$B$16/G16</f>
        <v>3.2754988470866504</v>
      </c>
      <c r="J16" s="10">
        <f>-常量!$B$16/收益计算!G16</f>
        <v>-1.0448860735036305</v>
      </c>
      <c r="K16" s="10">
        <f t="shared" si="1"/>
        <v>976110.87105061731</v>
      </c>
      <c r="L16" s="10">
        <f t="shared" si="2"/>
        <v>64.319359529842771</v>
      </c>
      <c r="M16" s="8">
        <f t="shared" si="3"/>
        <v>1045000</v>
      </c>
      <c r="N16" s="9">
        <f t="shared" si="4"/>
        <v>74.642857142857139</v>
      </c>
    </row>
    <row r="17" spans="1:14" ht="15.95" customHeight="1" x14ac:dyDescent="0.25">
      <c r="A17" s="7">
        <v>15</v>
      </c>
      <c r="B17" s="74">
        <f t="shared" si="0"/>
        <v>43095</v>
      </c>
      <c r="C17" s="8">
        <f>B17-常量!$B$2</f>
        <v>212</v>
      </c>
      <c r="D17" s="8">
        <f>D16*(1+变量!$B$3)</f>
        <v>1031943948426.4059</v>
      </c>
      <c r="E17" s="8">
        <f>E16*(1-变量!$B$4)</f>
        <v>208.73006297683114</v>
      </c>
      <c r="F17" s="9">
        <f>F16*(1-变量!$B$3)</f>
        <v>4.1475695237666699</v>
      </c>
      <c r="G17" s="10">
        <f>G16*(1+变量!$B$2)</f>
        <v>16466.438242695382</v>
      </c>
      <c r="H17" s="10">
        <f>F17*G17-常量!$B$16</f>
        <v>51260.497420389365</v>
      </c>
      <c r="I17" s="10">
        <f>F17-常量!$B$16/G17</f>
        <v>3.113028856931392</v>
      </c>
      <c r="J17" s="10">
        <f>-常量!$B$16/收益计算!G17</f>
        <v>-1.0345406668352779</v>
      </c>
      <c r="K17" s="10">
        <f t="shared" si="1"/>
        <v>1027371.3684710066</v>
      </c>
      <c r="L17" s="10">
        <f t="shared" si="2"/>
        <v>67.432388386774164</v>
      </c>
      <c r="M17" s="8">
        <f t="shared" si="3"/>
        <v>1045000</v>
      </c>
      <c r="N17" s="9">
        <f t="shared" si="4"/>
        <v>74.642857142857139</v>
      </c>
    </row>
    <row r="18" spans="1:14" ht="15.95" customHeight="1" x14ac:dyDescent="0.25">
      <c r="A18" s="7">
        <v>16</v>
      </c>
      <c r="B18" s="74">
        <f t="shared" si="0"/>
        <v>43108</v>
      </c>
      <c r="C18" s="8">
        <f>B18-常量!$B$2</f>
        <v>225</v>
      </c>
      <c r="D18" s="8">
        <f>D17*(1+变量!$B$3)</f>
        <v>1073221706363.4622</v>
      </c>
      <c r="E18" s="8">
        <f>E17*(1-变量!$B$4)</f>
        <v>202.4681610875262</v>
      </c>
      <c r="F18" s="9">
        <f>F17*(1-变量!$B$3)</f>
        <v>3.9816667428160031</v>
      </c>
      <c r="G18" s="10">
        <f>G17*(1+变量!$B$2)</f>
        <v>16631.102625122334</v>
      </c>
      <c r="H18" s="10">
        <f>F18*G18-常量!$B$16</f>
        <v>49184.308218809529</v>
      </c>
      <c r="I18" s="10">
        <f>F18-常量!$B$16/G18</f>
        <v>2.9573690528800842</v>
      </c>
      <c r="J18" s="10">
        <f>-常量!$B$16/收益计算!G18</f>
        <v>-1.0242976899359189</v>
      </c>
      <c r="K18" s="10">
        <f t="shared" si="1"/>
        <v>1076555.6766898162</v>
      </c>
      <c r="L18" s="10">
        <f t="shared" si="2"/>
        <v>70.389757439654247</v>
      </c>
      <c r="M18" s="8">
        <f t="shared" si="3"/>
        <v>1045000</v>
      </c>
      <c r="N18" s="9">
        <f t="shared" si="4"/>
        <v>74.642857142857139</v>
      </c>
    </row>
    <row r="19" spans="1:14" ht="15.95" customHeight="1" x14ac:dyDescent="0.25">
      <c r="A19" s="7">
        <v>17</v>
      </c>
      <c r="B19" s="74">
        <f t="shared" si="0"/>
        <v>43121</v>
      </c>
      <c r="C19" s="8">
        <f>B19-常量!$B$2</f>
        <v>238</v>
      </c>
      <c r="D19" s="8">
        <f>D18*(1+变量!$B$3)</f>
        <v>1116150574618.0007</v>
      </c>
      <c r="E19" s="8">
        <f>E18*(1-变量!$B$4)</f>
        <v>196.39411625490041</v>
      </c>
      <c r="F19" s="9">
        <f>F18*(1-变量!$B$3)</f>
        <v>3.8224000731033629</v>
      </c>
      <c r="G19" s="10">
        <f>G18*(1+变量!$B$2)</f>
        <v>16797.413651373558</v>
      </c>
      <c r="H19" s="10">
        <f>F19*G19-常量!$B$16</f>
        <v>47171.235168957719</v>
      </c>
      <c r="I19" s="10">
        <f>F19-常量!$B$16/G19</f>
        <v>2.8082439444539382</v>
      </c>
      <c r="J19" s="10">
        <f>-常量!$B$16/收益计算!G19</f>
        <v>-1.0141561286494245</v>
      </c>
      <c r="K19" s="10">
        <f t="shared" si="1"/>
        <v>1123726.9118587738</v>
      </c>
      <c r="L19" s="10">
        <f t="shared" si="2"/>
        <v>73.198001384108181</v>
      </c>
      <c r="M19" s="8">
        <f t="shared" si="3"/>
        <v>1045000</v>
      </c>
      <c r="N19" s="9">
        <f t="shared" si="4"/>
        <v>74.642857142857139</v>
      </c>
    </row>
    <row r="20" spans="1:14" ht="15.95" customHeight="1" x14ac:dyDescent="0.25">
      <c r="A20" s="7">
        <v>18</v>
      </c>
      <c r="B20" s="74">
        <f t="shared" si="0"/>
        <v>43134</v>
      </c>
      <c r="C20" s="8">
        <f>B20-常量!$B$2</f>
        <v>251</v>
      </c>
      <c r="D20" s="8">
        <f>D19*(1+变量!$B$3)</f>
        <v>1160796597602.7207</v>
      </c>
      <c r="E20" s="8">
        <f>E19*(1-变量!$B$4)</f>
        <v>190.50229276725338</v>
      </c>
      <c r="F20" s="9">
        <f>F19*(1-变量!$B$3)</f>
        <v>3.6695040701792281</v>
      </c>
      <c r="G20" s="10">
        <f>G19*(1+变量!$B$2)</f>
        <v>16965.387787887292</v>
      </c>
      <c r="H20" s="10">
        <f>F20*G20-常量!$B$16</f>
        <v>45219.35953982138</v>
      </c>
      <c r="I20" s="10">
        <f>F20-常量!$B$16/G20</f>
        <v>2.6653890913184117</v>
      </c>
      <c r="J20" s="10">
        <f>-常量!$B$16/收益计算!G20</f>
        <v>-1.0041149788608164</v>
      </c>
      <c r="K20" s="10">
        <f t="shared" si="1"/>
        <v>1168946.2713985951</v>
      </c>
      <c r="L20" s="10">
        <f t="shared" si="2"/>
        <v>75.863390475426598</v>
      </c>
      <c r="M20" s="8">
        <f t="shared" si="3"/>
        <v>1045000</v>
      </c>
      <c r="N20" s="9">
        <f t="shared" si="4"/>
        <v>74.642857142857139</v>
      </c>
    </row>
    <row r="21" spans="1:14" ht="15.95" customHeight="1" x14ac:dyDescent="0.25">
      <c r="A21" s="7">
        <v>19</v>
      </c>
      <c r="B21" s="74">
        <f t="shared" si="0"/>
        <v>43147</v>
      </c>
      <c r="C21" s="8">
        <f>B21-常量!$B$2</f>
        <v>264</v>
      </c>
      <c r="D21" s="8">
        <f>D20*(1+变量!$B$3)</f>
        <v>1207228461506.8296</v>
      </c>
      <c r="E21" s="8">
        <f>E20*(1-变量!$B$4)</f>
        <v>184.78722398423577</v>
      </c>
      <c r="F21" s="9">
        <f>F20*(1-变量!$B$3)</f>
        <v>3.5227239073720589</v>
      </c>
      <c r="G21" s="10">
        <f>G20*(1+变量!$B$2)</f>
        <v>17135.041665766166</v>
      </c>
      <c r="H21" s="10">
        <f>F21*G21-常量!$B$16</f>
        <v>43326.820929810827</v>
      </c>
      <c r="I21" s="10">
        <f>F21-常量!$B$16/G21</f>
        <v>2.5285506609752111</v>
      </c>
      <c r="J21" s="10">
        <f>-常量!$B$16/收益计算!G21</f>
        <v>-0.99417324639684779</v>
      </c>
      <c r="K21" s="10">
        <f t="shared" si="1"/>
        <v>1212273.0923284059</v>
      </c>
      <c r="L21" s="10">
        <f t="shared" si="2"/>
        <v>78.391941136401812</v>
      </c>
      <c r="M21" s="8">
        <f t="shared" si="3"/>
        <v>1045000</v>
      </c>
      <c r="N21" s="9">
        <f t="shared" si="4"/>
        <v>74.642857142857139</v>
      </c>
    </row>
    <row r="22" spans="1:14" ht="15.95" customHeight="1" x14ac:dyDescent="0.25">
      <c r="A22" s="7">
        <v>20</v>
      </c>
      <c r="B22" s="74">
        <f t="shared" si="0"/>
        <v>43160</v>
      </c>
      <c r="C22" s="8">
        <f>B22-常量!$B$2</f>
        <v>277</v>
      </c>
      <c r="D22" s="8">
        <f>D21*(1+变量!$B$3)</f>
        <v>1255517599967.1028</v>
      </c>
      <c r="E22" s="8">
        <f>E21*(1-变量!$B$4)</f>
        <v>179.24360726470869</v>
      </c>
      <c r="F22" s="9">
        <f>F21*(1-变量!$B$3)</f>
        <v>3.3818149510771764</v>
      </c>
      <c r="G22" s="10">
        <f>G21*(1+变量!$B$2)</f>
        <v>17306.392082423827</v>
      </c>
      <c r="H22" s="10">
        <f>F22*G22-常量!$B$16</f>
        <v>41491.815493544564</v>
      </c>
      <c r="I22" s="10">
        <f>F22-常量!$B$16/G22</f>
        <v>2.3974850041496043</v>
      </c>
      <c r="J22" s="10">
        <f>-常量!$B$16/收益计算!G22</f>
        <v>-0.98432994692757214</v>
      </c>
      <c r="K22" s="10">
        <f t="shared" si="1"/>
        <v>1253764.9078219505</v>
      </c>
      <c r="L22" s="10">
        <f t="shared" si="2"/>
        <v>80.789426140551413</v>
      </c>
      <c r="M22" s="8">
        <f t="shared" si="3"/>
        <v>1045000</v>
      </c>
      <c r="N22" s="9">
        <f t="shared" si="4"/>
        <v>74.642857142857139</v>
      </c>
    </row>
    <row r="23" spans="1:14" ht="15.95" customHeight="1" x14ac:dyDescent="0.25">
      <c r="A23" s="7">
        <v>21</v>
      </c>
      <c r="B23" s="74">
        <f t="shared" si="0"/>
        <v>43173</v>
      </c>
      <c r="C23" s="8">
        <f>B23-常量!$B$2</f>
        <v>290</v>
      </c>
      <c r="D23" s="8">
        <f>D22*(1+变量!$B$3)</f>
        <v>1305738303965.7869</v>
      </c>
      <c r="E23" s="8">
        <f>E22*(1-变量!$B$4)</f>
        <v>173.86629904676741</v>
      </c>
      <c r="F23" s="9">
        <f>F22*(1-变量!$B$3)</f>
        <v>3.2465423530340893</v>
      </c>
      <c r="G23" s="10">
        <f>G22*(1+变量!$B$2)</f>
        <v>17479.456003248066</v>
      </c>
      <c r="H23" s="10">
        <f>F23*G23-常量!$B$16</f>
        <v>39712.594222540807</v>
      </c>
      <c r="I23" s="10">
        <f>F23-常量!$B$16/G23</f>
        <v>2.2719582471652062</v>
      </c>
      <c r="J23" s="10">
        <f>-常量!$B$16/收益计算!G23</f>
        <v>-0.97458410586888333</v>
      </c>
      <c r="K23" s="10">
        <f t="shared" si="1"/>
        <v>1293477.5020444912</v>
      </c>
      <c r="L23" s="10">
        <f t="shared" si="2"/>
        <v>83.061384387716615</v>
      </c>
      <c r="M23" s="8">
        <f t="shared" si="3"/>
        <v>1045000</v>
      </c>
      <c r="N23" s="9">
        <f t="shared" si="4"/>
        <v>74.642857142857139</v>
      </c>
    </row>
    <row r="24" spans="1:14" ht="15.95" customHeight="1" x14ac:dyDescent="0.25">
      <c r="A24" s="7">
        <v>22</v>
      </c>
      <c r="B24" s="74">
        <f t="shared" si="0"/>
        <v>43186</v>
      </c>
      <c r="C24" s="8">
        <f>B24-常量!$B$2</f>
        <v>303</v>
      </c>
      <c r="D24" s="8">
        <f>D23*(1+变量!$B$3)</f>
        <v>1357967836124.4185</v>
      </c>
      <c r="E24" s="8">
        <f>E23*(1-变量!$B$4)</f>
        <v>168.65031007536439</v>
      </c>
      <c r="F24" s="9">
        <f>F23*(1-变量!$B$3)</f>
        <v>3.1166806589127258</v>
      </c>
      <c r="G24" s="10">
        <f>G23*(1+变量!$B$2)</f>
        <v>17654.250563280548</v>
      </c>
      <c r="H24" s="10">
        <f>F24*G24-常量!$B$16</f>
        <v>37987.461278175571</v>
      </c>
      <c r="I24" s="10">
        <f>F24-常量!$B$16/G24</f>
        <v>2.151745900626703</v>
      </c>
      <c r="J24" s="10">
        <f>-常量!$B$16/收益计算!G24</f>
        <v>-0.96493475828602304</v>
      </c>
      <c r="K24" s="10">
        <f t="shared" si="1"/>
        <v>1331464.9633226667</v>
      </c>
      <c r="L24" s="10">
        <f t="shared" si="2"/>
        <v>85.213130288343322</v>
      </c>
      <c r="M24" s="8">
        <f t="shared" si="3"/>
        <v>1045000</v>
      </c>
      <c r="N24" s="9">
        <f t="shared" si="4"/>
        <v>74.642857142857139</v>
      </c>
    </row>
    <row r="25" spans="1:14" ht="15.95" customHeight="1" x14ac:dyDescent="0.25">
      <c r="A25" s="7">
        <v>23</v>
      </c>
      <c r="B25" s="74">
        <f t="shared" si="0"/>
        <v>43199</v>
      </c>
      <c r="C25" s="8">
        <f>B25-常量!$B$2</f>
        <v>316</v>
      </c>
      <c r="D25" s="8">
        <f>D24*(1+变量!$B$3)</f>
        <v>1412286549569.3953</v>
      </c>
      <c r="E25" s="8">
        <f>E24*(1-变量!$B$4)</f>
        <v>163.59080077310344</v>
      </c>
      <c r="F25" s="9">
        <f>F24*(1-变量!$B$3)</f>
        <v>2.9920134325562167</v>
      </c>
      <c r="G25" s="10">
        <f>G24*(1+变量!$B$2)</f>
        <v>17830.793068913354</v>
      </c>
      <c r="H25" s="10">
        <f>F25*G25-常量!$B$16</f>
        <v>36314.772375319037</v>
      </c>
      <c r="I25" s="10">
        <f>F25-常量!$B$16/G25</f>
        <v>2.036632483758174</v>
      </c>
      <c r="J25" s="10">
        <f>-常量!$B$16/收益计算!G25</f>
        <v>-0.95538094879804258</v>
      </c>
      <c r="K25" s="10">
        <f t="shared" si="1"/>
        <v>1367779.7356979856</v>
      </c>
      <c r="L25" s="10">
        <f t="shared" si="2"/>
        <v>87.249762772101491</v>
      </c>
      <c r="M25" s="8">
        <f t="shared" si="3"/>
        <v>1045000</v>
      </c>
      <c r="N25" s="9">
        <f t="shared" si="4"/>
        <v>74.642857142857139</v>
      </c>
    </row>
    <row r="26" spans="1:14" ht="15.95" customHeight="1" x14ac:dyDescent="0.25">
      <c r="A26" s="7">
        <v>24</v>
      </c>
      <c r="B26" s="74">
        <f t="shared" si="0"/>
        <v>43212</v>
      </c>
      <c r="C26" s="8">
        <f>B26-常量!$B$2</f>
        <v>329</v>
      </c>
      <c r="D26" s="8">
        <f>D25*(1+变量!$B$3)</f>
        <v>1468778011552.1711</v>
      </c>
      <c r="E26" s="8">
        <f>E25*(1-变量!$B$4)</f>
        <v>158.68307674991033</v>
      </c>
      <c r="F26" s="9">
        <f>F25*(1-变量!$B$3)</f>
        <v>2.872332895253968</v>
      </c>
      <c r="G26" s="10">
        <f>G25*(1+变量!$B$2)</f>
        <v>18009.100999602488</v>
      </c>
      <c r="H26" s="10">
        <f>F26*G26-常量!$B$16</f>
        <v>34692.93321510934</v>
      </c>
      <c r="I26" s="10">
        <f>F26-常量!$B$16/G26</f>
        <v>1.9264111637707575</v>
      </c>
      <c r="J26" s="10">
        <f>-常量!$B$16/收益计算!G26</f>
        <v>-0.94592173148321046</v>
      </c>
      <c r="K26" s="10">
        <f t="shared" si="1"/>
        <v>1402472.668913095</v>
      </c>
      <c r="L26" s="10">
        <f t="shared" si="2"/>
        <v>89.176173935872242</v>
      </c>
      <c r="M26" s="8">
        <f t="shared" si="3"/>
        <v>1045000</v>
      </c>
      <c r="N26" s="9">
        <f t="shared" si="4"/>
        <v>74.642857142857139</v>
      </c>
    </row>
    <row r="27" spans="1:14" ht="15.95" customHeight="1" x14ac:dyDescent="0.25">
      <c r="A27" s="7">
        <v>25</v>
      </c>
      <c r="B27" s="74">
        <f t="shared" si="0"/>
        <v>43225</v>
      </c>
      <c r="C27" s="8">
        <f>B27-常量!$B$2</f>
        <v>342</v>
      </c>
      <c r="D27" s="8">
        <f>D26*(1+变量!$B$3)</f>
        <v>1527529132014.2581</v>
      </c>
      <c r="E27" s="8">
        <f>E26*(1-变量!$B$4)</f>
        <v>153.92258444741302</v>
      </c>
      <c r="F27" s="9">
        <f>F26*(1-变量!$B$3)</f>
        <v>2.7574395794438091</v>
      </c>
      <c r="G27" s="10">
        <f>G26*(1+变量!$B$2)</f>
        <v>18189.192009598512</v>
      </c>
      <c r="H27" s="10">
        <f>F27*G27-常量!$B$16</f>
        <v>33120.397965370008</v>
      </c>
      <c r="I27" s="10">
        <f>F27-常量!$B$16/G27</f>
        <v>1.8208834096584523</v>
      </c>
      <c r="J27" s="10">
        <f>-常量!$B$16/收益计算!G27</f>
        <v>-0.93655616978535694</v>
      </c>
      <c r="K27" s="10">
        <f t="shared" si="1"/>
        <v>1435593.066878465</v>
      </c>
      <c r="L27" s="10">
        <f t="shared" si="2"/>
        <v>90.997057345530692</v>
      </c>
      <c r="M27" s="8">
        <f t="shared" si="3"/>
        <v>1045000</v>
      </c>
      <c r="N27" s="9">
        <f t="shared" si="4"/>
        <v>74.642857142857139</v>
      </c>
    </row>
    <row r="28" spans="1:14" ht="15.75" customHeight="1" x14ac:dyDescent="0.25">
      <c r="A28" s="7">
        <v>26</v>
      </c>
      <c r="B28" s="74">
        <f t="shared" si="0"/>
        <v>43238</v>
      </c>
      <c r="C28" s="8">
        <f>B28-常量!$B$2</f>
        <v>355</v>
      </c>
      <c r="D28" s="8">
        <f>D27*(1+变量!$B$3)</f>
        <v>1588630297294.8284</v>
      </c>
      <c r="E28" s="8">
        <f>E27*(1-变量!$B$4)</f>
        <v>149.30490691399064</v>
      </c>
      <c r="F28" s="9">
        <f>F27*(1-变量!$B$3)</f>
        <v>2.6471419962660567</v>
      </c>
      <c r="G28" s="10">
        <f>G27*(1+变量!$B$2)</f>
        <v>18371.083929694498</v>
      </c>
      <c r="H28" s="10">
        <f>F28*G28-常量!$B$16</f>
        <v>31595.667787222763</v>
      </c>
      <c r="I28" s="10">
        <f>F28-常量!$B$16/G28</f>
        <v>1.7198586598449115</v>
      </c>
      <c r="J28" s="10">
        <f>-常量!$B$16/收益计算!G28</f>
        <v>-0.92728333642114535</v>
      </c>
      <c r="K28" s="10">
        <f t="shared" si="1"/>
        <v>1467188.7346656877</v>
      </c>
      <c r="L28" s="10">
        <f t="shared" si="2"/>
        <v>92.716916005375609</v>
      </c>
      <c r="M28" s="8">
        <f t="shared" si="3"/>
        <v>1045000</v>
      </c>
      <c r="N28" s="9">
        <f t="shared" si="4"/>
        <v>74.642857142857139</v>
      </c>
    </row>
    <row r="29" spans="1:14" ht="15.95" customHeight="1" x14ac:dyDescent="0.25">
      <c r="A29" s="7">
        <v>27</v>
      </c>
      <c r="B29" s="74">
        <f t="shared" si="0"/>
        <v>43251</v>
      </c>
      <c r="C29" s="8">
        <f>B29-常量!$B$2</f>
        <v>368</v>
      </c>
      <c r="D29" s="8">
        <f>D28*(1+变量!$B$3)</f>
        <v>1652175509186.6216</v>
      </c>
      <c r="E29" s="8">
        <f>E28*(1-变量!$B$4)</f>
        <v>144.82575970657092</v>
      </c>
      <c r="F29" s="9">
        <f>F28*(1-变量!$B$3)</f>
        <v>2.5412563164154145</v>
      </c>
      <c r="G29" s="10">
        <f>G28*(1+变量!$B$2)</f>
        <v>18554.794768991444</v>
      </c>
      <c r="H29" s="10">
        <f>F29*G29-常量!$B$16</f>
        <v>30117.2894064912</v>
      </c>
      <c r="I29" s="10">
        <f>F29-常量!$B$16/G29</f>
        <v>1.6231540031271519</v>
      </c>
      <c r="J29" s="10">
        <f>-常量!$B$16/收益计算!G29</f>
        <v>-0.91810231328826275</v>
      </c>
      <c r="K29" s="10">
        <f t="shared" si="1"/>
        <v>1497306.0240721789</v>
      </c>
      <c r="L29" s="10">
        <f t="shared" si="2"/>
        <v>94.340070008502764</v>
      </c>
      <c r="M29" s="8">
        <f t="shared" si="3"/>
        <v>1045000</v>
      </c>
      <c r="N29" s="9">
        <f t="shared" si="4"/>
        <v>74.642857142857139</v>
      </c>
    </row>
    <row r="30" spans="1:14" ht="15.95" customHeight="1" x14ac:dyDescent="0.25">
      <c r="A30" s="7">
        <v>28</v>
      </c>
      <c r="B30" s="74">
        <f t="shared" si="0"/>
        <v>43264</v>
      </c>
      <c r="C30" s="8">
        <f>B30-常量!$B$2</f>
        <v>381</v>
      </c>
      <c r="D30" s="8">
        <f>D29*(1+变量!$B$3)</f>
        <v>1718262529554.0864</v>
      </c>
      <c r="E30" s="8">
        <f>E29*(1-变量!$B$4)</f>
        <v>140.48098691537379</v>
      </c>
      <c r="F30" s="9">
        <f>F29*(1-变量!$B$3)</f>
        <v>2.4396060637587977</v>
      </c>
      <c r="G30" s="10">
        <f>G29*(1+变量!$B$2)</f>
        <v>18740.34271668136</v>
      </c>
      <c r="H30" s="10">
        <f>F30*G30-常量!$B$16</f>
        <v>28683.853728533864</v>
      </c>
      <c r="I30" s="10">
        <f>F30-常量!$B$16/G30</f>
        <v>1.5305938723842802</v>
      </c>
      <c r="J30" s="10">
        <f>-常量!$B$16/收益计算!G30</f>
        <v>-0.9090121913745175</v>
      </c>
      <c r="K30" s="10">
        <f t="shared" si="1"/>
        <v>1525989.8778007128</v>
      </c>
      <c r="L30" s="10">
        <f t="shared" si="2"/>
        <v>95.870663880887051</v>
      </c>
      <c r="M30" s="8">
        <f t="shared" si="3"/>
        <v>1045000</v>
      </c>
      <c r="N30" s="9">
        <f t="shared" si="4"/>
        <v>74.642857142857139</v>
      </c>
    </row>
    <row r="31" spans="1:14" ht="15.95" customHeight="1" x14ac:dyDescent="0.25">
      <c r="A31" s="7">
        <v>29</v>
      </c>
      <c r="B31" s="74">
        <f t="shared" si="0"/>
        <v>43277</v>
      </c>
      <c r="C31" s="8">
        <f>B31-常量!$B$2</f>
        <v>394</v>
      </c>
      <c r="D31" s="8">
        <f>D30*(1+变量!$B$3)</f>
        <v>1786993030736.25</v>
      </c>
      <c r="E31" s="8">
        <f>E30*(1-变量!$B$4)</f>
        <v>136.26655730791256</v>
      </c>
      <c r="F31" s="9">
        <f>F30*(1-变量!$B$3)</f>
        <v>2.3420218212084456</v>
      </c>
      <c r="G31" s="10">
        <f>G30*(1+变量!$B$2)</f>
        <v>18927.746143848173</v>
      </c>
      <c r="H31" s="10">
        <f>F31*G31-常量!$B$16</f>
        <v>27293.994495186435</v>
      </c>
      <c r="I31" s="10">
        <f>F31-常量!$B$16/G31</f>
        <v>1.4420097505406066</v>
      </c>
      <c r="J31" s="10">
        <f>-常量!$B$16/收益计算!G31</f>
        <v>-0.90001207066783906</v>
      </c>
      <c r="K31" s="10">
        <f t="shared" si="1"/>
        <v>1553283.8722958993</v>
      </c>
      <c r="L31" s="10">
        <f t="shared" si="2"/>
        <v>97.312673631427657</v>
      </c>
      <c r="M31" s="8">
        <f t="shared" si="3"/>
        <v>1045000</v>
      </c>
      <c r="N31" s="9">
        <f t="shared" si="4"/>
        <v>74.642857142857139</v>
      </c>
    </row>
    <row r="32" spans="1:14" ht="15.95" customHeight="1" x14ac:dyDescent="0.25">
      <c r="A32" s="7">
        <v>30</v>
      </c>
      <c r="B32" s="74">
        <f t="shared" si="0"/>
        <v>43290</v>
      </c>
      <c r="C32" s="8">
        <f>B32-常量!$B$2</f>
        <v>407</v>
      </c>
      <c r="D32" s="8">
        <f>D31*(1+变量!$B$3)</f>
        <v>1858472751965.7</v>
      </c>
      <c r="E32" s="8">
        <f>E31*(1-变量!$B$4)</f>
        <v>132.1785605886752</v>
      </c>
      <c r="F32" s="9">
        <f>F31*(1-变量!$B$3)</f>
        <v>2.2483409483601076</v>
      </c>
      <c r="G32" s="10">
        <f>G31*(1+变量!$B$2)</f>
        <v>19117.023605286657</v>
      </c>
      <c r="H32" s="10">
        <f>F32*G32-常量!$B$16</f>
        <v>25946.38698253276</v>
      </c>
      <c r="I32" s="10">
        <f>F32-常量!$B$16/G32</f>
        <v>1.3572398882929404</v>
      </c>
      <c r="J32" s="10">
        <f>-常量!$B$16/收益计算!G32</f>
        <v>-0.89110106006716727</v>
      </c>
      <c r="K32" s="10">
        <f t="shared" si="1"/>
        <v>1579230.259278432</v>
      </c>
      <c r="L32" s="10">
        <f t="shared" si="2"/>
        <v>98.669913519720595</v>
      </c>
      <c r="M32" s="8">
        <f t="shared" si="3"/>
        <v>1045000</v>
      </c>
      <c r="N32" s="9">
        <f t="shared" si="4"/>
        <v>74.642857142857139</v>
      </c>
    </row>
    <row r="33" spans="1:14" ht="15.95" customHeight="1" x14ac:dyDescent="0.25">
      <c r="A33" s="7">
        <v>31</v>
      </c>
      <c r="B33" s="74">
        <f t="shared" si="0"/>
        <v>43303</v>
      </c>
      <c r="C33" s="8">
        <f>B33-常量!$B$2</f>
        <v>420</v>
      </c>
      <c r="D33" s="8">
        <f>D32*(1+变量!$B$3)</f>
        <v>1932811662044.3281</v>
      </c>
      <c r="E33" s="8">
        <f>E32*(1-变量!$B$4)</f>
        <v>128.21320377101495</v>
      </c>
      <c r="F33" s="9">
        <f>F32*(1-变量!$B$3)</f>
        <v>2.1584073104257033</v>
      </c>
      <c r="G33" s="10">
        <f>G32*(1+变量!$B$2)</f>
        <v>19308.193841339522</v>
      </c>
      <c r="H33" s="10">
        <f>F33*G33-常量!$B$16</f>
        <v>24639.746738263766</v>
      </c>
      <c r="I33" s="10">
        <f>F33-常量!$B$16/G33</f>
        <v>1.2761290331314781</v>
      </c>
      <c r="J33" s="10">
        <f>-常量!$B$16/收益计算!G33</f>
        <v>-0.88227827729422514</v>
      </c>
      <c r="K33" s="10">
        <f t="shared" si="1"/>
        <v>1603870.0060166959</v>
      </c>
      <c r="L33" s="10">
        <f t="shared" si="2"/>
        <v>99.946042552852077</v>
      </c>
      <c r="M33" s="8">
        <f t="shared" si="3"/>
        <v>1045000</v>
      </c>
      <c r="N33" s="9">
        <f t="shared" si="4"/>
        <v>74.642857142857139</v>
      </c>
    </row>
    <row r="34" spans="1:14" ht="15.95" customHeight="1" x14ac:dyDescent="0.25">
      <c r="A34" s="7">
        <v>32</v>
      </c>
      <c r="B34" s="74">
        <f t="shared" si="0"/>
        <v>43316</v>
      </c>
      <c r="C34" s="8">
        <f>B34-常量!$B$2</f>
        <v>433</v>
      </c>
      <c r="D34" s="8">
        <f>D33*(1+变量!$B$3)</f>
        <v>2010124128526.1013</v>
      </c>
      <c r="E34" s="8">
        <f>E33*(1-变量!$B$4)</f>
        <v>124.36680765788449</v>
      </c>
      <c r="F34" s="9">
        <f>F33*(1-变量!$B$3)</f>
        <v>2.0720710180086752</v>
      </c>
      <c r="G34" s="10">
        <f>G33*(1+变量!$B$2)</f>
        <v>19501.275779752916</v>
      </c>
      <c r="H34" s="10">
        <f>F34*G34-常量!$B$16</f>
        <v>23372.828357420545</v>
      </c>
      <c r="I34" s="10">
        <f>F34-常量!$B$16/G34</f>
        <v>1.1985281692025116</v>
      </c>
      <c r="J34" s="10">
        <f>-常量!$B$16/收益计算!G34</f>
        <v>-0.87354284880616362</v>
      </c>
      <c r="K34" s="10">
        <f t="shared" si="1"/>
        <v>1627242.8343741165</v>
      </c>
      <c r="L34" s="10">
        <f t="shared" si="2"/>
        <v>101.1445707220546</v>
      </c>
      <c r="M34" s="8">
        <f t="shared" si="3"/>
        <v>1045000</v>
      </c>
      <c r="N34" s="9">
        <f t="shared" si="4"/>
        <v>74.642857142857139</v>
      </c>
    </row>
    <row r="35" spans="1:14" ht="15.95" customHeight="1" x14ac:dyDescent="0.25">
      <c r="A35" s="7">
        <v>33</v>
      </c>
      <c r="B35" s="74">
        <f t="shared" si="0"/>
        <v>43329</v>
      </c>
      <c r="C35" s="8">
        <f>B35-常量!$B$2</f>
        <v>446</v>
      </c>
      <c r="D35" s="8">
        <f>D34*(1+变量!$B$3)</f>
        <v>2090529093667.1455</v>
      </c>
      <c r="E35" s="8">
        <f>E34*(1-变量!$B$4)</f>
        <v>120.63580342814795</v>
      </c>
      <c r="F35" s="9">
        <f>F34*(1-变量!$B$3)</f>
        <v>1.9891881772883282</v>
      </c>
      <c r="G35" s="10">
        <f>G34*(1+变量!$B$2)</f>
        <v>19696.288537550445</v>
      </c>
      <c r="H35" s="10">
        <f>F35*G35-常量!$B$16</f>
        <v>22144.424295354958</v>
      </c>
      <c r="I35" s="10">
        <f>F35-常量!$B$16/G35</f>
        <v>1.1242942675792553</v>
      </c>
      <c r="J35" s="10">
        <f>-常量!$B$16/收益计算!G35</f>
        <v>-0.86489390970907287</v>
      </c>
      <c r="K35" s="10">
        <f t="shared" si="1"/>
        <v>1649387.2586694714</v>
      </c>
      <c r="L35" s="10">
        <f t="shared" si="2"/>
        <v>102.26886498963385</v>
      </c>
      <c r="M35" s="8">
        <f t="shared" si="3"/>
        <v>1045000</v>
      </c>
      <c r="N35" s="9">
        <f t="shared" si="4"/>
        <v>74.642857142857139</v>
      </c>
    </row>
    <row r="36" spans="1:14" ht="15.95" customHeight="1" x14ac:dyDescent="0.25">
      <c r="A36" s="7">
        <v>34</v>
      </c>
      <c r="B36" s="74">
        <f t="shared" ref="B36:B67" si="5">B35+13</f>
        <v>43342</v>
      </c>
      <c r="C36" s="8">
        <f>B36-常量!$B$2</f>
        <v>459</v>
      </c>
      <c r="D36" s="8">
        <f>D35*(1+变量!$B$3)</f>
        <v>2174150257413.8313</v>
      </c>
      <c r="E36" s="8">
        <f>E35*(1-变量!$B$4)</f>
        <v>117.01672932530352</v>
      </c>
      <c r="F36" s="9">
        <f>F35*(1-变量!$B$3)</f>
        <v>1.9096206501967949</v>
      </c>
      <c r="G36" s="10">
        <f>G35*(1+变量!$B$2)</f>
        <v>19893.25142292595</v>
      </c>
      <c r="H36" s="10">
        <f>F36*G36-常量!$B$16</f>
        <v>20953.363716776166</v>
      </c>
      <c r="I36" s="10">
        <f>F36-常量!$B$16/G36</f>
        <v>1.0532900465244457</v>
      </c>
      <c r="J36" s="10">
        <f>-常量!$B$16/收益计算!G36</f>
        <v>-0.85633060367234926</v>
      </c>
      <c r="K36" s="10">
        <f t="shared" ref="K36:K67" si="6">K35+H36</f>
        <v>1670340.6223862476</v>
      </c>
      <c r="L36" s="10">
        <f t="shared" ref="L36:L67" si="7">L35+I36</f>
        <v>103.32215503615831</v>
      </c>
      <c r="M36" s="8">
        <f t="shared" si="3"/>
        <v>1045000</v>
      </c>
      <c r="N36" s="9">
        <f t="shared" si="4"/>
        <v>74.642857142857139</v>
      </c>
    </row>
    <row r="37" spans="1:14" ht="15.95" customHeight="1" x14ac:dyDescent="0.25">
      <c r="A37" s="7">
        <v>35</v>
      </c>
      <c r="B37" s="74">
        <f t="shared" si="5"/>
        <v>43355</v>
      </c>
      <c r="C37" s="8">
        <f>B37-常量!$B$2</f>
        <v>472</v>
      </c>
      <c r="D37" s="8">
        <f>D36*(1+变量!$B$3)</f>
        <v>2261116267710.3848</v>
      </c>
      <c r="E37" s="8">
        <f>E36*(1-变量!$B$4)</f>
        <v>113.50622744554441</v>
      </c>
      <c r="F37" s="9">
        <f>F36*(1-变量!$B$3)</f>
        <v>1.8332358241889231</v>
      </c>
      <c r="G37" s="10">
        <f>G36*(1+变量!$B$2)</f>
        <v>20092.183937155209</v>
      </c>
      <c r="H37" s="10">
        <f>F37*G37-常量!$B$16</f>
        <v>19798.511379786167</v>
      </c>
      <c r="I37" s="10">
        <f>F37-常量!$B$16/G37</f>
        <v>0.98538374134501283</v>
      </c>
      <c r="J37" s="10">
        <f>-常量!$B$16/收益计算!G37</f>
        <v>-0.84785208284391023</v>
      </c>
      <c r="K37" s="10">
        <f t="shared" si="6"/>
        <v>1690139.1337660337</v>
      </c>
      <c r="L37" s="10">
        <f t="shared" si="7"/>
        <v>104.30753877750332</v>
      </c>
      <c r="M37" s="8">
        <f t="shared" si="3"/>
        <v>1045000</v>
      </c>
      <c r="N37" s="9">
        <f t="shared" si="4"/>
        <v>74.642857142857139</v>
      </c>
    </row>
    <row r="38" spans="1:14" ht="15.95" customHeight="1" x14ac:dyDescent="0.25">
      <c r="A38" s="7">
        <v>36</v>
      </c>
      <c r="B38" s="74">
        <f t="shared" si="5"/>
        <v>43368</v>
      </c>
      <c r="C38" s="8">
        <f>B38-常量!$B$2</f>
        <v>485</v>
      </c>
      <c r="D38" s="8">
        <f>D37*(1+变量!$B$3)</f>
        <v>2351560918418.8003</v>
      </c>
      <c r="E38" s="8">
        <f>E37*(1-变量!$B$4)</f>
        <v>110.10104062217808</v>
      </c>
      <c r="F38" s="9">
        <f>F37*(1-变量!$B$3)</f>
        <v>1.7599063912213662</v>
      </c>
      <c r="G38" s="10">
        <f>G37*(1+变量!$B$2)</f>
        <v>20293.105776526761</v>
      </c>
      <c r="H38" s="10">
        <f>F38*G38-常量!$B$16</f>
        <v>18678.766553840669</v>
      </c>
      <c r="I38" s="10">
        <f>F38-常量!$B$16/G38</f>
        <v>0.92044888345511844</v>
      </c>
      <c r="J38" s="10">
        <f>-常量!$B$16/收益计算!G38</f>
        <v>-0.83945750776624772</v>
      </c>
      <c r="K38" s="10">
        <f t="shared" si="6"/>
        <v>1708817.9003198743</v>
      </c>
      <c r="L38" s="10">
        <f t="shared" si="7"/>
        <v>105.22798766095845</v>
      </c>
      <c r="M38" s="8">
        <f t="shared" si="3"/>
        <v>1045000</v>
      </c>
      <c r="N38" s="9">
        <f t="shared" si="4"/>
        <v>74.642857142857139</v>
      </c>
    </row>
    <row r="39" spans="1:14" ht="15.95" customHeight="1" x14ac:dyDescent="0.25">
      <c r="A39" s="7">
        <v>37</v>
      </c>
      <c r="B39" s="74">
        <f t="shared" si="5"/>
        <v>43381</v>
      </c>
      <c r="C39" s="8">
        <f>B39-常量!$B$2</f>
        <v>498</v>
      </c>
      <c r="D39" s="8">
        <f>D38*(1+变量!$B$3)</f>
        <v>2445623355155.5522</v>
      </c>
      <c r="E39" s="8">
        <f>E38*(1-变量!$B$4)</f>
        <v>106.79800940351274</v>
      </c>
      <c r="F39" s="9">
        <f>F38*(1-变量!$B$3)</f>
        <v>1.6895101355725115</v>
      </c>
      <c r="G39" s="10">
        <f>G38*(1+变量!$B$2)</f>
        <v>20496.03683429203</v>
      </c>
      <c r="H39" s="10">
        <f>F39*G39-常量!$B$16</f>
        <v>17593.061970603918</v>
      </c>
      <c r="I39" s="10">
        <f>F39-常量!$B$16/G39</f>
        <v>0.85836408827919697</v>
      </c>
      <c r="J39" s="10">
        <f>-常量!$B$16/收益计算!G39</f>
        <v>-0.83114604729331454</v>
      </c>
      <c r="K39" s="10">
        <f t="shared" si="6"/>
        <v>1726410.9622904782</v>
      </c>
      <c r="L39" s="10">
        <f t="shared" si="7"/>
        <v>106.08635174923765</v>
      </c>
      <c r="M39" s="8">
        <f t="shared" si="3"/>
        <v>1045000</v>
      </c>
      <c r="N39" s="9">
        <f t="shared" si="4"/>
        <v>74.642857142857139</v>
      </c>
    </row>
    <row r="40" spans="1:14" ht="15.95" customHeight="1" x14ac:dyDescent="0.25">
      <c r="A40" s="7">
        <v>38</v>
      </c>
      <c r="B40" s="74">
        <f t="shared" si="5"/>
        <v>43394</v>
      </c>
      <c r="C40" s="8">
        <f>B40-常量!$B$2</f>
        <v>511</v>
      </c>
      <c r="D40" s="8">
        <f>D39*(1+变量!$B$3)</f>
        <v>2543448289361.7744</v>
      </c>
      <c r="E40" s="8">
        <f>E39*(1-变量!$B$4)</f>
        <v>103.59406912140736</v>
      </c>
      <c r="F40" s="9">
        <f>F39*(1-变量!$B$3)</f>
        <v>1.6219297301496109</v>
      </c>
      <c r="G40" s="10">
        <f>G39*(1+变量!$B$2)</f>
        <v>20700.99720263495</v>
      </c>
      <c r="H40" s="10">
        <f>F40*G40-常量!$B$16</f>
        <v>16540.362806697554</v>
      </c>
      <c r="I40" s="10">
        <f>F40-常量!$B$16/G40</f>
        <v>0.7990128516413787</v>
      </c>
      <c r="J40" s="10">
        <f>-常量!$B$16/收益计算!G40</f>
        <v>-0.82291687850823225</v>
      </c>
      <c r="K40" s="10">
        <f t="shared" si="6"/>
        <v>1742951.3250971758</v>
      </c>
      <c r="L40" s="10">
        <f t="shared" si="7"/>
        <v>106.88536460087903</v>
      </c>
      <c r="M40" s="8">
        <f t="shared" si="3"/>
        <v>1045000</v>
      </c>
      <c r="N40" s="9">
        <f t="shared" si="4"/>
        <v>74.642857142857139</v>
      </c>
    </row>
    <row r="41" spans="1:14" ht="15.95" customHeight="1" x14ac:dyDescent="0.25">
      <c r="A41" s="7">
        <v>39</v>
      </c>
      <c r="B41" s="74">
        <f t="shared" si="5"/>
        <v>43407</v>
      </c>
      <c r="C41" s="8">
        <f>B41-常量!$B$2</f>
        <v>524</v>
      </c>
      <c r="D41" s="8">
        <f>D40*(1+变量!$B$3)</f>
        <v>2645186220936.2456</v>
      </c>
      <c r="E41" s="8">
        <f>E40*(1-变量!$B$4)</f>
        <v>100.48624704776513</v>
      </c>
      <c r="F41" s="9">
        <f>F40*(1-变量!$B$3)</f>
        <v>1.5570525409436264</v>
      </c>
      <c r="G41" s="10">
        <f>G40*(1+变量!$B$2)</f>
        <v>20908.007174661299</v>
      </c>
      <c r="H41" s="10">
        <f>F41*G41-常量!$B$16</f>
        <v>15519.665697373948</v>
      </c>
      <c r="I41" s="10">
        <f>F41-常量!$B$16/G41</f>
        <v>0.74228335430181236</v>
      </c>
      <c r="J41" s="10">
        <f>-常量!$B$16/收益计算!G41</f>
        <v>-0.81476918664181408</v>
      </c>
      <c r="K41" s="10">
        <f t="shared" si="6"/>
        <v>1758470.9907945497</v>
      </c>
      <c r="L41" s="10">
        <f t="shared" si="7"/>
        <v>107.62764795518085</v>
      </c>
      <c r="M41" s="8">
        <f t="shared" si="3"/>
        <v>1045000</v>
      </c>
      <c r="N41" s="9">
        <f t="shared" si="4"/>
        <v>74.642857142857139</v>
      </c>
    </row>
    <row r="42" spans="1:14" ht="15.95" customHeight="1" x14ac:dyDescent="0.25">
      <c r="A42" s="7">
        <v>40</v>
      </c>
      <c r="B42" s="74">
        <f t="shared" si="5"/>
        <v>43420</v>
      </c>
      <c r="C42" s="8">
        <f>B42-常量!$B$2</f>
        <v>537</v>
      </c>
      <c r="D42" s="8">
        <f>D41*(1+变量!$B$3)</f>
        <v>2750993669773.6953</v>
      </c>
      <c r="E42" s="8">
        <f>E41*(1-变量!$B$4)</f>
        <v>97.471659636332177</v>
      </c>
      <c r="F42" s="9">
        <f>F41*(1-变量!$B$3)</f>
        <v>1.4947704393058814</v>
      </c>
      <c r="G42" s="10">
        <f>G41*(1+变量!$B$2)</f>
        <v>21117.087246407911</v>
      </c>
      <c r="H42" s="10">
        <f>F42*G42-常量!$B$16</f>
        <v>14529.997780173777</v>
      </c>
      <c r="I42" s="10">
        <f>F42-常量!$B$16/G42</f>
        <v>0.68806827431398621</v>
      </c>
      <c r="J42" s="10">
        <f>-常量!$B$16/收益计算!G42</f>
        <v>-0.80670216499189518</v>
      </c>
      <c r="K42" s="10">
        <f t="shared" si="6"/>
        <v>1773000.9885747235</v>
      </c>
      <c r="L42" s="10">
        <f t="shared" si="7"/>
        <v>108.31571622949484</v>
      </c>
      <c r="M42" s="8">
        <f t="shared" si="3"/>
        <v>1045000</v>
      </c>
      <c r="N42" s="9">
        <f t="shared" si="4"/>
        <v>74.642857142857139</v>
      </c>
    </row>
    <row r="43" spans="1:14" ht="15.95" customHeight="1" x14ac:dyDescent="0.25">
      <c r="A43" s="7">
        <v>41</v>
      </c>
      <c r="B43" s="74">
        <f t="shared" si="5"/>
        <v>43433</v>
      </c>
      <c r="C43" s="8">
        <f>B43-常量!$B$2</f>
        <v>550</v>
      </c>
      <c r="D43" s="8">
        <f>D42*(1+变量!$B$3)</f>
        <v>2861033416564.6431</v>
      </c>
      <c r="E43" s="8">
        <f>E42*(1-变量!$B$4)</f>
        <v>94.54750984724221</v>
      </c>
      <c r="F43" s="9">
        <f>F42*(1-变量!$B$3)</f>
        <v>1.4349796217336461</v>
      </c>
      <c r="G43" s="10">
        <f>G42*(1+变量!$B$2)</f>
        <v>21328.258118871989</v>
      </c>
      <c r="H43" s="10">
        <f>F43*G43-常量!$B$16</f>
        <v>13570.415767656494</v>
      </c>
      <c r="I43" s="10">
        <f>F43-常量!$B$16/G43</f>
        <v>0.63626460689018549</v>
      </c>
      <c r="J43" s="10">
        <f>-常量!$B$16/收益计算!G43</f>
        <v>-0.79871501484346064</v>
      </c>
      <c r="K43" s="10">
        <f t="shared" si="6"/>
        <v>1786571.4043423799</v>
      </c>
      <c r="L43" s="10">
        <f t="shared" si="7"/>
        <v>108.95198083638502</v>
      </c>
      <c r="M43" s="8">
        <f t="shared" si="3"/>
        <v>1045000</v>
      </c>
      <c r="N43" s="9">
        <f t="shared" si="4"/>
        <v>74.642857142857139</v>
      </c>
    </row>
    <row r="44" spans="1:14" ht="15.95" customHeight="1" x14ac:dyDescent="0.25">
      <c r="A44" s="7">
        <v>42</v>
      </c>
      <c r="B44" s="74">
        <f t="shared" si="5"/>
        <v>43446</v>
      </c>
      <c r="C44" s="8">
        <f>B44-常量!$B$2</f>
        <v>563</v>
      </c>
      <c r="D44" s="8">
        <f>D43*(1+变量!$B$3)</f>
        <v>2975474753227.229</v>
      </c>
      <c r="E44" s="8">
        <f>E43*(1-变量!$B$4)</f>
        <v>91.711084551824939</v>
      </c>
      <c r="F44" s="9">
        <f>F43*(1-变量!$B$3)</f>
        <v>1.3775804368643003</v>
      </c>
      <c r="G44" s="10">
        <f>G43*(1+变量!$B$2)</f>
        <v>21541.540700060708</v>
      </c>
      <c r="H44" s="10">
        <f>F44*G44-常量!$B$16</f>
        <v>12640.005048319734</v>
      </c>
      <c r="I44" s="10">
        <f>F44-常量!$B$16/G44</f>
        <v>0.58677349147473534</v>
      </c>
      <c r="J44" s="10">
        <f>-常量!$B$16/收益计算!G44</f>
        <v>-0.79080694538956497</v>
      </c>
      <c r="K44" s="10">
        <f t="shared" si="6"/>
        <v>1799211.4093906996</v>
      </c>
      <c r="L44" s="10">
        <f t="shared" si="7"/>
        <v>109.53875432785975</v>
      </c>
      <c r="M44" s="8">
        <f t="shared" si="3"/>
        <v>1045000</v>
      </c>
      <c r="N44" s="9">
        <f t="shared" si="4"/>
        <v>74.642857142857139</v>
      </c>
    </row>
    <row r="45" spans="1:14" ht="15.95" customHeight="1" x14ac:dyDescent="0.25">
      <c r="A45" s="7">
        <v>43</v>
      </c>
      <c r="B45" s="74">
        <f t="shared" si="5"/>
        <v>43459</v>
      </c>
      <c r="C45" s="8">
        <f>B45-常量!$B$2</f>
        <v>576</v>
      </c>
      <c r="D45" s="8">
        <f>D44*(1+变量!$B$3)</f>
        <v>3094493743356.3184</v>
      </c>
      <c r="E45" s="8">
        <f>E44*(1-变量!$B$4)</f>
        <v>88.959752015270183</v>
      </c>
      <c r="F45" s="9">
        <f>F44*(1-变量!$B$3)</f>
        <v>1.3224772193897283</v>
      </c>
      <c r="G45" s="10">
        <f>G44*(1+变量!$B$2)</f>
        <v>21756.956107061316</v>
      </c>
      <c r="H45" s="10">
        <f>F45*G45-常量!$B$16</f>
        <v>11737.878814850817</v>
      </c>
      <c r="I45" s="10">
        <f>F45-常量!$B$16/G45</f>
        <v>0.53950004573669363</v>
      </c>
      <c r="J45" s="10">
        <f>-常量!$B$16/收益计算!G45</f>
        <v>-0.78297717365303465</v>
      </c>
      <c r="K45" s="10">
        <f t="shared" si="6"/>
        <v>1810949.2882055505</v>
      </c>
      <c r="L45" s="10">
        <f t="shared" si="7"/>
        <v>110.07825437359644</v>
      </c>
      <c r="M45" s="8">
        <f t="shared" si="3"/>
        <v>1045000</v>
      </c>
      <c r="N45" s="9">
        <f t="shared" si="4"/>
        <v>74.642857142857139</v>
      </c>
    </row>
    <row r="46" spans="1:14" ht="15.95" customHeight="1" x14ac:dyDescent="0.25">
      <c r="A46" s="7">
        <v>44</v>
      </c>
      <c r="B46" s="74">
        <f t="shared" si="5"/>
        <v>43472</v>
      </c>
      <c r="C46" s="8">
        <f>B46-常量!$B$2</f>
        <v>589</v>
      </c>
      <c r="D46" s="8">
        <f>D45*(1+变量!$B$3)</f>
        <v>3218273493090.5713</v>
      </c>
      <c r="E46" s="8">
        <f>E45*(1-变量!$B$4)</f>
        <v>86.290959454812082</v>
      </c>
      <c r="F46" s="9">
        <f>F45*(1-变量!$B$3)</f>
        <v>1.2695781306141392</v>
      </c>
      <c r="G46" s="10">
        <f>G45*(1+变量!$B$2)</f>
        <v>21974.52566813193</v>
      </c>
      <c r="H46" s="10">
        <f>F46*G46-常量!$B$16</f>
        <v>10863.177218879351</v>
      </c>
      <c r="I46" s="10">
        <f>F46-常量!$B$16/G46</f>
        <v>0.49435320620519396</v>
      </c>
      <c r="J46" s="10">
        <f>-常量!$B$16/收益计算!G46</f>
        <v>-0.77522492440894519</v>
      </c>
      <c r="K46" s="10">
        <f t="shared" si="6"/>
        <v>1821812.4654244299</v>
      </c>
      <c r="L46" s="10">
        <f t="shared" si="7"/>
        <v>110.57260757980163</v>
      </c>
      <c r="M46" s="8">
        <f t="shared" si="3"/>
        <v>1045000</v>
      </c>
      <c r="N46" s="9">
        <f t="shared" si="4"/>
        <v>74.642857142857139</v>
      </c>
    </row>
    <row r="47" spans="1:14" ht="15.95" customHeight="1" x14ac:dyDescent="0.25">
      <c r="A47" s="7">
        <v>45</v>
      </c>
      <c r="B47" s="74">
        <f t="shared" si="5"/>
        <v>43485</v>
      </c>
      <c r="C47" s="8">
        <f>B47-常量!$B$2</f>
        <v>602</v>
      </c>
      <c r="D47" s="8">
        <f>D46*(1+变量!$B$3)</f>
        <v>3347004432814.1943</v>
      </c>
      <c r="E47" s="8">
        <f>E46*(1-变量!$B$4)</f>
        <v>83.702230671167712</v>
      </c>
      <c r="F47" s="9">
        <f>F46*(1-变量!$B$3)</f>
        <v>1.2187950053895735</v>
      </c>
      <c r="G47" s="10">
        <f>G46*(1+变量!$B$2)</f>
        <v>22194.270924813249</v>
      </c>
      <c r="H47" s="10">
        <f>F47*G47-常量!$B$16</f>
        <v>10015.066551425418</v>
      </c>
      <c r="I47" s="10">
        <f>F47-常量!$B$16/G47</f>
        <v>0.45124557528170706</v>
      </c>
      <c r="J47" s="10">
        <f>-常量!$B$16/收益计算!G47</f>
        <v>-0.76754943010786647</v>
      </c>
      <c r="K47" s="10">
        <f t="shared" si="6"/>
        <v>1831827.5319758554</v>
      </c>
      <c r="L47" s="10">
        <f t="shared" si="7"/>
        <v>111.02385315508333</v>
      </c>
      <c r="M47" s="8">
        <f t="shared" si="3"/>
        <v>1045000</v>
      </c>
      <c r="N47" s="9">
        <f t="shared" si="4"/>
        <v>74.642857142857139</v>
      </c>
    </row>
    <row r="48" spans="1:14" ht="15.95" customHeight="1" x14ac:dyDescent="0.25">
      <c r="A48" s="7">
        <v>46</v>
      </c>
      <c r="B48" s="74">
        <f t="shared" si="5"/>
        <v>43498</v>
      </c>
      <c r="C48" s="8">
        <f>B48-常量!$B$2</f>
        <v>615</v>
      </c>
      <c r="D48" s="8">
        <f>D47*(1+变量!$B$3)</f>
        <v>3480884610126.7622</v>
      </c>
      <c r="E48" s="8">
        <f>E47*(1-变量!$B$4)</f>
        <v>81.191163751032676</v>
      </c>
      <c r="F48" s="9">
        <f>F47*(1-变量!$B$3)</f>
        <v>1.1700432051739906</v>
      </c>
      <c r="G48" s="10">
        <f>G47*(1+变量!$B$2)</f>
        <v>22416.21363406138</v>
      </c>
      <c r="H48" s="10">
        <f>F48*G48-常量!$B$16</f>
        <v>9192.7384482620837</v>
      </c>
      <c r="I48" s="10">
        <f>F48-常量!$B$16/G48</f>
        <v>0.41009327437412268</v>
      </c>
      <c r="J48" s="10">
        <f>-常量!$B$16/收益计算!G48</f>
        <v>-0.75994993079986795</v>
      </c>
      <c r="K48" s="10">
        <f t="shared" si="6"/>
        <v>1841020.2704241173</v>
      </c>
      <c r="L48" s="10">
        <f t="shared" si="7"/>
        <v>111.43394642945745</v>
      </c>
      <c r="M48" s="8">
        <f t="shared" si="3"/>
        <v>1045000</v>
      </c>
      <c r="N48" s="9">
        <f t="shared" si="4"/>
        <v>74.642857142857139</v>
      </c>
    </row>
    <row r="49" spans="1:14" ht="15.95" customHeight="1" x14ac:dyDescent="0.25">
      <c r="A49" s="7">
        <v>47</v>
      </c>
      <c r="B49" s="74">
        <f t="shared" si="5"/>
        <v>43511</v>
      </c>
      <c r="C49" s="8">
        <f>B49-常量!$B$2</f>
        <v>628</v>
      </c>
      <c r="D49" s="8">
        <f>D48*(1+变量!$B$3)</f>
        <v>3620119994531.833</v>
      </c>
      <c r="E49" s="8">
        <f>E48*(1-变量!$B$4)</f>
        <v>78.755428838501686</v>
      </c>
      <c r="F49" s="9">
        <f>F48*(1-变量!$B$3)</f>
        <v>1.1232414769670309</v>
      </c>
      <c r="G49" s="10">
        <f>G48*(1+变量!$B$2)</f>
        <v>22640.375770401995</v>
      </c>
      <c r="H49" s="10">
        <f>F49*G49-常量!$B$16</f>
        <v>8395.4091194349166</v>
      </c>
      <c r="I49" s="10">
        <f>F49-常量!$B$16/G49</f>
        <v>0.37081580290775584</v>
      </c>
      <c r="J49" s="10">
        <f>-常量!$B$16/收益计算!G49</f>
        <v>-0.75242567405927507</v>
      </c>
      <c r="K49" s="10">
        <f t="shared" si="6"/>
        <v>1849415.6795435522</v>
      </c>
      <c r="L49" s="10">
        <f t="shared" si="7"/>
        <v>111.80476223236521</v>
      </c>
      <c r="M49" s="8">
        <f t="shared" si="3"/>
        <v>1045000</v>
      </c>
      <c r="N49" s="9">
        <f t="shared" si="4"/>
        <v>74.642857142857139</v>
      </c>
    </row>
    <row r="50" spans="1:14" ht="15.95" customHeight="1" x14ac:dyDescent="0.25">
      <c r="A50" s="7">
        <v>48</v>
      </c>
      <c r="B50" s="74">
        <f t="shared" si="5"/>
        <v>43524</v>
      </c>
      <c r="C50" s="8">
        <f>B50-常量!$B$2</f>
        <v>641</v>
      </c>
      <c r="D50" s="8">
        <f>D49*(1+变量!$B$3)</f>
        <v>3764924794313.1064</v>
      </c>
      <c r="E50" s="8">
        <f>E49*(1-变量!$B$4)</f>
        <v>76.392765973346627</v>
      </c>
      <c r="F50" s="9">
        <f>F49*(1-变量!$B$3)</f>
        <v>1.0783118178883497</v>
      </c>
      <c r="G50" s="10">
        <f>G49*(1+变量!$B$2)</f>
        <v>22866.779528106017</v>
      </c>
      <c r="H50" s="10">
        <f>F50*G50-常量!$B$16</f>
        <v>7622.3186022040973</v>
      </c>
      <c r="I50" s="10">
        <f>F50-常量!$B$16/G50</f>
        <v>0.33333590297817639</v>
      </c>
      <c r="J50" s="10">
        <f>-常量!$B$16/收益计算!G50</f>
        <v>-0.74497591491017334</v>
      </c>
      <c r="K50" s="10">
        <f t="shared" si="6"/>
        <v>1857037.9981457563</v>
      </c>
      <c r="L50" s="10">
        <f t="shared" si="7"/>
        <v>112.13809813534338</v>
      </c>
      <c r="M50" s="8">
        <f t="shared" si="3"/>
        <v>1045000</v>
      </c>
      <c r="N50" s="9">
        <f t="shared" si="4"/>
        <v>74.642857142857139</v>
      </c>
    </row>
    <row r="51" spans="1:14" ht="15.95" customHeight="1" x14ac:dyDescent="0.25">
      <c r="A51" s="7">
        <v>49</v>
      </c>
      <c r="B51" s="74">
        <f t="shared" si="5"/>
        <v>43537</v>
      </c>
      <c r="C51" s="8">
        <f>B51-常量!$B$2</f>
        <v>654</v>
      </c>
      <c r="D51" s="8">
        <f>D50*(1+变量!$B$3)</f>
        <v>3915521786085.6309</v>
      </c>
      <c r="E51" s="8">
        <f>E50*(1-变量!$B$4)</f>
        <v>74.100982994146221</v>
      </c>
      <c r="F51" s="9">
        <f>F50*(1-变量!$B$3)</f>
        <v>1.0351793451728157</v>
      </c>
      <c r="G51" s="10">
        <f>G50*(1+变量!$B$2)</f>
        <v>23095.447323387078</v>
      </c>
      <c r="H51" s="10">
        <f>F51*G51-常量!$B$16</f>
        <v>6872.7300366970958</v>
      </c>
      <c r="I51" s="10">
        <f>F51-常量!$B$16/G51</f>
        <v>0.29757942942016891</v>
      </c>
      <c r="J51" s="10">
        <f>-常量!$B$16/收益计算!G51</f>
        <v>-0.73759991575264683</v>
      </c>
      <c r="K51" s="10">
        <f t="shared" si="6"/>
        <v>1863910.7281824534</v>
      </c>
      <c r="L51" s="10">
        <f t="shared" si="7"/>
        <v>112.43567756476355</v>
      </c>
      <c r="M51" s="8">
        <f t="shared" si="3"/>
        <v>1045000</v>
      </c>
      <c r="N51" s="9">
        <f t="shared" si="4"/>
        <v>74.642857142857139</v>
      </c>
    </row>
    <row r="52" spans="1:14" ht="15.95" customHeight="1" x14ac:dyDescent="0.25">
      <c r="A52" s="7">
        <v>50</v>
      </c>
      <c r="B52" s="74">
        <f t="shared" si="5"/>
        <v>43550</v>
      </c>
      <c r="C52" s="8">
        <f>B52-常量!$B$2</f>
        <v>667</v>
      </c>
      <c r="D52" s="8">
        <f>D51*(1+变量!$B$3)</f>
        <v>4072142657529.0562</v>
      </c>
      <c r="E52" s="8">
        <f>E51*(1-变量!$B$4)</f>
        <v>71.877953504321837</v>
      </c>
      <c r="F52" s="9">
        <f>F51*(1-变量!$B$3)</f>
        <v>0.99377217136590312</v>
      </c>
      <c r="G52" s="10">
        <f>G51*(1+变量!$B$2)</f>
        <v>23326.40179662095</v>
      </c>
      <c r="H52" s="10">
        <f>F52*G52-常量!$B$16</f>
        <v>6145.9289635815039</v>
      </c>
      <c r="I52" s="10">
        <f>F52-常量!$B$16/G52</f>
        <v>0.26347522507615384</v>
      </c>
      <c r="J52" s="10">
        <f>-常量!$B$16/收益计算!G52</f>
        <v>-0.73029694628974928</v>
      </c>
      <c r="K52" s="10">
        <f t="shared" si="6"/>
        <v>1870056.657146035</v>
      </c>
      <c r="L52" s="10">
        <f t="shared" si="7"/>
        <v>112.6991527898397</v>
      </c>
      <c r="M52" s="8">
        <f t="shared" si="3"/>
        <v>1045000</v>
      </c>
      <c r="N52" s="9">
        <f t="shared" si="4"/>
        <v>74.642857142857139</v>
      </c>
    </row>
    <row r="53" spans="1:14" ht="15.95" customHeight="1" x14ac:dyDescent="0.25">
      <c r="A53" s="7">
        <v>51</v>
      </c>
      <c r="B53" s="74">
        <f t="shared" si="5"/>
        <v>43563</v>
      </c>
      <c r="C53" s="8">
        <f>B53-常量!$B$2</f>
        <v>680</v>
      </c>
      <c r="D53" s="8">
        <f>D52*(1+变量!$B$3)</f>
        <v>4235028363830.2187</v>
      </c>
      <c r="E53" s="8">
        <f>E52*(1-变量!$B$4)</f>
        <v>69.721614899192176</v>
      </c>
      <c r="F53" s="9">
        <f>F52*(1-变量!$B$3)</f>
        <v>0.954021284511267</v>
      </c>
      <c r="G53" s="10">
        <f>G52*(1+变量!$B$2)</f>
        <v>23559.665814587159</v>
      </c>
      <c r="H53" s="10">
        <f>F53*G53-常量!$B$16</f>
        <v>5441.2226430886258</v>
      </c>
      <c r="I53" s="10">
        <f>F53-常量!$B$16/G53</f>
        <v>0.2309550010560697</v>
      </c>
      <c r="J53" s="10">
        <f>-常量!$B$16/收益计算!G53</f>
        <v>-0.7230662834551973</v>
      </c>
      <c r="K53" s="10">
        <f t="shared" si="6"/>
        <v>1875497.8797891235</v>
      </c>
      <c r="L53" s="10">
        <f t="shared" si="7"/>
        <v>112.93010779089578</v>
      </c>
      <c r="M53" s="8">
        <f t="shared" si="3"/>
        <v>1045000</v>
      </c>
      <c r="N53" s="9">
        <f t="shared" si="4"/>
        <v>74.642857142857139</v>
      </c>
    </row>
    <row r="54" spans="1:14" ht="15.75" customHeight="1" x14ac:dyDescent="0.25">
      <c r="A54" s="7">
        <v>52</v>
      </c>
      <c r="B54" s="74">
        <f t="shared" si="5"/>
        <v>43576</v>
      </c>
      <c r="C54" s="8">
        <f>B54-常量!$B$2</f>
        <v>693</v>
      </c>
      <c r="D54" s="8">
        <f>D53*(1+变量!$B$3)</f>
        <v>4404429498383.4277</v>
      </c>
      <c r="E54" s="8">
        <f>E53*(1-变量!$B$4)</f>
        <v>67.629966452216408</v>
      </c>
      <c r="F54" s="9">
        <f>F53*(1-变量!$B$3)</f>
        <v>0.91586043313081633</v>
      </c>
      <c r="G54" s="10">
        <f>G53*(1+变量!$B$2)</f>
        <v>23795.262472733029</v>
      </c>
      <c r="H54" s="10">
        <f>F54*G54-常量!$B$16</f>
        <v>4757.9393947387325</v>
      </c>
      <c r="I54" s="10">
        <f>F54-常量!$B$16/G54</f>
        <v>0.19995322178903674</v>
      </c>
      <c r="J54" s="10">
        <f>-常量!$B$16/收益计算!G54</f>
        <v>-0.71590721134177959</v>
      </c>
      <c r="K54" s="10">
        <f t="shared" si="6"/>
        <v>1880255.8191838623</v>
      </c>
      <c r="L54" s="10">
        <f t="shared" si="7"/>
        <v>113.13006101268481</v>
      </c>
      <c r="M54" s="8">
        <f t="shared" si="3"/>
        <v>1045000</v>
      </c>
      <c r="N54" s="9">
        <f t="shared" si="4"/>
        <v>74.642857142857139</v>
      </c>
    </row>
    <row r="55" spans="1:14" ht="15.75" customHeight="1" x14ac:dyDescent="0.25">
      <c r="A55" s="7">
        <v>53</v>
      </c>
      <c r="B55" s="74">
        <f t="shared" si="5"/>
        <v>43589</v>
      </c>
      <c r="C55" s="8">
        <f>B55-常量!$B$2</f>
        <v>706</v>
      </c>
      <c r="D55" s="8">
        <f>D54*(1+变量!$B$3)</f>
        <v>4580606678318.7646</v>
      </c>
      <c r="E55" s="8">
        <f>E54*(1-变量!$B$4)</f>
        <v>65.601067458649908</v>
      </c>
      <c r="F55" s="9">
        <f>F54*(1-变量!$B$3)</f>
        <v>0.87922601580558368</v>
      </c>
      <c r="G55" s="10">
        <f>G54*(1+变量!$B$2)</f>
        <v>24033.215097460361</v>
      </c>
      <c r="H55" s="10">
        <f>F55*G55-常量!$B$16</f>
        <v>4095.427957138676</v>
      </c>
      <c r="I55" s="10">
        <f>F55-常量!$B$16/G55</f>
        <v>0.17040699467510889</v>
      </c>
      <c r="J55" s="10">
        <f>-常量!$B$16/收益计算!G55</f>
        <v>-0.70881902113047479</v>
      </c>
      <c r="K55" s="10">
        <f t="shared" si="6"/>
        <v>1884351.247141001</v>
      </c>
      <c r="L55" s="10">
        <f t="shared" si="7"/>
        <v>113.30046800735991</v>
      </c>
      <c r="M55" s="8">
        <f t="shared" si="3"/>
        <v>1045000</v>
      </c>
      <c r="N55" s="9">
        <f t="shared" si="4"/>
        <v>74.642857142857139</v>
      </c>
    </row>
    <row r="56" spans="1:14" ht="15.75" customHeight="1" x14ac:dyDescent="0.25">
      <c r="A56" s="7">
        <v>54</v>
      </c>
      <c r="B56" s="74">
        <f t="shared" si="5"/>
        <v>43602</v>
      </c>
      <c r="C56" s="8">
        <f>B56-常量!$B$2</f>
        <v>719</v>
      </c>
      <c r="D56" s="8">
        <f>D55*(1+变量!$B$3)</f>
        <v>4763830945451.5156</v>
      </c>
      <c r="E56" s="8">
        <f>E55*(1-变量!$B$4)</f>
        <v>63.633035434890409</v>
      </c>
      <c r="F56" s="9">
        <f>F55*(1-变量!$B$3)</f>
        <v>0.84405697517336031</v>
      </c>
      <c r="G56" s="10">
        <f>G55*(1+变量!$B$2)</f>
        <v>24273.547248434967</v>
      </c>
      <c r="H56" s="10">
        <f>F56*G56-常量!$B$16</f>
        <v>3453.0568672416593</v>
      </c>
      <c r="I56" s="10">
        <f>F56-常量!$B$16/G56</f>
        <v>0.14225596415308828</v>
      </c>
      <c r="J56" s="10">
        <f>-常量!$B$16/收益计算!G56</f>
        <v>-0.70180101102027204</v>
      </c>
      <c r="K56" s="10">
        <f t="shared" si="6"/>
        <v>1887804.3040082427</v>
      </c>
      <c r="L56" s="10">
        <f t="shared" si="7"/>
        <v>113.442723971513</v>
      </c>
      <c r="M56" s="8">
        <f t="shared" si="3"/>
        <v>1045000</v>
      </c>
      <c r="N56" s="9">
        <f t="shared" si="4"/>
        <v>74.642857142857139</v>
      </c>
    </row>
    <row r="57" spans="1:14" ht="15.75" customHeight="1" x14ac:dyDescent="0.25">
      <c r="A57" s="7">
        <v>55</v>
      </c>
      <c r="B57" s="74">
        <f t="shared" si="5"/>
        <v>43615</v>
      </c>
      <c r="C57" s="8">
        <f>B57-常量!$B$2</f>
        <v>732</v>
      </c>
      <c r="D57" s="8">
        <f>D56*(1+变量!$B$3)</f>
        <v>4954384183269.5762</v>
      </c>
      <c r="E57" s="8">
        <f>E56*(1-变量!$B$4)</f>
        <v>61.724044371843696</v>
      </c>
      <c r="F57" s="9">
        <f>F56*(1-变量!$B$3)</f>
        <v>0.81029469616642591</v>
      </c>
      <c r="G57" s="10">
        <f>G56*(1+变量!$B$2)</f>
        <v>24516.282720919316</v>
      </c>
      <c r="H57" s="10">
        <f>F57*G57-常量!$B$16</f>
        <v>2830.213858477513</v>
      </c>
      <c r="I57" s="10">
        <f>F57-常量!$B$16/G57</f>
        <v>0.1154422100077408</v>
      </c>
      <c r="J57" s="10">
        <f>-常量!$B$16/收益计算!G57</f>
        <v>-0.69485248615868511</v>
      </c>
      <c r="K57" s="10">
        <f t="shared" si="6"/>
        <v>1890634.5178667202</v>
      </c>
      <c r="L57" s="10">
        <f t="shared" si="7"/>
        <v>113.55816618152075</v>
      </c>
      <c r="M57" s="8">
        <f t="shared" si="3"/>
        <v>1045000</v>
      </c>
      <c r="N57" s="9">
        <f t="shared" si="4"/>
        <v>74.642857142857139</v>
      </c>
    </row>
    <row r="58" spans="1:14" ht="15.95" customHeight="1" x14ac:dyDescent="0.25">
      <c r="A58" s="7">
        <v>56</v>
      </c>
      <c r="B58" s="74">
        <f t="shared" si="5"/>
        <v>43628</v>
      </c>
      <c r="C58" s="8">
        <f>B58-常量!$B$2</f>
        <v>745</v>
      </c>
      <c r="D58" s="8">
        <f>D57*(1+变量!$B$3)</f>
        <v>5152559550600.3594</v>
      </c>
      <c r="E58" s="8">
        <f>E57*(1-变量!$B$4)</f>
        <v>59.872323040688386</v>
      </c>
      <c r="F58" s="9">
        <f>F57*(1-变量!$B$3)</f>
        <v>0.77788290831976881</v>
      </c>
      <c r="G58" s="10">
        <f>G57*(1+变量!$B$2)</f>
        <v>24761.445548128511</v>
      </c>
      <c r="H58" s="10">
        <f>F58*G58-常量!$B$16</f>
        <v>2226.3052771797993</v>
      </c>
      <c r="I58" s="10">
        <f>F58-常量!$B$16/G58</f>
        <v>8.9910149746813328E-2</v>
      </c>
      <c r="J58" s="10">
        <f>-常量!$B$16/收益计算!G58</f>
        <v>-0.68797275857295548</v>
      </c>
      <c r="K58" s="10">
        <f t="shared" si="6"/>
        <v>1892860.8231438999</v>
      </c>
      <c r="L58" s="10">
        <f t="shared" si="7"/>
        <v>113.64807633126756</v>
      </c>
      <c r="M58" s="8">
        <f t="shared" si="3"/>
        <v>1045000</v>
      </c>
      <c r="N58" s="9">
        <f t="shared" si="4"/>
        <v>74.642857142857139</v>
      </c>
    </row>
    <row r="59" spans="1:14" ht="15.95" customHeight="1" x14ac:dyDescent="0.25">
      <c r="A59" s="7">
        <v>57</v>
      </c>
      <c r="B59" s="74">
        <f t="shared" si="5"/>
        <v>43641</v>
      </c>
      <c r="C59" s="8">
        <f>B59-常量!$B$2</f>
        <v>758</v>
      </c>
      <c r="D59" s="8">
        <f>D58*(1+变量!$B$3)</f>
        <v>5358661932624.374</v>
      </c>
      <c r="E59" s="8">
        <f>E58*(1-变量!$B$4)</f>
        <v>58.076153349467731</v>
      </c>
      <c r="F59" s="9">
        <f>F58*(1-变量!$B$3)</f>
        <v>0.74676759198697806</v>
      </c>
      <c r="G59" s="10">
        <f>G58*(1+变量!$B$2)</f>
        <v>25009.060003609797</v>
      </c>
      <c r="H59" s="10">
        <f>F59*G59-常量!$B$16</f>
        <v>1640.755516753532</v>
      </c>
      <c r="I59" s="10">
        <f>F59-常量!$B$16/G59</f>
        <v>6.5606444885041859E-2</v>
      </c>
      <c r="J59" s="10">
        <f>-常量!$B$16/收益计算!G59</f>
        <v>-0.6811611471019362</v>
      </c>
      <c r="K59" s="10">
        <f t="shared" si="6"/>
        <v>1894501.5786606534</v>
      </c>
      <c r="L59" s="10">
        <f t="shared" si="7"/>
        <v>113.71368277615261</v>
      </c>
      <c r="M59" s="8">
        <f t="shared" si="3"/>
        <v>1045000</v>
      </c>
      <c r="N59" s="9">
        <f t="shared" si="4"/>
        <v>74.642857142857139</v>
      </c>
    </row>
    <row r="60" spans="1:14" ht="15.95" customHeight="1" x14ac:dyDescent="0.25">
      <c r="A60" s="7">
        <v>58</v>
      </c>
      <c r="B60" s="74">
        <f t="shared" si="5"/>
        <v>43654</v>
      </c>
      <c r="C60" s="8">
        <f>B60-常量!$B$2</f>
        <v>771</v>
      </c>
      <c r="D60" s="8">
        <f>D59*(1+变量!$B$3)</f>
        <v>5573008409929.3496</v>
      </c>
      <c r="E60" s="8">
        <f>E59*(1-变量!$B$4)</f>
        <v>56.333868748983697</v>
      </c>
      <c r="F60" s="9">
        <f>F59*(1-变量!$B$3)</f>
        <v>0.71689688830749887</v>
      </c>
      <c r="G60" s="10">
        <f>G59*(1+变量!$B$2)</f>
        <v>25259.150603645896</v>
      </c>
      <c r="H60" s="10">
        <f>F60*G60-常量!$B$16</f>
        <v>1073.0064690442232</v>
      </c>
      <c r="I60" s="10">
        <f>F60-常量!$B$16/G60</f>
        <v>4.2479910978849289E-2</v>
      </c>
      <c r="J60" s="10">
        <f>-常量!$B$16/收益计算!G60</f>
        <v>-0.67441697732864958</v>
      </c>
      <c r="K60" s="10">
        <f t="shared" si="6"/>
        <v>1895574.5851296976</v>
      </c>
      <c r="L60" s="10">
        <f t="shared" si="7"/>
        <v>113.75616268713146</v>
      </c>
      <c r="M60" s="8">
        <f t="shared" si="3"/>
        <v>1045000</v>
      </c>
      <c r="N60" s="9">
        <f t="shared" si="4"/>
        <v>74.642857142857139</v>
      </c>
    </row>
    <row r="61" spans="1:14" ht="15.95" customHeight="1" x14ac:dyDescent="0.25">
      <c r="A61" s="7">
        <v>59</v>
      </c>
      <c r="B61" s="74">
        <f t="shared" si="5"/>
        <v>43667</v>
      </c>
      <c r="C61" s="8">
        <f>B61-常量!$B$2</f>
        <v>784</v>
      </c>
      <c r="D61" s="8">
        <f>D60*(1+变量!$B$3)</f>
        <v>5795928746326.5234</v>
      </c>
      <c r="E61" s="8">
        <f>E60*(1-变量!$B$4)</f>
        <v>54.643852686514187</v>
      </c>
      <c r="F61" s="9">
        <f>F60*(1-变量!$B$3)</f>
        <v>0.68822101277519887</v>
      </c>
      <c r="G61" s="10">
        <f>G60*(1+变量!$B$2)</f>
        <v>25511.742109682356</v>
      </c>
      <c r="H61" s="10">
        <f>F61*G61-常量!$B$16</f>
        <v>522.5169923852809</v>
      </c>
      <c r="I61" s="10">
        <f>F61-常量!$B$16/G61</f>
        <v>2.0481431261684446E-2</v>
      </c>
      <c r="J61" s="10">
        <f>-常量!$B$16/收益计算!G61</f>
        <v>-0.66773958151351442</v>
      </c>
      <c r="K61" s="10">
        <f t="shared" si="6"/>
        <v>1896097.1021220828</v>
      </c>
      <c r="L61" s="10">
        <f t="shared" si="7"/>
        <v>113.77664411839315</v>
      </c>
      <c r="M61" s="8">
        <f t="shared" si="3"/>
        <v>1045000</v>
      </c>
      <c r="N61" s="9">
        <f t="shared" si="4"/>
        <v>74.642857142857139</v>
      </c>
    </row>
    <row r="62" spans="1:14" ht="15.95" customHeight="1" x14ac:dyDescent="0.25">
      <c r="A62" s="7">
        <v>60</v>
      </c>
      <c r="B62" s="74">
        <f t="shared" si="5"/>
        <v>43680</v>
      </c>
      <c r="C62" s="8">
        <f>B62-常量!$B$2</f>
        <v>797</v>
      </c>
      <c r="D62" s="8">
        <f>D61*(1+变量!$B$3)</f>
        <v>6027765896179.585</v>
      </c>
      <c r="E62" s="8">
        <f>E61*(1-变量!$B$4)</f>
        <v>53.004537105918757</v>
      </c>
      <c r="F62" s="9">
        <f>F61*(1-变量!$B$3)</f>
        <v>0.66069217226419086</v>
      </c>
      <c r="G62" s="10">
        <f>G61*(1+变量!$B$2)</f>
        <v>25766.85953077918</v>
      </c>
      <c r="H62" s="10">
        <f>F62*G62-常量!$B$16</f>
        <v>-11.237604183235817</v>
      </c>
      <c r="I62" s="10">
        <f>F62-常量!$B$16/G62</f>
        <v>-4.3612626404121446E-4</v>
      </c>
      <c r="J62" s="10">
        <f>-常量!$B$16/收益计算!G62</f>
        <v>-0.66112829852823207</v>
      </c>
      <c r="K62" s="10">
        <f t="shared" si="6"/>
        <v>1896085.8645178997</v>
      </c>
      <c r="L62" s="10">
        <f t="shared" si="7"/>
        <v>113.77620799212912</v>
      </c>
      <c r="M62" s="8">
        <f t="shared" si="3"/>
        <v>1045000</v>
      </c>
      <c r="N62" s="9">
        <f t="shared" si="4"/>
        <v>74.642857142857139</v>
      </c>
    </row>
    <row r="63" spans="1:14" ht="15.95" customHeight="1" x14ac:dyDescent="0.25">
      <c r="A63" s="7">
        <v>61</v>
      </c>
      <c r="B63" s="74">
        <f t="shared" si="5"/>
        <v>43693</v>
      </c>
      <c r="C63" s="8">
        <f>B63-常量!$B$2</f>
        <v>810</v>
      </c>
      <c r="D63" s="8">
        <f>D62*(1+变量!$B$3)</f>
        <v>6268876532026.7686</v>
      </c>
      <c r="E63" s="8">
        <f>E62*(1-变量!$B$4)</f>
        <v>51.414400992741193</v>
      </c>
      <c r="F63" s="9">
        <f>F62*(1-变量!$B$3)</f>
        <v>0.63426448537362323</v>
      </c>
      <c r="G63" s="10">
        <f>G62*(1+变量!$B$2)</f>
        <v>26024.528126086971</v>
      </c>
      <c r="H63" s="10">
        <f>F63*G63-常量!$B$16</f>
        <v>-528.76606101606376</v>
      </c>
      <c r="I63" s="10">
        <f>F63-常量!$B$16/G63</f>
        <v>-2.0317988416705624E-2</v>
      </c>
      <c r="J63" s="10">
        <f>-常量!$B$16/收益计算!G63</f>
        <v>-0.65458247379032886</v>
      </c>
      <c r="K63" s="10">
        <f t="shared" si="6"/>
        <v>1895557.0984568836</v>
      </c>
      <c r="L63" s="10">
        <f t="shared" si="7"/>
        <v>113.75589000371241</v>
      </c>
      <c r="M63" s="8">
        <f t="shared" si="3"/>
        <v>1045000</v>
      </c>
      <c r="N63" s="9">
        <f t="shared" si="4"/>
        <v>74.642857142857139</v>
      </c>
    </row>
    <row r="64" spans="1:14" ht="15.95" customHeight="1" x14ac:dyDescent="0.25">
      <c r="A64" s="7">
        <v>62</v>
      </c>
      <c r="B64" s="74">
        <f t="shared" si="5"/>
        <v>43706</v>
      </c>
      <c r="C64" s="8">
        <f>B64-常量!$B$2</f>
        <v>823</v>
      </c>
      <c r="D64" s="8">
        <f>D63*(1+变量!$B$3)</f>
        <v>6519631593307.8398</v>
      </c>
      <c r="E64" s="8">
        <f>E63*(1-变量!$B$4)</f>
        <v>49.871968962958952</v>
      </c>
      <c r="F64" s="9">
        <f>F63*(1-变量!$B$3)</f>
        <v>0.60889390595867832</v>
      </c>
      <c r="G64" s="10">
        <f>G63*(1+变量!$B$2)</f>
        <v>26284.773407347842</v>
      </c>
      <c r="H64" s="10">
        <f>F64*G64-常量!$B$16</f>
        <v>-1030.5616527611746</v>
      </c>
      <c r="I64" s="10">
        <f>F64-常量!$B$16/G64</f>
        <v>-3.920755323966707E-2</v>
      </c>
      <c r="J64" s="10">
        <f>-常量!$B$16/收益计算!G64</f>
        <v>-0.64810145919834539</v>
      </c>
      <c r="K64" s="10">
        <f t="shared" si="6"/>
        <v>1894526.5368041224</v>
      </c>
      <c r="L64" s="10">
        <f t="shared" si="7"/>
        <v>113.71668245047275</v>
      </c>
      <c r="M64" s="8">
        <f t="shared" si="3"/>
        <v>1045000</v>
      </c>
      <c r="N64" s="9">
        <f t="shared" si="4"/>
        <v>74.642857142857139</v>
      </c>
    </row>
    <row r="65" spans="1:14" ht="15.95" customHeight="1" x14ac:dyDescent="0.25">
      <c r="A65" s="7">
        <v>63</v>
      </c>
      <c r="B65" s="74">
        <f t="shared" si="5"/>
        <v>43719</v>
      </c>
      <c r="C65" s="8">
        <f>B65-常量!$B$2</f>
        <v>836</v>
      </c>
      <c r="D65" s="8">
        <f>D64*(1+变量!$B$3)</f>
        <v>6780416857040.1533</v>
      </c>
      <c r="E65" s="8">
        <f>E64*(1-变量!$B$4)</f>
        <v>48.37580989407018</v>
      </c>
      <c r="F65" s="9">
        <f>F64*(1-变量!$B$3)</f>
        <v>0.58453814972033113</v>
      </c>
      <c r="G65" s="10">
        <f>G64*(1+变量!$B$2)</f>
        <v>26547.621141421321</v>
      </c>
      <c r="H65" s="10">
        <f>F65*G65-常量!$B$16</f>
        <v>-1517.1026585172367</v>
      </c>
      <c r="I65" s="10">
        <f>F65-常量!$B$16/G65</f>
        <v>-5.7146463347337528E-2</v>
      </c>
      <c r="J65" s="10">
        <f>-常量!$B$16/收益计算!G65</f>
        <v>-0.64168461306766866</v>
      </c>
      <c r="K65" s="10">
        <f t="shared" si="6"/>
        <v>1893009.4341456052</v>
      </c>
      <c r="L65" s="10">
        <f t="shared" si="7"/>
        <v>113.65953598712541</v>
      </c>
      <c r="M65" s="8">
        <f t="shared" si="3"/>
        <v>1045000</v>
      </c>
      <c r="N65" s="9">
        <f t="shared" si="4"/>
        <v>74.642857142857139</v>
      </c>
    </row>
    <row r="66" spans="1:14" ht="15.95" customHeight="1" x14ac:dyDescent="0.25">
      <c r="A66" s="7">
        <v>64</v>
      </c>
      <c r="B66" s="74">
        <f t="shared" si="5"/>
        <v>43732</v>
      </c>
      <c r="C66" s="8">
        <f>B66-常量!$B$2</f>
        <v>849</v>
      </c>
      <c r="D66" s="8">
        <f>D65*(1+变量!$B$3)</f>
        <v>7051633531321.7598</v>
      </c>
      <c r="E66" s="8">
        <f>E65*(1-变量!$B$4)</f>
        <v>46.924535597248074</v>
      </c>
      <c r="F66" s="9">
        <f>F65*(1-变量!$B$3)</f>
        <v>0.56115662373151787</v>
      </c>
      <c r="G66" s="10">
        <f>G65*(1+变量!$B$2)</f>
        <v>26813.097352835535</v>
      </c>
      <c r="H66" s="10">
        <f>F66*G66-常量!$B$16</f>
        <v>-1988.8528176983127</v>
      </c>
      <c r="I66" s="10">
        <f>F66-常量!$B$16/G66</f>
        <v>-7.4174676335480805E-2</v>
      </c>
      <c r="J66" s="10">
        <f>-常量!$B$16/收益计算!G66</f>
        <v>-0.63533130006699867</v>
      </c>
      <c r="K66" s="10">
        <f t="shared" si="6"/>
        <v>1891020.5813279068</v>
      </c>
      <c r="L66" s="10">
        <f t="shared" si="7"/>
        <v>113.58536131078993</v>
      </c>
      <c r="M66" s="8">
        <f t="shared" si="3"/>
        <v>1045000</v>
      </c>
      <c r="N66" s="9">
        <f t="shared" si="4"/>
        <v>74.642857142857139</v>
      </c>
    </row>
    <row r="67" spans="1:14" ht="15.95" customHeight="1" x14ac:dyDescent="0.25">
      <c r="A67" s="7">
        <v>65</v>
      </c>
      <c r="B67" s="74">
        <f t="shared" si="5"/>
        <v>43745</v>
      </c>
      <c r="C67" s="8">
        <f>B67-常量!$B$2</f>
        <v>862</v>
      </c>
      <c r="D67" s="8">
        <f>D66*(1+变量!$B$3)</f>
        <v>7333698872574.6309</v>
      </c>
      <c r="E67" s="8">
        <f>E66*(1-变量!$B$4)</f>
        <v>45.516799529330633</v>
      </c>
      <c r="F67" s="9">
        <f>F66*(1-变量!$B$3)</f>
        <v>0.53871035878225715</v>
      </c>
      <c r="G67" s="10">
        <f>G66*(1+变量!$B$2)</f>
        <v>27081.228326363889</v>
      </c>
      <c r="H67" s="10">
        <f>F67*G67-常量!$B$16</f>
        <v>-2446.261772040285</v>
      </c>
      <c r="I67" s="10">
        <f>F67-常量!$B$16/G67</f>
        <v>-9.0330532373187111E-2</v>
      </c>
      <c r="J67" s="10">
        <f>-常量!$B$16/收益计算!G67</f>
        <v>-0.62904089115544426</v>
      </c>
      <c r="K67" s="10">
        <f t="shared" si="6"/>
        <v>1888574.3195558665</v>
      </c>
      <c r="L67" s="10">
        <f t="shared" si="7"/>
        <v>113.49503077841675</v>
      </c>
      <c r="M67" s="8">
        <f t="shared" si="3"/>
        <v>1045000</v>
      </c>
      <c r="N67" s="9">
        <f t="shared" si="4"/>
        <v>74.642857142857139</v>
      </c>
    </row>
    <row r="68" spans="1:14" ht="15.95" customHeight="1" x14ac:dyDescent="0.25">
      <c r="A68" s="7">
        <v>66</v>
      </c>
      <c r="B68" s="74">
        <f t="shared" ref="B68:B74" si="8">B67+13</f>
        <v>43758</v>
      </c>
      <c r="C68" s="8">
        <f>B68-常量!$B$2</f>
        <v>875</v>
      </c>
      <c r="D68" s="8">
        <f>D67*(1+变量!$B$3)</f>
        <v>7627046827477.6162</v>
      </c>
      <c r="E68" s="8">
        <f>E67*(1-变量!$B$4)</f>
        <v>44.151295543450715</v>
      </c>
      <c r="F68" s="9">
        <f>F67*(1-变量!$B$3)</f>
        <v>0.51716194443096686</v>
      </c>
      <c r="G68" s="10">
        <f>G67*(1+变量!$B$2)</f>
        <v>27352.040609627529</v>
      </c>
      <c r="H68" s="10">
        <f>F68*G68-常量!$B$16</f>
        <v>-2889.7654941702604</v>
      </c>
      <c r="I68" s="10">
        <f>F68-常量!$B$16/G68</f>
        <v>-0.10565081908927498</v>
      </c>
      <c r="J68" s="10">
        <f>-常量!$B$16/收益计算!G68</f>
        <v>-0.62281276352024184</v>
      </c>
      <c r="K68" s="10">
        <f t="shared" ref="K68:K74" si="9">K67+H68</f>
        <v>1885684.5540616962</v>
      </c>
      <c r="L68" s="10">
        <f t="shared" ref="L68:L74" si="10">L67+I68</f>
        <v>113.38937995932747</v>
      </c>
      <c r="M68" s="8">
        <f t="shared" si="3"/>
        <v>1045000</v>
      </c>
      <c r="N68" s="9">
        <f t="shared" si="4"/>
        <v>74.642857142857139</v>
      </c>
    </row>
    <row r="69" spans="1:14" ht="15.95" customHeight="1" x14ac:dyDescent="0.25">
      <c r="A69" s="7">
        <v>67</v>
      </c>
      <c r="B69" s="74">
        <f t="shared" si="8"/>
        <v>43771</v>
      </c>
      <c r="C69" s="8">
        <f>B69-常量!$B$2</f>
        <v>888</v>
      </c>
      <c r="D69" s="8">
        <f>D68*(1+变量!$B$3)</f>
        <v>7932128700576.7207</v>
      </c>
      <c r="E69" s="8">
        <f>E68*(1-变量!$B$4)</f>
        <v>42.826756677147195</v>
      </c>
      <c r="F69" s="9">
        <f>F68*(1-变量!$B$3)</f>
        <v>0.49647546665372816</v>
      </c>
      <c r="G69" s="10">
        <f>G68*(1+变量!$B$2)</f>
        <v>27625.561015723804</v>
      </c>
      <c r="H69" s="10">
        <f>F69*G69-常量!$B$16</f>
        <v>-3319.7867031474852</v>
      </c>
      <c r="I69" s="10">
        <f>F69-常量!$B$16/G69</f>
        <v>-0.12017083386136279</v>
      </c>
      <c r="J69" s="10">
        <f>-常量!$B$16/收益计算!G69</f>
        <v>-0.61664630051509095</v>
      </c>
      <c r="K69" s="10">
        <f t="shared" si="9"/>
        <v>1882364.7673585487</v>
      </c>
      <c r="L69" s="10">
        <f t="shared" si="10"/>
        <v>113.26920912546611</v>
      </c>
      <c r="M69" s="8">
        <f t="shared" ref="M69:M74" si="11">M68</f>
        <v>1045000</v>
      </c>
      <c r="N69" s="9">
        <f t="shared" ref="N69:N74" si="12">N68</f>
        <v>74.642857142857139</v>
      </c>
    </row>
    <row r="70" spans="1:14" ht="15.95" customHeight="1" x14ac:dyDescent="0.25">
      <c r="A70" s="7">
        <v>68</v>
      </c>
      <c r="B70" s="74">
        <f t="shared" si="8"/>
        <v>43784</v>
      </c>
      <c r="C70" s="8">
        <f>B70-常量!$B$2</f>
        <v>901</v>
      </c>
      <c r="D70" s="8">
        <f>D69*(1+变量!$B$3)</f>
        <v>8249413848599.79</v>
      </c>
      <c r="E70" s="8">
        <f>E69*(1-变量!$B$4)</f>
        <v>41.541953976832779</v>
      </c>
      <c r="F70" s="9">
        <f>F69*(1-变量!$B$3)</f>
        <v>0.47661644798757902</v>
      </c>
      <c r="G70" s="10">
        <f>G69*(1+变量!$B$2)</f>
        <v>27901.816625881042</v>
      </c>
      <c r="H70" s="10">
        <f>F70*G70-常量!$B$16</f>
        <v>-3736.7352673718015</v>
      </c>
      <c r="I70" s="10">
        <f>F70-常量!$B$16/G70</f>
        <v>-0.13392444361152095</v>
      </c>
      <c r="J70" s="10">
        <f>-常量!$B$16/收益计算!G70</f>
        <v>-0.61054089159909997</v>
      </c>
      <c r="K70" s="10">
        <f t="shared" si="9"/>
        <v>1878628.0320911768</v>
      </c>
      <c r="L70" s="10">
        <f t="shared" si="10"/>
        <v>113.13528468185459</v>
      </c>
      <c r="M70" s="8">
        <f t="shared" si="11"/>
        <v>1045000</v>
      </c>
      <c r="N70" s="9">
        <f t="shared" si="12"/>
        <v>74.642857142857139</v>
      </c>
    </row>
    <row r="71" spans="1:14" ht="15.95" customHeight="1" x14ac:dyDescent="0.25">
      <c r="A71" s="7">
        <v>69</v>
      </c>
      <c r="B71" s="74">
        <f t="shared" si="8"/>
        <v>43797</v>
      </c>
      <c r="C71" s="8">
        <f>B71-常量!$B$2</f>
        <v>914</v>
      </c>
      <c r="D71" s="8">
        <f>D70*(1+变量!$B$3)</f>
        <v>8579390402543.7822</v>
      </c>
      <c r="E71" s="8">
        <f>E70*(1-变量!$B$4)</f>
        <v>40.295695357527798</v>
      </c>
      <c r="F71" s="9">
        <f>F70*(1-变量!$B$3)</f>
        <v>0.45755179006807584</v>
      </c>
      <c r="G71" s="10">
        <f>G70*(1+变量!$B$2)</f>
        <v>28180.834792139853</v>
      </c>
      <c r="H71" s="10">
        <f>F71*G71-常量!$B$16</f>
        <v>-4141.0085952436984</v>
      </c>
      <c r="I71" s="10">
        <f>F71-常量!$B$16/G71</f>
        <v>-0.14694414220826074</v>
      </c>
      <c r="J71" s="10">
        <f>-常量!$B$16/收益计算!G71</f>
        <v>-0.60449593227633658</v>
      </c>
      <c r="K71" s="10">
        <f t="shared" si="9"/>
        <v>1874487.023495933</v>
      </c>
      <c r="L71" s="10">
        <f t="shared" si="10"/>
        <v>112.98834053964633</v>
      </c>
      <c r="M71" s="8">
        <f t="shared" si="11"/>
        <v>1045000</v>
      </c>
      <c r="N71" s="9">
        <f t="shared" si="12"/>
        <v>74.642857142857139</v>
      </c>
    </row>
    <row r="72" spans="1:14" ht="15.95" customHeight="1" x14ac:dyDescent="0.25">
      <c r="A72" s="7">
        <v>70</v>
      </c>
      <c r="B72" s="74">
        <f t="shared" si="8"/>
        <v>43810</v>
      </c>
      <c r="C72" s="8">
        <f>B72-常量!$B$2</f>
        <v>927</v>
      </c>
      <c r="D72" s="8">
        <f>D71*(1+变量!$B$3)</f>
        <v>8922566018645.5332</v>
      </c>
      <c r="E72" s="8">
        <f>E71*(1-变量!$B$4)</f>
        <v>39.08682449680196</v>
      </c>
      <c r="F72" s="9">
        <f>F71*(1-变量!$B$3)</f>
        <v>0.43924971846535277</v>
      </c>
      <c r="G72" s="10">
        <f>G71*(1+变量!$B$2)</f>
        <v>28462.643140061253</v>
      </c>
      <c r="H72" s="10">
        <f>F72*G72-常量!$B$16</f>
        <v>-4532.9920139482911</v>
      </c>
      <c r="I72" s="10">
        <f>F72-常量!$B$16/G72</f>
        <v>-0.15926110557062401</v>
      </c>
      <c r="J72" s="10">
        <f>-常量!$B$16/收益计算!G72</f>
        <v>-0.59851082403597677</v>
      </c>
      <c r="K72" s="10">
        <f t="shared" si="9"/>
        <v>1869954.0314819848</v>
      </c>
      <c r="L72" s="10">
        <f t="shared" si="10"/>
        <v>112.82907943407571</v>
      </c>
      <c r="M72" s="8">
        <f t="shared" si="11"/>
        <v>1045000</v>
      </c>
      <c r="N72" s="9">
        <f t="shared" si="12"/>
        <v>74.642857142857139</v>
      </c>
    </row>
    <row r="73" spans="1:14" ht="15.95" customHeight="1" x14ac:dyDescent="0.25">
      <c r="A73" s="7">
        <v>71</v>
      </c>
      <c r="B73" s="74">
        <f t="shared" si="8"/>
        <v>43823</v>
      </c>
      <c r="C73" s="8">
        <f>B73-常量!$B$2</f>
        <v>940</v>
      </c>
      <c r="D73" s="8">
        <f>D72*(1+变量!$B$3)</f>
        <v>9279468659391.3555</v>
      </c>
      <c r="E73" s="8">
        <f>E72*(1-变量!$B$4)</f>
        <v>37.914219761897897</v>
      </c>
      <c r="F73" s="9">
        <f>F72*(1-变量!$B$3)</f>
        <v>0.42167972972673862</v>
      </c>
      <c r="G73" s="10">
        <f>G72*(1+变量!$B$2)</f>
        <v>28747.269571461864</v>
      </c>
      <c r="H73" s="10">
        <f>F73*G73-常量!$B$16</f>
        <v>-4913.059136724265</v>
      </c>
      <c r="I73" s="10">
        <f>F73-常量!$B$16/G73</f>
        <v>-0.17090524456630773</v>
      </c>
      <c r="J73" s="10">
        <f>-常量!$B$16/收益计算!G73</f>
        <v>-0.59258497429304635</v>
      </c>
      <c r="K73" s="10">
        <f t="shared" si="9"/>
        <v>1865040.9723452604</v>
      </c>
      <c r="L73" s="10">
        <f t="shared" si="10"/>
        <v>112.6581741895094</v>
      </c>
      <c r="M73" s="8">
        <f t="shared" si="11"/>
        <v>1045000</v>
      </c>
      <c r="N73" s="9">
        <f t="shared" si="12"/>
        <v>74.642857142857139</v>
      </c>
    </row>
    <row r="74" spans="1:14" ht="15.95" customHeight="1" x14ac:dyDescent="0.25">
      <c r="A74" s="7">
        <v>72</v>
      </c>
      <c r="B74" s="75">
        <f t="shared" si="8"/>
        <v>43836</v>
      </c>
      <c r="C74" s="8">
        <f>B74-常量!$B$2</f>
        <v>953</v>
      </c>
      <c r="D74" s="11">
        <f>D73*(1+变量!$B$3)</f>
        <v>9650647405767.0098</v>
      </c>
      <c r="E74" s="8">
        <f>E73*(1-变量!$B$4)</f>
        <v>36.776793169040957</v>
      </c>
      <c r="F74" s="12">
        <f>F73*(1-变量!$B$3)</f>
        <v>0.40481254053766907</v>
      </c>
      <c r="G74" s="13">
        <f>G73*(1+变量!$B$2)</f>
        <v>29034.742267176483</v>
      </c>
      <c r="H74" s="10">
        <f>F74*G74-常量!$B$16</f>
        <v>-5281.5722189678472</v>
      </c>
      <c r="I74" s="10">
        <f>F74-常量!$B$16/G74</f>
        <v>-0.18190525579207967</v>
      </c>
      <c r="J74" s="10">
        <f>-常量!$B$16/收益计算!G74</f>
        <v>-0.58671779632974874</v>
      </c>
      <c r="K74" s="13">
        <f t="shared" si="9"/>
        <v>1859759.4001262926</v>
      </c>
      <c r="L74" s="13">
        <f t="shared" si="10"/>
        <v>112.47626893371732</v>
      </c>
      <c r="M74" s="8">
        <f t="shared" si="11"/>
        <v>1045000</v>
      </c>
      <c r="N74" s="9">
        <f t="shared" si="12"/>
        <v>74.642857142857139</v>
      </c>
    </row>
  </sheetData>
  <conditionalFormatting sqref="F3:F74">
    <cfRule type="cellIs" dxfId="20" priority="26" stopIfTrue="1" operator="lessThan">
      <formula>0</formula>
    </cfRule>
  </conditionalFormatting>
  <conditionalFormatting sqref="H3:I74">
    <cfRule type="cellIs" dxfId="19" priority="27" stopIfTrue="1" operator="greaterThan">
      <formula>0</formula>
    </cfRule>
    <cfRule type="cellIs" dxfId="18" priority="27" stopIfTrue="1" operator="lessThan">
      <formula>0</formula>
    </cfRule>
  </conditionalFormatting>
  <conditionalFormatting sqref="B3:B74">
    <cfRule type="cellIs" dxfId="17" priority="30" stopIfTrue="1" operator="equal">
      <formula>$H$12</formula>
    </cfRule>
    <cfRule type="cellIs" dxfId="16" priority="31" stopIfTrue="1" operator="equal">
      <formula>$F$12</formula>
    </cfRule>
  </conditionalFormatting>
  <conditionalFormatting sqref="F2">
    <cfRule type="cellIs" dxfId="15" priority="15" stopIfTrue="1" operator="lessThan">
      <formula>0</formula>
    </cfRule>
  </conditionalFormatting>
  <conditionalFormatting sqref="H2:J2">
    <cfRule type="cellIs" dxfId="14" priority="16" stopIfTrue="1" operator="greaterThan">
      <formula>0</formula>
    </cfRule>
  </conditionalFormatting>
  <conditionalFormatting sqref="B2">
    <cfRule type="cellIs" dxfId="13" priority="19" stopIfTrue="1" operator="equal">
      <formula>$H$12</formula>
    </cfRule>
    <cfRule type="cellIs" dxfId="12" priority="20" stopIfTrue="1" operator="equal">
      <formula>$F$12</formula>
    </cfRule>
  </conditionalFormatting>
  <conditionalFormatting sqref="J3:J74">
    <cfRule type="expression" dxfId="11" priority="7">
      <formula>(F3+J3)&gt;=0</formula>
    </cfRule>
    <cfRule type="expression" dxfId="10" priority="8">
      <formula>(F38+J3)&lt;0</formula>
    </cfRule>
  </conditionalFormatting>
  <conditionalFormatting sqref="N2:N74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stopIfTrue="1" operator="greaterThanOrEqual" id="{72C82D5C-7EE3-45F3-B200-DBA76EF35639}">
            <xm:f>常量!$B$14</xm:f>
            <x14:dxf>
              <font>
                <color rgb="FF000000"/>
              </font>
              <fill>
                <patternFill patternType="solid">
                  <fgColor indexed="14"/>
                  <bgColor indexed="20"/>
                </patternFill>
              </fill>
            </x14:dxf>
          </x14:cfRule>
          <x14:cfRule type="cellIs" priority="28" stopIfTrue="1" operator="lessThan" id="{0A5C0E46-61C2-4897-9999-F30B712EFA40}">
            <xm:f>常量!$B$14</xm:f>
            <x14:dxf>
              <font>
                <color rgb="FF000000"/>
              </font>
              <fill>
                <patternFill patternType="solid">
                  <fgColor indexed="14"/>
                  <bgColor indexed="21"/>
                </patternFill>
              </fill>
            </x14:dxf>
          </x14:cfRule>
          <xm:sqref>K3:K74</xm:sqref>
        </x14:conditionalFormatting>
        <x14:conditionalFormatting xmlns:xm="http://schemas.microsoft.com/office/excel/2006/main">
          <x14:cfRule type="cellIs" priority="29" stopIfTrue="1" operator="greaterThanOrEqual" id="{A315C88B-D97C-4440-A3EB-04AAD44BD3EE}">
            <xm:f>常量!$B$17</xm:f>
            <x14:dxf>
              <font>
                <color rgb="FF000000"/>
              </font>
              <fill>
                <patternFill patternType="solid">
                  <fgColor indexed="14"/>
                  <bgColor indexed="20"/>
                </patternFill>
              </fill>
            </x14:dxf>
          </x14:cfRule>
          <x14:cfRule type="cellIs" priority="29" stopIfTrue="1" operator="lessThan" id="{CA19485C-14D8-498F-B7D4-B8013336B4BC}">
            <xm:f>常量!$B$17</xm:f>
            <x14:dxf>
              <font>
                <color rgb="FF000000"/>
              </font>
              <fill>
                <patternFill patternType="solid">
                  <fgColor indexed="14"/>
                  <bgColor indexed="21"/>
                </patternFill>
              </fill>
            </x14:dxf>
          </x14:cfRule>
          <xm:sqref>L3:L74</xm:sqref>
        </x14:conditionalFormatting>
        <x14:conditionalFormatting xmlns:xm="http://schemas.microsoft.com/office/excel/2006/main">
          <x14:cfRule type="cellIs" priority="17" stopIfTrue="1" operator="greaterThanOrEqual" id="{5AA8537B-7DD3-4A1F-8351-2801F7F30A47}">
            <xm:f>常量!$B$14</xm:f>
            <x14:dxf>
              <font>
                <color rgb="FF000000"/>
              </font>
              <fill>
                <patternFill patternType="solid">
                  <fgColor indexed="14"/>
                  <bgColor indexed="20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ellIs" priority="18" stopIfTrue="1" operator="greaterThanOrEqual" id="{17DBFE3C-8F35-4839-A480-8C4C4C543A2D}">
            <xm:f>常量!$B$17</xm:f>
            <x14:dxf>
              <font>
                <color rgb="FF000000"/>
              </font>
              <fill>
                <patternFill patternType="solid">
                  <fgColor indexed="14"/>
                  <bgColor indexed="20"/>
                </patternFill>
              </fill>
            </x14:dxf>
          </x14:cfRule>
          <xm:sqref>L2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"/>
  <sheetViews>
    <sheetView showGridLines="0" workbookViewId="0">
      <selection activeCell="B3" sqref="B3"/>
    </sheetView>
  </sheetViews>
  <sheetFormatPr defaultColWidth="8.85546875" defaultRowHeight="15" customHeight="1" x14ac:dyDescent="0.25"/>
  <cols>
    <col min="1" max="1" width="22.85546875" style="14" bestFit="1" customWidth="1"/>
    <col min="2" max="2" width="6.5703125" style="14" bestFit="1" customWidth="1"/>
    <col min="3" max="3" width="113.5703125" style="14" customWidth="1"/>
    <col min="4" max="255" width="8.85546875" style="14" customWidth="1"/>
  </cols>
  <sheetData>
    <row r="1" spans="1:3" ht="15.95" customHeight="1" x14ac:dyDescent="0.25">
      <c r="A1" s="21" t="s">
        <v>33</v>
      </c>
      <c r="B1" s="22" t="s">
        <v>15</v>
      </c>
      <c r="C1" s="22"/>
    </row>
    <row r="2" spans="1:3" ht="15.95" customHeight="1" x14ac:dyDescent="0.25">
      <c r="A2" s="15" t="s">
        <v>16</v>
      </c>
      <c r="B2" s="16">
        <v>0.01</v>
      </c>
      <c r="C2" s="16" t="s">
        <v>55</v>
      </c>
    </row>
    <row r="3" spans="1:3" ht="15.95" customHeight="1" x14ac:dyDescent="0.25">
      <c r="A3" s="15" t="s">
        <v>17</v>
      </c>
      <c r="B3" s="16">
        <v>0.04</v>
      </c>
      <c r="C3" s="54" t="s">
        <v>56</v>
      </c>
    </row>
    <row r="4" spans="1:3" ht="15" customHeight="1" x14ac:dyDescent="0.25">
      <c r="A4" s="59" t="s">
        <v>57</v>
      </c>
      <c r="B4" s="16">
        <v>0.03</v>
      </c>
      <c r="C4" s="54" t="s">
        <v>64</v>
      </c>
    </row>
    <row r="5" spans="1:3" ht="15" customHeight="1" x14ac:dyDescent="0.25">
      <c r="A5" s="59" t="s">
        <v>29</v>
      </c>
      <c r="B5" s="64">
        <v>30</v>
      </c>
      <c r="C5" s="54" t="s">
        <v>60</v>
      </c>
    </row>
  </sheetData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C25" sqref="C25"/>
    </sheetView>
  </sheetViews>
  <sheetFormatPr defaultColWidth="8.85546875" defaultRowHeight="15.4" customHeight="1" x14ac:dyDescent="0.25"/>
  <cols>
    <col min="1" max="1" width="33.140625" style="17" bestFit="1" customWidth="1"/>
    <col min="2" max="2" width="14.85546875" style="17" bestFit="1" customWidth="1"/>
    <col min="3" max="3" width="8" style="17" bestFit="1" customWidth="1"/>
    <col min="4" max="4" width="40.5703125" style="17" bestFit="1" customWidth="1"/>
    <col min="5" max="256" width="8.85546875" style="17" customWidth="1"/>
  </cols>
  <sheetData>
    <row r="1" spans="1:256" ht="15.95" customHeight="1" x14ac:dyDescent="0.25">
      <c r="A1" s="56" t="s">
        <v>33</v>
      </c>
      <c r="B1" s="57" t="s">
        <v>15</v>
      </c>
      <c r="C1" s="57" t="s">
        <v>34</v>
      </c>
      <c r="D1" s="58" t="s">
        <v>58</v>
      </c>
    </row>
    <row r="2" spans="1:256" ht="15.95" customHeight="1" x14ac:dyDescent="0.25">
      <c r="A2" s="65" t="s">
        <v>18</v>
      </c>
      <c r="B2" s="66">
        <v>42883</v>
      </c>
      <c r="C2" s="67"/>
      <c r="D2" s="68"/>
    </row>
    <row r="3" spans="1:256" ht="15.95" customHeight="1" x14ac:dyDescent="0.25">
      <c r="A3" s="65" t="s">
        <v>19</v>
      </c>
      <c r="B3" s="68">
        <v>14000</v>
      </c>
      <c r="C3" s="69" t="s">
        <v>35</v>
      </c>
      <c r="D3" s="68"/>
    </row>
    <row r="4" spans="1:256" ht="15.95" customHeight="1" x14ac:dyDescent="0.25">
      <c r="A4" s="65" t="s">
        <v>20</v>
      </c>
      <c r="B4" s="70">
        <v>595921917085</v>
      </c>
      <c r="C4" s="67"/>
      <c r="D4" s="68"/>
    </row>
    <row r="5" spans="1:256" ht="15.95" customHeight="1" x14ac:dyDescent="0.25">
      <c r="A5" s="65" t="s">
        <v>21</v>
      </c>
      <c r="B5" s="71">
        <v>13</v>
      </c>
      <c r="C5" s="69" t="s">
        <v>22</v>
      </c>
      <c r="D5" s="68"/>
    </row>
    <row r="6" spans="1:256" ht="15.95" customHeight="1" x14ac:dyDescent="0.25">
      <c r="A6" s="65" t="s">
        <v>26</v>
      </c>
      <c r="B6" s="71">
        <v>100</v>
      </c>
      <c r="C6" s="67" t="s">
        <v>36</v>
      </c>
      <c r="D6" s="6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15.95" customHeight="1" x14ac:dyDescent="0.25">
      <c r="A7" s="65" t="s">
        <v>23</v>
      </c>
      <c r="B7" s="71">
        <f>B5*B6</f>
        <v>1300</v>
      </c>
      <c r="C7" s="69" t="s">
        <v>22</v>
      </c>
      <c r="D7" s="68"/>
    </row>
    <row r="8" spans="1:256" ht="15.95" customHeight="1" x14ac:dyDescent="0.25">
      <c r="A8" s="65" t="s">
        <v>24</v>
      </c>
      <c r="B8" s="71">
        <v>750</v>
      </c>
      <c r="C8" s="69" t="s">
        <v>35</v>
      </c>
      <c r="D8" s="68" t="s">
        <v>59</v>
      </c>
    </row>
    <row r="9" spans="1:256" ht="15.95" customHeight="1" x14ac:dyDescent="0.25">
      <c r="A9" s="65" t="s">
        <v>25</v>
      </c>
      <c r="B9" s="71">
        <v>700</v>
      </c>
      <c r="C9" s="69" t="s">
        <v>35</v>
      </c>
      <c r="D9" s="68"/>
    </row>
    <row r="10" spans="1:256" ht="15.95" customHeight="1" x14ac:dyDescent="0.25">
      <c r="A10" s="65" t="s">
        <v>92</v>
      </c>
      <c r="B10" s="71">
        <f>B5*B8+B9</f>
        <v>10450</v>
      </c>
      <c r="C10" s="69" t="s">
        <v>35</v>
      </c>
      <c r="D10" s="68"/>
    </row>
    <row r="11" spans="1:256" ht="15.95" customHeight="1" x14ac:dyDescent="0.25">
      <c r="A11" s="65" t="s">
        <v>37</v>
      </c>
      <c r="B11" s="71">
        <f>13*0.12</f>
        <v>1.56</v>
      </c>
      <c r="C11" s="67" t="s">
        <v>38</v>
      </c>
      <c r="D11" s="68" t="s">
        <v>93</v>
      </c>
    </row>
    <row r="12" spans="1:256" ht="15.95" customHeight="1" x14ac:dyDescent="0.25">
      <c r="A12" s="65" t="s">
        <v>39</v>
      </c>
      <c r="B12" s="71">
        <v>0.35</v>
      </c>
      <c r="C12" s="69" t="s">
        <v>40</v>
      </c>
      <c r="D12" s="68"/>
    </row>
    <row r="13" spans="1:256" ht="15.95" customHeight="1" x14ac:dyDescent="0.25">
      <c r="A13" s="65" t="s">
        <v>27</v>
      </c>
      <c r="B13" s="72">
        <v>0</v>
      </c>
      <c r="C13" s="67"/>
      <c r="D13" s="68" t="s">
        <v>61</v>
      </c>
    </row>
    <row r="14" spans="1:256" ht="15.95" customHeight="1" x14ac:dyDescent="0.25">
      <c r="A14" s="65" t="s">
        <v>28</v>
      </c>
      <c r="B14" s="71">
        <f>(B5*B8+B9)*B6</f>
        <v>1045000</v>
      </c>
      <c r="C14" s="69" t="s">
        <v>35</v>
      </c>
      <c r="D14" s="68"/>
    </row>
    <row r="15" spans="1:256" ht="15.95" customHeight="1" x14ac:dyDescent="0.25">
      <c r="A15" s="65" t="s">
        <v>30</v>
      </c>
      <c r="B15" s="68">
        <v>4.3461999999999998E-4</v>
      </c>
      <c r="C15" s="69" t="s">
        <v>31</v>
      </c>
      <c r="D15" s="68" t="s">
        <v>62</v>
      </c>
    </row>
    <row r="16" spans="1:256" ht="15.95" customHeight="1" x14ac:dyDescent="0.25">
      <c r="A16" s="65" t="s">
        <v>63</v>
      </c>
      <c r="B16" s="68">
        <f>B6*B11*24*13*B12</f>
        <v>17035.2</v>
      </c>
      <c r="C16" s="69" t="s">
        <v>35</v>
      </c>
      <c r="D16" s="68" t="s">
        <v>94</v>
      </c>
    </row>
    <row r="17" spans="1:4" ht="15.95" customHeight="1" x14ac:dyDescent="0.25">
      <c r="A17" s="65" t="s">
        <v>32</v>
      </c>
      <c r="B17" s="63">
        <f>B14/B3</f>
        <v>74.642857142857139</v>
      </c>
      <c r="C17" s="67" t="s">
        <v>31</v>
      </c>
      <c r="D17" s="68"/>
    </row>
    <row r="21" spans="1:4" ht="15.4" customHeight="1" x14ac:dyDescent="0.25">
      <c r="B21" s="5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F22" sqref="F22"/>
    </sheetView>
  </sheetViews>
  <sheetFormatPr defaultRowHeight="15" x14ac:dyDescent="0.25"/>
  <cols>
    <col min="1" max="1" width="7.42578125" customWidth="1"/>
    <col min="2" max="3" width="11.7109375" customWidth="1"/>
    <col min="4" max="4" width="14.85546875" bestFit="1" customWidth="1"/>
    <col min="5" max="5" width="9.5703125" customWidth="1"/>
    <col min="6" max="6" width="16.5703125" customWidth="1"/>
    <col min="7" max="7" width="17.140625" customWidth="1"/>
    <col min="9" max="9" width="18.42578125" bestFit="1" customWidth="1"/>
    <col min="10" max="10" width="18.140625" customWidth="1"/>
  </cols>
  <sheetData>
    <row r="1" spans="1:10" x14ac:dyDescent="0.25">
      <c r="A1" s="86" t="s">
        <v>75</v>
      </c>
      <c r="B1" s="86"/>
      <c r="C1" s="86"/>
      <c r="D1" s="86"/>
      <c r="E1" s="86"/>
      <c r="F1" s="86"/>
      <c r="G1" s="86"/>
    </row>
    <row r="2" spans="1:10" x14ac:dyDescent="0.25">
      <c r="A2" t="s">
        <v>76</v>
      </c>
      <c r="B2" t="s">
        <v>77</v>
      </c>
      <c r="C2" t="s">
        <v>78</v>
      </c>
      <c r="D2" t="s">
        <v>14</v>
      </c>
      <c r="E2" t="s">
        <v>79</v>
      </c>
      <c r="F2" t="s">
        <v>80</v>
      </c>
      <c r="G2" t="s">
        <v>81</v>
      </c>
      <c r="I2" t="s">
        <v>82</v>
      </c>
      <c r="J2" t="s">
        <v>83</v>
      </c>
    </row>
    <row r="3" spans="1:10" x14ac:dyDescent="0.25">
      <c r="A3">
        <v>1</v>
      </c>
      <c r="B3" s="60">
        <v>467712</v>
      </c>
      <c r="C3" s="61">
        <v>42878</v>
      </c>
      <c r="D3" s="60">
        <v>595921917085</v>
      </c>
      <c r="E3" s="62">
        <v>6.4199999999999993E-2</v>
      </c>
      <c r="F3">
        <v>9.4</v>
      </c>
      <c r="G3">
        <v>4260000</v>
      </c>
      <c r="I3" s="60">
        <v>2009</v>
      </c>
      <c r="J3" s="62">
        <v>0</v>
      </c>
    </row>
    <row r="4" spans="1:10" x14ac:dyDescent="0.25">
      <c r="A4">
        <v>2</v>
      </c>
      <c r="B4" s="60">
        <v>465696</v>
      </c>
      <c r="C4" s="61">
        <v>42865</v>
      </c>
      <c r="D4" s="60">
        <v>559970892890</v>
      </c>
      <c r="E4" s="62">
        <v>7.2800000000000004E-2</v>
      </c>
      <c r="F4">
        <v>9.33</v>
      </c>
      <c r="G4">
        <v>4010000</v>
      </c>
      <c r="I4" s="60">
        <v>2010</v>
      </c>
      <c r="J4" s="62">
        <v>0.34899999999999998</v>
      </c>
    </row>
    <row r="5" spans="1:10" x14ac:dyDescent="0.25">
      <c r="A5">
        <v>3</v>
      </c>
      <c r="B5" s="60">
        <v>463680</v>
      </c>
      <c r="C5" s="61">
        <v>42852</v>
      </c>
      <c r="D5" s="60">
        <v>521974519553</v>
      </c>
      <c r="E5" s="62">
        <v>2.2000000000000001E-3</v>
      </c>
      <c r="F5">
        <v>9.98</v>
      </c>
      <c r="G5">
        <v>3740000</v>
      </c>
      <c r="I5" s="60">
        <v>2011</v>
      </c>
      <c r="J5" s="62">
        <v>0.15840000000000001</v>
      </c>
    </row>
    <row r="6" spans="1:10" x14ac:dyDescent="0.25">
      <c r="A6">
        <v>4</v>
      </c>
      <c r="B6" s="60">
        <v>461664</v>
      </c>
      <c r="C6" s="61">
        <v>42838</v>
      </c>
      <c r="D6" s="60">
        <v>520808749422</v>
      </c>
      <c r="E6" s="62">
        <v>4.24E-2</v>
      </c>
      <c r="F6">
        <v>9.6</v>
      </c>
      <c r="G6">
        <v>3730000</v>
      </c>
      <c r="I6" s="60">
        <v>2012</v>
      </c>
      <c r="J6" s="62">
        <v>3.4000000000000002E-2</v>
      </c>
    </row>
    <row r="7" spans="1:10" x14ac:dyDescent="0.25">
      <c r="A7">
        <v>5</v>
      </c>
      <c r="B7" s="60">
        <v>459648</v>
      </c>
      <c r="C7" s="61">
        <v>42825</v>
      </c>
      <c r="D7" s="60">
        <v>499635929816</v>
      </c>
      <c r="E7" s="62">
        <v>5.0299999999999997E-2</v>
      </c>
      <c r="F7">
        <v>9.5299999999999994</v>
      </c>
      <c r="G7">
        <v>3570000</v>
      </c>
      <c r="I7" s="60">
        <v>2013</v>
      </c>
      <c r="J7" s="62">
        <v>0.2172</v>
      </c>
    </row>
    <row r="8" spans="1:10" x14ac:dyDescent="0.25">
      <c r="A8">
        <v>6</v>
      </c>
      <c r="B8" s="60">
        <v>457632</v>
      </c>
      <c r="C8" s="61">
        <v>42811</v>
      </c>
      <c r="D8" s="60">
        <v>475705205061</v>
      </c>
      <c r="E8" s="62">
        <v>3.2399999999999998E-2</v>
      </c>
      <c r="F8">
        <v>9.68</v>
      </c>
      <c r="G8">
        <v>3400000</v>
      </c>
      <c r="I8" s="60">
        <v>2014</v>
      </c>
      <c r="J8" s="62">
        <v>0.1227</v>
      </c>
    </row>
    <row r="9" spans="1:10" x14ac:dyDescent="0.25">
      <c r="A9">
        <v>7</v>
      </c>
      <c r="B9" s="60">
        <v>455616</v>
      </c>
      <c r="C9" s="61">
        <v>42798</v>
      </c>
      <c r="D9" s="60">
        <v>460769358090</v>
      </c>
      <c r="E9" s="62">
        <v>4.5400000000000003E-2</v>
      </c>
      <c r="F9">
        <v>9.57</v>
      </c>
      <c r="G9">
        <v>3300000</v>
      </c>
      <c r="I9" s="60">
        <v>2015</v>
      </c>
      <c r="J9" s="62">
        <v>3.3599999999999998E-2</v>
      </c>
    </row>
    <row r="10" spans="1:10" x14ac:dyDescent="0.25">
      <c r="A10">
        <v>8</v>
      </c>
      <c r="B10" s="60">
        <v>453600</v>
      </c>
      <c r="C10" s="61">
        <v>42784</v>
      </c>
      <c r="D10" s="60">
        <v>440779902286</v>
      </c>
      <c r="E10" s="62">
        <v>4.41E-2</v>
      </c>
      <c r="F10">
        <v>9.58</v>
      </c>
      <c r="G10">
        <v>3150000</v>
      </c>
      <c r="I10" s="60">
        <v>2016</v>
      </c>
      <c r="J10" s="62">
        <v>4.0399999999999998E-2</v>
      </c>
    </row>
    <row r="11" spans="1:10" x14ac:dyDescent="0.25">
      <c r="A11">
        <v>9</v>
      </c>
      <c r="B11" s="60">
        <v>451584</v>
      </c>
      <c r="C11" s="61">
        <v>42771</v>
      </c>
      <c r="D11" s="60">
        <v>422170566883</v>
      </c>
      <c r="E11" s="62">
        <v>7.4300000000000005E-2</v>
      </c>
      <c r="F11">
        <v>9.32</v>
      </c>
      <c r="G11">
        <v>3020000</v>
      </c>
      <c r="I11" t="s">
        <v>84</v>
      </c>
      <c r="J11" s="62">
        <v>5.1900000000000002E-2</v>
      </c>
    </row>
    <row r="12" spans="1:10" x14ac:dyDescent="0.25">
      <c r="A12">
        <v>10</v>
      </c>
      <c r="B12" s="60">
        <v>449568</v>
      </c>
      <c r="C12" s="61">
        <v>42758</v>
      </c>
      <c r="D12" s="60">
        <v>392963262344</v>
      </c>
      <c r="E12" s="62">
        <v>0.16639999999999999</v>
      </c>
      <c r="F12">
        <v>8.58</v>
      </c>
      <c r="G12">
        <v>2810000</v>
      </c>
      <c r="I12" t="s">
        <v>85</v>
      </c>
      <c r="J12" s="62">
        <v>4.6199999999999998E-2</v>
      </c>
    </row>
    <row r="13" spans="1:10" x14ac:dyDescent="0.25">
      <c r="A13">
        <v>11</v>
      </c>
      <c r="B13" s="60">
        <v>447552</v>
      </c>
      <c r="C13" s="61">
        <v>42746</v>
      </c>
      <c r="D13" s="60">
        <v>336899932795</v>
      </c>
      <c r="E13" s="62">
        <v>6.0499999999999998E-2</v>
      </c>
      <c r="F13">
        <v>9.43</v>
      </c>
      <c r="G13">
        <v>2410000</v>
      </c>
      <c r="I13" t="s">
        <v>86</v>
      </c>
      <c r="J13" s="62">
        <v>0.04</v>
      </c>
    </row>
    <row r="14" spans="1:10" x14ac:dyDescent="0.25">
      <c r="A14">
        <v>12</v>
      </c>
      <c r="B14" s="60">
        <v>445536</v>
      </c>
      <c r="C14" s="61">
        <v>42733</v>
      </c>
      <c r="D14" s="60">
        <v>317688400354</v>
      </c>
      <c r="E14" s="62">
        <v>2.4299999999999999E-2</v>
      </c>
      <c r="F14">
        <v>9.77</v>
      </c>
      <c r="G14">
        <v>2270000</v>
      </c>
      <c r="I14" t="s">
        <v>87</v>
      </c>
      <c r="J14" s="62">
        <v>5.5199999999999999E-2</v>
      </c>
    </row>
    <row r="15" spans="1:10" x14ac:dyDescent="0.25">
      <c r="A15">
        <v>13</v>
      </c>
      <c r="B15" s="60">
        <v>443520</v>
      </c>
      <c r="C15" s="61">
        <v>42719</v>
      </c>
      <c r="D15" s="60">
        <v>310153855703</v>
      </c>
      <c r="E15" s="62">
        <v>8.1600000000000006E-2</v>
      </c>
      <c r="F15">
        <v>9.25</v>
      </c>
      <c r="G15">
        <v>2220000</v>
      </c>
      <c r="I15" t="s">
        <v>88</v>
      </c>
      <c r="J15" s="62">
        <v>4.1200000000000001E-2</v>
      </c>
    </row>
    <row r="16" spans="1:10" x14ac:dyDescent="0.25">
      <c r="A16">
        <v>14</v>
      </c>
      <c r="B16" s="60">
        <v>441504</v>
      </c>
      <c r="C16" s="61">
        <v>42706</v>
      </c>
      <c r="D16" s="60">
        <v>286765766820</v>
      </c>
      <c r="E16" s="62">
        <v>1.7600000000000001E-2</v>
      </c>
      <c r="F16">
        <v>9.83</v>
      </c>
      <c r="G16">
        <v>2050000</v>
      </c>
      <c r="I16" t="s">
        <v>89</v>
      </c>
      <c r="J16" s="62">
        <v>3.6900000000000002E-2</v>
      </c>
    </row>
    <row r="17" spans="1:10" x14ac:dyDescent="0.25">
      <c r="A17">
        <v>15</v>
      </c>
      <c r="B17" s="60">
        <v>439488</v>
      </c>
      <c r="C17" s="61">
        <v>42692</v>
      </c>
      <c r="D17" s="60">
        <v>281800917193</v>
      </c>
      <c r="E17" s="62">
        <v>0.10680000000000001</v>
      </c>
      <c r="F17">
        <v>9.0299999999999994</v>
      </c>
      <c r="G17">
        <v>2020000</v>
      </c>
    </row>
    <row r="18" spans="1:10" x14ac:dyDescent="0.25">
      <c r="A18">
        <v>16</v>
      </c>
      <c r="B18" s="60">
        <v>437472</v>
      </c>
      <c r="C18" s="61">
        <v>42680</v>
      </c>
      <c r="D18" s="60">
        <v>254620187304</v>
      </c>
      <c r="E18" s="62">
        <v>4.0000000000000001E-3</v>
      </c>
      <c r="F18">
        <v>9.9700000000000006</v>
      </c>
      <c r="G18">
        <v>1820000</v>
      </c>
      <c r="I18" t="s">
        <v>90</v>
      </c>
      <c r="J18">
        <v>13.09</v>
      </c>
    </row>
    <row r="19" spans="1:10" x14ac:dyDescent="0.25">
      <c r="A19">
        <v>17</v>
      </c>
      <c r="B19" s="60">
        <v>435456</v>
      </c>
      <c r="C19" s="61">
        <v>42666</v>
      </c>
      <c r="D19" s="60">
        <v>253618246641</v>
      </c>
      <c r="E19" s="62">
        <v>-1.9E-2</v>
      </c>
      <c r="F19">
        <v>10.220000000000001</v>
      </c>
      <c r="G19">
        <v>1810000</v>
      </c>
      <c r="I19" t="s">
        <v>91</v>
      </c>
      <c r="J19">
        <v>27.88</v>
      </c>
    </row>
    <row r="20" spans="1:10" x14ac:dyDescent="0.25">
      <c r="A20">
        <v>18</v>
      </c>
      <c r="B20" s="60">
        <v>433440</v>
      </c>
      <c r="C20" s="61">
        <v>42651</v>
      </c>
      <c r="D20" s="60">
        <v>258522748404</v>
      </c>
      <c r="E20" s="62">
        <v>7.17E-2</v>
      </c>
      <c r="F20">
        <v>9.33</v>
      </c>
      <c r="G20">
        <v>1850000</v>
      </c>
    </row>
    <row r="21" spans="1:10" x14ac:dyDescent="0.25">
      <c r="A21">
        <v>19</v>
      </c>
      <c r="B21" s="60">
        <v>431424</v>
      </c>
      <c r="C21" s="61">
        <v>42638</v>
      </c>
      <c r="D21" s="60">
        <v>241227200229</v>
      </c>
      <c r="E21" s="62">
        <v>6.8199999999999997E-2</v>
      </c>
      <c r="F21">
        <v>9.3699999999999992</v>
      </c>
      <c r="G21">
        <v>1730000</v>
      </c>
    </row>
    <row r="22" spans="1:10" x14ac:dyDescent="0.25">
      <c r="A22">
        <v>20</v>
      </c>
      <c r="B22" s="60">
        <v>429408</v>
      </c>
      <c r="C22" s="61">
        <v>42625</v>
      </c>
      <c r="D22" s="60">
        <v>225832872179</v>
      </c>
      <c r="E22" s="62">
        <v>2.3E-2</v>
      </c>
      <c r="F22">
        <v>9.7799999999999994</v>
      </c>
      <c r="G22">
        <v>1620000</v>
      </c>
    </row>
    <row r="23" spans="1:10" x14ac:dyDescent="0.25">
      <c r="A23">
        <v>21</v>
      </c>
      <c r="B23" s="60">
        <v>427392</v>
      </c>
      <c r="C23" s="61">
        <v>42611</v>
      </c>
      <c r="D23" s="60">
        <v>220755908330</v>
      </c>
      <c r="E23" s="62">
        <v>1.5599999999999999E-2</v>
      </c>
      <c r="F23">
        <v>9.85</v>
      </c>
      <c r="G23">
        <v>1580000</v>
      </c>
    </row>
    <row r="24" spans="1:10" x14ac:dyDescent="0.25">
      <c r="A24">
        <v>22</v>
      </c>
      <c r="B24" s="60">
        <v>425376</v>
      </c>
      <c r="C24" s="61">
        <v>42598</v>
      </c>
      <c r="D24" s="60">
        <v>217375482757</v>
      </c>
      <c r="E24" s="62">
        <v>7.6700000000000004E-2</v>
      </c>
      <c r="F24">
        <v>9.2799999999999994</v>
      </c>
      <c r="G24">
        <v>1560000</v>
      </c>
    </row>
    <row r="25" spans="1:10" x14ac:dyDescent="0.25">
      <c r="A25">
        <v>23</v>
      </c>
      <c r="B25" s="60">
        <v>423360</v>
      </c>
      <c r="C25" s="61">
        <v>42585</v>
      </c>
      <c r="D25" s="60">
        <v>201893210853</v>
      </c>
      <c r="E25" s="62">
        <v>-5.4300000000000001E-2</v>
      </c>
      <c r="F25">
        <v>10.58</v>
      </c>
      <c r="G25">
        <v>1440000</v>
      </c>
    </row>
    <row r="26" spans="1:10" x14ac:dyDescent="0.25">
      <c r="A26">
        <v>24</v>
      </c>
      <c r="B26" s="60">
        <v>421344</v>
      </c>
      <c r="C26" s="61">
        <v>42570</v>
      </c>
      <c r="D26" s="60">
        <v>213492501107</v>
      </c>
      <c r="E26" s="62">
        <v>4.0000000000000002E-4</v>
      </c>
      <c r="F26">
        <v>10</v>
      </c>
      <c r="G26">
        <v>1530000</v>
      </c>
    </row>
    <row r="27" spans="1:10" x14ac:dyDescent="0.25">
      <c r="A27">
        <v>25</v>
      </c>
      <c r="B27" s="60">
        <v>419328</v>
      </c>
      <c r="C27" s="61">
        <v>42556</v>
      </c>
      <c r="D27" s="60">
        <v>213398925331</v>
      </c>
      <c r="E27" s="62">
        <v>1.8800000000000001E-2</v>
      </c>
      <c r="F27">
        <v>9.82</v>
      </c>
      <c r="G27">
        <v>1530000</v>
      </c>
    </row>
    <row r="28" spans="1:10" x14ac:dyDescent="0.25">
      <c r="A28">
        <v>26</v>
      </c>
      <c r="B28" s="60">
        <v>417312</v>
      </c>
      <c r="C28" s="61">
        <v>42542</v>
      </c>
      <c r="D28" s="60">
        <v>209453158595</v>
      </c>
      <c r="E28" s="62">
        <v>6.83E-2</v>
      </c>
      <c r="F28">
        <v>9.3699999999999992</v>
      </c>
      <c r="G28">
        <v>1500000</v>
      </c>
    </row>
    <row r="29" spans="1:10" x14ac:dyDescent="0.25">
      <c r="A29">
        <v>27</v>
      </c>
      <c r="B29" s="60">
        <v>415296</v>
      </c>
      <c r="C29" s="61">
        <v>42529</v>
      </c>
      <c r="D29" s="60">
        <v>196061423939</v>
      </c>
      <c r="E29" s="62">
        <v>-1.6299999999999999E-2</v>
      </c>
      <c r="F29">
        <v>10.17</v>
      </c>
      <c r="G29">
        <v>1400000</v>
      </c>
    </row>
    <row r="30" spans="1:10" x14ac:dyDescent="0.25">
      <c r="A30">
        <v>28</v>
      </c>
      <c r="B30" s="60">
        <v>413280</v>
      </c>
      <c r="C30" s="61">
        <v>42515</v>
      </c>
      <c r="D30" s="60">
        <v>199312067531</v>
      </c>
      <c r="E30" s="62">
        <v>2.5999999999999999E-2</v>
      </c>
      <c r="F30">
        <v>9.75</v>
      </c>
      <c r="G30">
        <v>1430000</v>
      </c>
    </row>
    <row r="31" spans="1:10" x14ac:dyDescent="0.25">
      <c r="A31">
        <v>29</v>
      </c>
      <c r="B31" s="60">
        <v>411264</v>
      </c>
      <c r="C31" s="61">
        <v>42501</v>
      </c>
      <c r="D31" s="60">
        <v>194254820283</v>
      </c>
      <c r="E31" s="62">
        <v>8.7300000000000003E-2</v>
      </c>
      <c r="F31">
        <v>9.1999999999999993</v>
      </c>
      <c r="G31">
        <v>1390000</v>
      </c>
    </row>
    <row r="32" spans="1:10" x14ac:dyDescent="0.25">
      <c r="A32">
        <v>30</v>
      </c>
      <c r="B32" s="60">
        <v>409248</v>
      </c>
      <c r="C32" s="61">
        <v>42488</v>
      </c>
      <c r="D32" s="60">
        <v>178659257772</v>
      </c>
      <c r="E32" s="62">
        <v>-1E-4</v>
      </c>
      <c r="F32">
        <v>10</v>
      </c>
      <c r="G32">
        <v>1280000</v>
      </c>
    </row>
    <row r="33" spans="1:7" x14ac:dyDescent="0.25">
      <c r="A33">
        <v>31</v>
      </c>
      <c r="B33" s="60">
        <v>407232</v>
      </c>
      <c r="C33" s="61">
        <v>42474</v>
      </c>
      <c r="D33" s="60">
        <v>178678307671</v>
      </c>
      <c r="E33" s="62">
        <v>7.0900000000000005E-2</v>
      </c>
      <c r="F33">
        <v>9.33</v>
      </c>
      <c r="G33">
        <v>1280000</v>
      </c>
    </row>
    <row r="34" spans="1:7" x14ac:dyDescent="0.25">
      <c r="A34">
        <v>32</v>
      </c>
      <c r="B34" s="60">
        <v>405216</v>
      </c>
      <c r="C34" s="61">
        <v>42461</v>
      </c>
      <c r="D34" s="60">
        <v>166851513282</v>
      </c>
      <c r="E34" s="62">
        <v>8.2000000000000007E-3</v>
      </c>
      <c r="F34">
        <v>9.92</v>
      </c>
      <c r="G34">
        <v>1190000</v>
      </c>
    </row>
    <row r="35" spans="1:7" x14ac:dyDescent="0.25">
      <c r="A35">
        <v>33</v>
      </c>
      <c r="B35" s="60">
        <v>403200</v>
      </c>
      <c r="C35" s="61">
        <v>42447</v>
      </c>
      <c r="D35" s="60">
        <v>165496835118</v>
      </c>
      <c r="E35" s="62">
        <v>4.4600000000000001E-2</v>
      </c>
      <c r="F35">
        <v>9.57</v>
      </c>
      <c r="G35">
        <v>1180000</v>
      </c>
    </row>
    <row r="36" spans="1:7" x14ac:dyDescent="0.25">
      <c r="A36">
        <v>34</v>
      </c>
      <c r="B36" s="60">
        <v>401184</v>
      </c>
      <c r="C36" s="61">
        <v>42434</v>
      </c>
      <c r="D36" s="60">
        <v>158427203767</v>
      </c>
      <c r="E36" s="62">
        <v>-3.1E-2</v>
      </c>
      <c r="F36">
        <v>10.32</v>
      </c>
      <c r="G36">
        <v>1130000</v>
      </c>
    </row>
    <row r="37" spans="1:7" x14ac:dyDescent="0.25">
      <c r="A37">
        <v>35</v>
      </c>
      <c r="B37" s="60">
        <v>399168</v>
      </c>
      <c r="C37" s="61">
        <v>42419</v>
      </c>
      <c r="D37" s="60">
        <v>163491654908</v>
      </c>
      <c r="E37" s="62">
        <v>0.13439999999999999</v>
      </c>
      <c r="F37">
        <v>8.82</v>
      </c>
      <c r="G37">
        <v>1170000</v>
      </c>
    </row>
    <row r="38" spans="1:7" x14ac:dyDescent="0.25">
      <c r="A38">
        <v>36</v>
      </c>
      <c r="B38" s="60">
        <v>397152</v>
      </c>
      <c r="C38" s="61">
        <v>42407</v>
      </c>
      <c r="D38" s="60">
        <v>144116447847</v>
      </c>
      <c r="E38" s="62">
        <v>0.2006</v>
      </c>
      <c r="F38">
        <v>8.33</v>
      </c>
      <c r="G38">
        <v>1030000</v>
      </c>
    </row>
    <row r="39" spans="1:7" x14ac:dyDescent="0.25">
      <c r="A39">
        <v>37</v>
      </c>
      <c r="B39" s="60">
        <v>395136</v>
      </c>
      <c r="C39" s="61">
        <v>42395</v>
      </c>
      <c r="D39" s="60">
        <v>120033340651</v>
      </c>
      <c r="E39" s="62">
        <v>5.8900000000000001E-2</v>
      </c>
      <c r="F39">
        <v>9.4499999999999993</v>
      </c>
      <c r="G39">
        <v>858280</v>
      </c>
    </row>
    <row r="40" spans="1:7" x14ac:dyDescent="0.25">
      <c r="A40">
        <v>38</v>
      </c>
      <c r="B40" s="60">
        <v>393120</v>
      </c>
      <c r="C40" s="61">
        <v>42382</v>
      </c>
      <c r="D40" s="60">
        <v>113354299801</v>
      </c>
      <c r="E40" s="62">
        <v>9.1200000000000003E-2</v>
      </c>
      <c r="F40">
        <v>9.17</v>
      </c>
      <c r="G40">
        <v>811340</v>
      </c>
    </row>
    <row r="41" spans="1:7" x14ac:dyDescent="0.25">
      <c r="A41">
        <v>39</v>
      </c>
      <c r="B41" s="60">
        <v>391104</v>
      </c>
      <c r="C41" s="61">
        <v>42369</v>
      </c>
      <c r="D41" s="60">
        <v>103880340815</v>
      </c>
      <c r="E41" s="62">
        <v>0.1116</v>
      </c>
      <c r="F41">
        <v>9</v>
      </c>
      <c r="G41">
        <v>742830</v>
      </c>
    </row>
    <row r="42" spans="1:7" x14ac:dyDescent="0.25">
      <c r="A42">
        <v>40</v>
      </c>
      <c r="B42" s="60">
        <v>389088</v>
      </c>
      <c r="C42" s="61">
        <v>42357</v>
      </c>
      <c r="D42" s="60">
        <v>93448670796</v>
      </c>
      <c r="E42" s="62">
        <v>0.18140000000000001</v>
      </c>
      <c r="F42">
        <v>8.4700000000000006</v>
      </c>
      <c r="G42">
        <v>668450</v>
      </c>
    </row>
    <row r="43" spans="1:7" x14ac:dyDescent="0.25">
      <c r="A43">
        <v>41</v>
      </c>
      <c r="B43" s="60">
        <v>387072</v>
      </c>
      <c r="C43" s="61">
        <v>42345</v>
      </c>
      <c r="D43" s="60">
        <v>79102380900</v>
      </c>
      <c r="E43" s="62">
        <v>8.77E-2</v>
      </c>
      <c r="F43">
        <v>9.1999999999999993</v>
      </c>
      <c r="G43">
        <v>566160</v>
      </c>
    </row>
    <row r="44" spans="1:7" x14ac:dyDescent="0.25">
      <c r="A44">
        <v>42</v>
      </c>
      <c r="B44" s="60">
        <v>385056</v>
      </c>
      <c r="C44" s="61">
        <v>42332</v>
      </c>
      <c r="D44" s="60">
        <v>72722780642</v>
      </c>
      <c r="E44" s="62">
        <v>0.10440000000000001</v>
      </c>
      <c r="F44">
        <v>9.07</v>
      </c>
      <c r="G44">
        <v>520330</v>
      </c>
    </row>
    <row r="45" spans="1:7" x14ac:dyDescent="0.25">
      <c r="A45">
        <v>43</v>
      </c>
      <c r="B45" s="60">
        <v>383040</v>
      </c>
      <c r="C45" s="61">
        <v>42319</v>
      </c>
      <c r="D45" s="60">
        <v>65848255179</v>
      </c>
      <c r="E45" s="62">
        <v>5.7700000000000001E-2</v>
      </c>
      <c r="F45">
        <v>9.4499999999999993</v>
      </c>
      <c r="G45">
        <v>471190</v>
      </c>
    </row>
    <row r="46" spans="1:7" x14ac:dyDescent="0.25">
      <c r="A46">
        <v>44</v>
      </c>
      <c r="B46" s="60">
        <v>381024</v>
      </c>
      <c r="C46" s="61">
        <v>42306</v>
      </c>
      <c r="D46" s="60">
        <v>62253982449</v>
      </c>
      <c r="E46" s="62">
        <v>2.2499999999999999E-2</v>
      </c>
      <c r="F46">
        <v>9.7799999999999994</v>
      </c>
      <c r="G46">
        <v>445260</v>
      </c>
    </row>
    <row r="47" spans="1:7" x14ac:dyDescent="0.25">
      <c r="A47">
        <v>45</v>
      </c>
      <c r="B47" s="60">
        <v>379008</v>
      </c>
      <c r="C47" s="61">
        <v>42292</v>
      </c>
      <c r="D47" s="60">
        <v>60883825480</v>
      </c>
      <c r="E47" s="62">
        <v>1.1999999999999999E-3</v>
      </c>
      <c r="F47">
        <v>9.98</v>
      </c>
      <c r="G47">
        <v>435760</v>
      </c>
    </row>
    <row r="48" spans="1:7" x14ac:dyDescent="0.25">
      <c r="A48">
        <v>46</v>
      </c>
      <c r="B48" s="60">
        <v>376992</v>
      </c>
      <c r="C48" s="61">
        <v>42278</v>
      </c>
      <c r="D48" s="60">
        <v>60813224039</v>
      </c>
      <c r="E48" s="62">
        <v>2.4899999999999999E-2</v>
      </c>
      <c r="F48">
        <v>9.77</v>
      </c>
      <c r="G48">
        <v>435030</v>
      </c>
    </row>
    <row r="49" spans="1:7" x14ac:dyDescent="0.25">
      <c r="A49">
        <v>47</v>
      </c>
      <c r="B49" s="60">
        <v>374976</v>
      </c>
      <c r="C49" s="61">
        <v>42265</v>
      </c>
      <c r="D49" s="60">
        <v>59335351233</v>
      </c>
      <c r="E49" s="62">
        <v>4.1700000000000001E-2</v>
      </c>
      <c r="F49">
        <v>9.6</v>
      </c>
      <c r="G49">
        <v>424460</v>
      </c>
    </row>
    <row r="50" spans="1:7" x14ac:dyDescent="0.25">
      <c r="A50">
        <v>48</v>
      </c>
      <c r="B50" s="60">
        <v>372960</v>
      </c>
      <c r="C50" s="61">
        <v>42251</v>
      </c>
      <c r="D50" s="60">
        <v>56957648455</v>
      </c>
      <c r="E50" s="62">
        <v>4.9799999999999997E-2</v>
      </c>
      <c r="F50">
        <v>9.5299999999999994</v>
      </c>
      <c r="G50">
        <v>407480</v>
      </c>
    </row>
    <row r="51" spans="1:7" x14ac:dyDescent="0.25">
      <c r="A51">
        <v>49</v>
      </c>
      <c r="B51" s="60">
        <v>370944</v>
      </c>
      <c r="C51" s="61">
        <v>42238</v>
      </c>
      <c r="D51" s="60">
        <v>54256630327</v>
      </c>
      <c r="E51" s="62">
        <v>2.9499999999999998E-2</v>
      </c>
      <c r="F51">
        <v>9.7200000000000006</v>
      </c>
      <c r="G51">
        <v>388130</v>
      </c>
    </row>
    <row r="52" spans="1:7" x14ac:dyDescent="0.25">
      <c r="A52">
        <v>50</v>
      </c>
      <c r="B52" s="60">
        <v>368928</v>
      </c>
      <c r="C52" s="61">
        <v>42224</v>
      </c>
      <c r="D52" s="60">
        <v>52699842409</v>
      </c>
      <c r="E52" s="62">
        <v>8.0999999999999996E-3</v>
      </c>
      <c r="F52">
        <v>9.93</v>
      </c>
      <c r="G52">
        <v>377010</v>
      </c>
    </row>
    <row r="53" spans="1:7" x14ac:dyDescent="0.25">
      <c r="A53">
        <v>51</v>
      </c>
      <c r="B53" s="60">
        <v>366912</v>
      </c>
      <c r="C53" s="61">
        <v>42210</v>
      </c>
      <c r="D53" s="60">
        <v>52278304845</v>
      </c>
      <c r="E53" s="62">
        <v>2.35E-2</v>
      </c>
      <c r="F53">
        <v>9.77</v>
      </c>
      <c r="G53">
        <v>374160</v>
      </c>
    </row>
    <row r="54" spans="1:7" x14ac:dyDescent="0.25">
      <c r="A54">
        <v>52</v>
      </c>
      <c r="B54" s="60">
        <v>364896</v>
      </c>
      <c r="C54" s="61">
        <v>42197</v>
      </c>
      <c r="D54" s="60">
        <v>51076366303</v>
      </c>
      <c r="E54" s="62">
        <v>3.39E-2</v>
      </c>
      <c r="F54">
        <v>9.68</v>
      </c>
      <c r="G54">
        <v>365280</v>
      </c>
    </row>
    <row r="55" spans="1:7" x14ac:dyDescent="0.25">
      <c r="A55">
        <v>53</v>
      </c>
      <c r="B55" s="60">
        <v>362880</v>
      </c>
      <c r="C55" s="61">
        <v>42183</v>
      </c>
      <c r="D55" s="60">
        <v>49402014931</v>
      </c>
      <c r="E55" s="62">
        <v>-5.7999999999999996E-3</v>
      </c>
      <c r="F55">
        <v>10.07</v>
      </c>
      <c r="G55">
        <v>353410</v>
      </c>
    </row>
    <row r="56" spans="1:7" x14ac:dyDescent="0.25">
      <c r="A56">
        <v>54</v>
      </c>
      <c r="B56" s="60">
        <v>360864</v>
      </c>
      <c r="C56" s="61">
        <v>42169</v>
      </c>
      <c r="D56" s="60">
        <v>49692386354</v>
      </c>
      <c r="E56" s="62">
        <v>4.4200000000000003E-2</v>
      </c>
      <c r="F56">
        <v>9.58</v>
      </c>
      <c r="G56">
        <v>355660</v>
      </c>
    </row>
    <row r="57" spans="1:7" x14ac:dyDescent="0.25">
      <c r="A57">
        <v>55</v>
      </c>
      <c r="B57" s="60">
        <v>358848</v>
      </c>
      <c r="C57" s="61">
        <v>42156</v>
      </c>
      <c r="D57" s="60">
        <v>47589591153</v>
      </c>
      <c r="E57" s="62">
        <v>-2.5000000000000001E-2</v>
      </c>
      <c r="F57">
        <v>10.25</v>
      </c>
      <c r="G57">
        <v>340610</v>
      </c>
    </row>
    <row r="58" spans="1:7" x14ac:dyDescent="0.25">
      <c r="A58">
        <v>56</v>
      </c>
      <c r="B58" s="60">
        <v>356832</v>
      </c>
      <c r="C58" s="61">
        <v>42141</v>
      </c>
      <c r="D58" s="60">
        <v>48807487244</v>
      </c>
      <c r="E58" s="62">
        <v>2.4400000000000002E-2</v>
      </c>
      <c r="F58">
        <v>9.77</v>
      </c>
      <c r="G58">
        <v>349280</v>
      </c>
    </row>
    <row r="59" spans="1:7" x14ac:dyDescent="0.25">
      <c r="A59">
        <v>57</v>
      </c>
      <c r="B59" s="60">
        <v>354816</v>
      </c>
      <c r="C59" s="61">
        <v>42128</v>
      </c>
      <c r="D59" s="60">
        <v>47643398017</v>
      </c>
      <c r="E59" s="62">
        <v>6.9999999999999999E-4</v>
      </c>
      <c r="F59">
        <v>10</v>
      </c>
      <c r="G59">
        <v>340860</v>
      </c>
    </row>
    <row r="60" spans="1:7" x14ac:dyDescent="0.25">
      <c r="A60">
        <v>58</v>
      </c>
      <c r="B60" s="60">
        <v>352800</v>
      </c>
      <c r="C60" s="61">
        <v>42114</v>
      </c>
      <c r="D60" s="60">
        <v>47610564513</v>
      </c>
      <c r="E60" s="62">
        <v>-3.7100000000000001E-2</v>
      </c>
      <c r="F60">
        <v>10.38</v>
      </c>
      <c r="G60">
        <v>340720</v>
      </c>
    </row>
    <row r="61" spans="1:7" x14ac:dyDescent="0.25">
      <c r="A61">
        <v>59</v>
      </c>
      <c r="B61" s="60">
        <v>350784</v>
      </c>
      <c r="C61" s="61">
        <v>42099</v>
      </c>
      <c r="D61" s="60">
        <v>49446390688</v>
      </c>
      <c r="E61" s="62">
        <v>5.8400000000000001E-2</v>
      </c>
      <c r="F61">
        <v>9.4499999999999993</v>
      </c>
      <c r="G61">
        <v>353920</v>
      </c>
    </row>
    <row r="62" spans="1:7" x14ac:dyDescent="0.25">
      <c r="A62">
        <v>60</v>
      </c>
      <c r="B62" s="60">
        <v>348768</v>
      </c>
      <c r="C62" s="61">
        <v>42086</v>
      </c>
      <c r="D62" s="60">
        <v>46717549644</v>
      </c>
      <c r="E62" s="62">
        <v>-1.4999999999999999E-2</v>
      </c>
      <c r="F62">
        <v>10.15</v>
      </c>
      <c r="G62">
        <v>334350</v>
      </c>
    </row>
    <row r="63" spans="1:7" x14ac:dyDescent="0.25">
      <c r="A63">
        <v>61</v>
      </c>
      <c r="B63" s="60">
        <v>346752</v>
      </c>
      <c r="C63" s="61">
        <v>42072</v>
      </c>
      <c r="D63" s="60">
        <v>47427554950</v>
      </c>
      <c r="E63" s="62">
        <v>1.5900000000000001E-2</v>
      </c>
      <c r="F63">
        <v>9.85</v>
      </c>
      <c r="G63">
        <v>339330</v>
      </c>
    </row>
    <row r="64" spans="1:7" x14ac:dyDescent="0.25">
      <c r="A64">
        <v>62</v>
      </c>
      <c r="B64" s="60">
        <v>344736</v>
      </c>
      <c r="C64" s="61">
        <v>42058</v>
      </c>
      <c r="D64" s="60">
        <v>46684376316</v>
      </c>
      <c r="E64" s="62">
        <v>5.0099999999999999E-2</v>
      </c>
      <c r="F64">
        <v>9.5299999999999994</v>
      </c>
      <c r="G64">
        <v>333980</v>
      </c>
    </row>
    <row r="65" spans="1:7" x14ac:dyDescent="0.25">
      <c r="A65">
        <v>63</v>
      </c>
      <c r="B65" s="60">
        <v>342720</v>
      </c>
      <c r="C65" s="61">
        <v>42044</v>
      </c>
      <c r="D65" s="60">
        <v>44455415962</v>
      </c>
      <c r="E65" s="62">
        <v>7.7100000000000002E-2</v>
      </c>
      <c r="F65">
        <v>9.2799999999999994</v>
      </c>
      <c r="G65">
        <v>318090</v>
      </c>
    </row>
    <row r="66" spans="1:7" x14ac:dyDescent="0.25">
      <c r="A66">
        <v>64</v>
      </c>
      <c r="B66" s="60">
        <v>340704</v>
      </c>
      <c r="C66" s="61">
        <v>42031</v>
      </c>
      <c r="D66" s="60">
        <v>41272873894</v>
      </c>
      <c r="E66" s="62">
        <v>-6.1400000000000003E-2</v>
      </c>
      <c r="F66">
        <v>10.65</v>
      </c>
      <c r="G66">
        <v>295400</v>
      </c>
    </row>
    <row r="67" spans="1:7" x14ac:dyDescent="0.25">
      <c r="A67">
        <v>65</v>
      </c>
      <c r="B67" s="60">
        <v>338688</v>
      </c>
      <c r="C67" s="61">
        <v>42017</v>
      </c>
      <c r="D67" s="60">
        <v>43971662056</v>
      </c>
      <c r="E67" s="62">
        <v>8.2000000000000003E-2</v>
      </c>
      <c r="F67">
        <v>9.25</v>
      </c>
      <c r="G67">
        <v>314620</v>
      </c>
    </row>
    <row r="68" spans="1:7" x14ac:dyDescent="0.25">
      <c r="A68">
        <v>66</v>
      </c>
      <c r="B68" s="60">
        <v>336672</v>
      </c>
      <c r="C68" s="61">
        <v>42004</v>
      </c>
      <c r="D68" s="60">
        <v>40640955016</v>
      </c>
      <c r="E68" s="62">
        <v>0.03</v>
      </c>
      <c r="F68">
        <v>9.7200000000000006</v>
      </c>
      <c r="G68">
        <v>290870</v>
      </c>
    </row>
    <row r="69" spans="1:7" x14ac:dyDescent="0.25">
      <c r="A69">
        <v>67</v>
      </c>
      <c r="B69" s="60">
        <v>334656</v>
      </c>
      <c r="C69" s="61">
        <v>41990</v>
      </c>
      <c r="D69" s="60">
        <v>39457671307</v>
      </c>
      <c r="E69" s="62">
        <v>-1.37E-2</v>
      </c>
      <c r="F69">
        <v>10.15</v>
      </c>
      <c r="G69">
        <v>282250</v>
      </c>
    </row>
    <row r="70" spans="1:7" x14ac:dyDescent="0.25">
      <c r="A70">
        <v>68</v>
      </c>
      <c r="B70" s="60">
        <v>332640</v>
      </c>
      <c r="C70" s="61">
        <v>41976</v>
      </c>
      <c r="D70" s="60">
        <v>40007470271</v>
      </c>
      <c r="E70" s="62">
        <v>-7.3000000000000001E-3</v>
      </c>
      <c r="F70">
        <v>10.07</v>
      </c>
      <c r="G70">
        <v>286350</v>
      </c>
    </row>
    <row r="71" spans="1:7" x14ac:dyDescent="0.25">
      <c r="A71">
        <v>69</v>
      </c>
      <c r="B71" s="60">
        <v>330624</v>
      </c>
      <c r="C71" s="61">
        <v>41962</v>
      </c>
      <c r="D71" s="60">
        <v>40300030327</v>
      </c>
      <c r="E71" s="62">
        <v>1.7600000000000001E-2</v>
      </c>
      <c r="F71">
        <v>9.85</v>
      </c>
      <c r="G71">
        <v>288040</v>
      </c>
    </row>
    <row r="72" spans="1:7" x14ac:dyDescent="0.25">
      <c r="A72">
        <v>70</v>
      </c>
      <c r="B72" s="60">
        <v>328608</v>
      </c>
      <c r="C72" s="61">
        <v>41948</v>
      </c>
      <c r="D72" s="60">
        <v>39603666252</v>
      </c>
      <c r="E72" s="62">
        <v>0.10050000000000001</v>
      </c>
      <c r="F72">
        <v>9.08</v>
      </c>
      <c r="G72">
        <v>283460</v>
      </c>
    </row>
    <row r="73" spans="1:7" x14ac:dyDescent="0.25">
      <c r="A73">
        <v>71</v>
      </c>
      <c r="B73" s="60">
        <v>326592</v>
      </c>
      <c r="C73" s="61">
        <v>41935</v>
      </c>
      <c r="D73" s="60">
        <v>35985640265</v>
      </c>
      <c r="E73" s="62">
        <v>2.81E-2</v>
      </c>
      <c r="F73">
        <v>9.73</v>
      </c>
      <c r="G73">
        <v>257380</v>
      </c>
    </row>
    <row r="74" spans="1:7" x14ac:dyDescent="0.25">
      <c r="A74">
        <v>72</v>
      </c>
      <c r="B74" s="60">
        <v>324576</v>
      </c>
      <c r="C74" s="61">
        <v>41922</v>
      </c>
      <c r="D74" s="60">
        <v>35002482026</v>
      </c>
      <c r="E74" s="62">
        <v>9.7999999999999997E-3</v>
      </c>
      <c r="F74">
        <v>9.9</v>
      </c>
      <c r="G74">
        <v>250560</v>
      </c>
    </row>
    <row r="75" spans="1:7" x14ac:dyDescent="0.25">
      <c r="A75">
        <v>73</v>
      </c>
      <c r="B75" s="60">
        <v>322560</v>
      </c>
      <c r="C75" s="61">
        <v>41908</v>
      </c>
      <c r="D75" s="60">
        <v>34661425923</v>
      </c>
      <c r="E75" s="62">
        <v>0.16200000000000001</v>
      </c>
      <c r="F75">
        <v>8.6</v>
      </c>
      <c r="G75">
        <v>248070</v>
      </c>
    </row>
    <row r="76" spans="1:7" x14ac:dyDescent="0.25">
      <c r="A76">
        <v>74</v>
      </c>
      <c r="B76" s="60">
        <v>320544</v>
      </c>
      <c r="C76" s="61">
        <v>41896</v>
      </c>
      <c r="D76" s="60">
        <v>29829733124</v>
      </c>
      <c r="E76" s="62">
        <v>8.7499999999999994E-2</v>
      </c>
      <c r="F76">
        <v>9.18</v>
      </c>
      <c r="G76">
        <v>213620</v>
      </c>
    </row>
    <row r="77" spans="1:7" x14ac:dyDescent="0.25">
      <c r="A77">
        <v>75</v>
      </c>
      <c r="B77" s="60">
        <v>318528</v>
      </c>
      <c r="C77" s="61">
        <v>41883</v>
      </c>
      <c r="D77" s="60">
        <v>27428630902</v>
      </c>
      <c r="E77" s="62">
        <v>0.15029999999999999</v>
      </c>
      <c r="F77">
        <v>8.6999999999999993</v>
      </c>
      <c r="G77">
        <v>196330</v>
      </c>
    </row>
    <row r="78" spans="1:7" x14ac:dyDescent="0.25">
      <c r="A78">
        <v>76</v>
      </c>
      <c r="B78" s="60">
        <v>316512</v>
      </c>
      <c r="C78" s="61">
        <v>41871</v>
      </c>
      <c r="D78" s="60">
        <v>23844670038</v>
      </c>
      <c r="E78" s="62">
        <v>0.20860000000000001</v>
      </c>
      <c r="F78">
        <v>8.2799999999999994</v>
      </c>
      <c r="G78">
        <v>170590</v>
      </c>
    </row>
    <row r="79" spans="1:7" x14ac:dyDescent="0.25">
      <c r="A79">
        <v>77</v>
      </c>
      <c r="B79" s="60">
        <v>314496</v>
      </c>
      <c r="C79" s="61">
        <v>41859</v>
      </c>
      <c r="D79" s="60">
        <v>19729645940</v>
      </c>
      <c r="E79" s="62">
        <v>5.2999999999999999E-2</v>
      </c>
      <c r="F79">
        <v>9.5</v>
      </c>
      <c r="G79">
        <v>141190</v>
      </c>
    </row>
    <row r="80" spans="1:7" x14ac:dyDescent="0.25">
      <c r="A80">
        <v>78</v>
      </c>
      <c r="B80" s="60">
        <v>312480</v>
      </c>
      <c r="C80" s="61">
        <v>41846</v>
      </c>
      <c r="D80" s="60">
        <v>18736441558</v>
      </c>
      <c r="E80" s="62">
        <v>8.0799999999999997E-2</v>
      </c>
      <c r="F80">
        <v>9.25</v>
      </c>
      <c r="G80">
        <v>134120</v>
      </c>
    </row>
    <row r="81" spans="1:7" x14ac:dyDescent="0.25">
      <c r="A81">
        <v>79</v>
      </c>
      <c r="B81" s="60">
        <v>310464</v>
      </c>
      <c r="C81" s="61">
        <v>41833</v>
      </c>
      <c r="D81" s="60">
        <v>17336316978</v>
      </c>
      <c r="E81" s="62">
        <v>3.0800000000000001E-2</v>
      </c>
      <c r="F81">
        <v>9.73</v>
      </c>
      <c r="G81">
        <v>123800</v>
      </c>
    </row>
    <row r="82" spans="1:7" x14ac:dyDescent="0.25">
      <c r="A82">
        <v>80</v>
      </c>
      <c r="B82" s="60">
        <v>308448</v>
      </c>
      <c r="C82" s="61">
        <v>41819</v>
      </c>
      <c r="D82" s="60">
        <v>16818461371</v>
      </c>
      <c r="E82" s="62">
        <v>0.24929999999999999</v>
      </c>
      <c r="F82">
        <v>8</v>
      </c>
      <c r="G82">
        <v>120390</v>
      </c>
    </row>
    <row r="83" spans="1:7" x14ac:dyDescent="0.25">
      <c r="A83">
        <v>81</v>
      </c>
      <c r="B83" s="60">
        <v>306432</v>
      </c>
      <c r="C83" s="61">
        <v>41808</v>
      </c>
      <c r="D83" s="60">
        <v>13462580114</v>
      </c>
      <c r="E83" s="62">
        <v>0.14510000000000001</v>
      </c>
      <c r="F83">
        <v>8.73</v>
      </c>
      <c r="G83">
        <v>96370</v>
      </c>
    </row>
    <row r="84" spans="1:7" x14ac:dyDescent="0.25">
      <c r="A84">
        <v>82</v>
      </c>
      <c r="B84" s="60">
        <v>304416</v>
      </c>
      <c r="C84" s="61">
        <v>41796</v>
      </c>
      <c r="D84" s="60">
        <v>11756551916</v>
      </c>
      <c r="E84" s="62">
        <v>0.1244</v>
      </c>
      <c r="F84">
        <v>8.9</v>
      </c>
      <c r="G84">
        <v>84120</v>
      </c>
    </row>
    <row r="85" spans="1:7" x14ac:dyDescent="0.25">
      <c r="A85">
        <v>83</v>
      </c>
      <c r="B85" s="60">
        <v>302400</v>
      </c>
      <c r="C85" s="61">
        <v>41783</v>
      </c>
      <c r="D85" s="60">
        <v>10455720138</v>
      </c>
      <c r="E85" s="62">
        <v>0.18099999999999999</v>
      </c>
      <c r="F85">
        <v>8.4700000000000006</v>
      </c>
      <c r="G85">
        <v>74830</v>
      </c>
    </row>
    <row r="86" spans="1:7" x14ac:dyDescent="0.25">
      <c r="A86">
        <v>84</v>
      </c>
      <c r="B86" s="60">
        <v>300384</v>
      </c>
      <c r="C86" s="61">
        <v>41771</v>
      </c>
      <c r="D86" s="60">
        <v>8853416309</v>
      </c>
      <c r="E86" s="62">
        <v>0.1066</v>
      </c>
      <c r="F86">
        <v>9.0299999999999994</v>
      </c>
      <c r="G86">
        <v>63370</v>
      </c>
    </row>
    <row r="87" spans="1:7" x14ac:dyDescent="0.25">
      <c r="A87">
        <v>85</v>
      </c>
      <c r="B87" s="60">
        <v>298368</v>
      </c>
      <c r="C87" s="61">
        <v>41759</v>
      </c>
      <c r="D87" s="60">
        <v>8000872135</v>
      </c>
      <c r="E87" s="62">
        <v>0.1464</v>
      </c>
      <c r="F87">
        <v>8.73</v>
      </c>
      <c r="G87">
        <v>57250</v>
      </c>
    </row>
    <row r="88" spans="1:7" x14ac:dyDescent="0.25">
      <c r="A88">
        <v>86</v>
      </c>
      <c r="B88" s="60">
        <v>296352</v>
      </c>
      <c r="C88" s="61">
        <v>41747</v>
      </c>
      <c r="D88" s="60">
        <v>6978842649</v>
      </c>
      <c r="E88" s="62">
        <v>0.1404</v>
      </c>
      <c r="F88">
        <v>8.77</v>
      </c>
      <c r="G88">
        <v>49930</v>
      </c>
    </row>
    <row r="89" spans="1:7" x14ac:dyDescent="0.25">
      <c r="A89">
        <v>87</v>
      </c>
      <c r="B89" s="60">
        <v>294336</v>
      </c>
      <c r="C89" s="61">
        <v>41734</v>
      </c>
      <c r="D89" s="60">
        <v>6119726089</v>
      </c>
      <c r="E89" s="62">
        <v>0.2223</v>
      </c>
      <c r="F89">
        <v>8.18</v>
      </c>
      <c r="G89">
        <v>43760</v>
      </c>
    </row>
    <row r="90" spans="1:7" x14ac:dyDescent="0.25">
      <c r="A90">
        <v>88</v>
      </c>
      <c r="B90" s="60">
        <v>292320</v>
      </c>
      <c r="C90" s="61">
        <v>41723</v>
      </c>
      <c r="D90" s="60">
        <v>5006860589</v>
      </c>
      <c r="E90" s="62">
        <v>0.17799999999999999</v>
      </c>
      <c r="F90">
        <v>8.48</v>
      </c>
      <c r="G90">
        <v>35830</v>
      </c>
    </row>
    <row r="91" spans="1:7" x14ac:dyDescent="0.25">
      <c r="A91">
        <v>89</v>
      </c>
      <c r="B91" s="60">
        <v>290304</v>
      </c>
      <c r="C91" s="61">
        <v>41711</v>
      </c>
      <c r="D91" s="60">
        <v>4250217919</v>
      </c>
      <c r="E91" s="62">
        <v>0.1139</v>
      </c>
      <c r="F91">
        <v>8.98</v>
      </c>
      <c r="G91">
        <v>30420</v>
      </c>
    </row>
    <row r="92" spans="1:7" x14ac:dyDescent="0.25">
      <c r="A92">
        <v>90</v>
      </c>
      <c r="B92" s="60">
        <v>288288</v>
      </c>
      <c r="C92" s="61">
        <v>41698</v>
      </c>
      <c r="D92" s="60">
        <v>3815723798</v>
      </c>
      <c r="E92" s="62">
        <v>0.21920000000000001</v>
      </c>
      <c r="F92">
        <v>8.1999999999999993</v>
      </c>
      <c r="G92">
        <v>27300</v>
      </c>
    </row>
    <row r="93" spans="1:7" x14ac:dyDescent="0.25">
      <c r="A93">
        <v>91</v>
      </c>
      <c r="B93" s="60">
        <v>286272</v>
      </c>
      <c r="C93" s="61">
        <v>41687</v>
      </c>
      <c r="D93" s="60">
        <v>3129573174</v>
      </c>
      <c r="E93" s="62">
        <v>0.19389999999999999</v>
      </c>
      <c r="F93">
        <v>8.3800000000000008</v>
      </c>
      <c r="G93">
        <v>22400</v>
      </c>
    </row>
    <row r="94" spans="1:7" x14ac:dyDescent="0.25">
      <c r="A94">
        <v>92</v>
      </c>
      <c r="B94" s="60">
        <v>284256</v>
      </c>
      <c r="C94" s="61">
        <v>41675</v>
      </c>
      <c r="D94" s="60">
        <v>2621404453</v>
      </c>
      <c r="E94" s="62">
        <v>0.19489999999999999</v>
      </c>
      <c r="F94">
        <v>8.3800000000000008</v>
      </c>
      <c r="G94">
        <v>18730</v>
      </c>
    </row>
    <row r="95" spans="1:7" x14ac:dyDescent="0.25">
      <c r="A95">
        <v>93</v>
      </c>
      <c r="B95" s="60">
        <v>282240</v>
      </c>
      <c r="C95" s="61">
        <v>41663</v>
      </c>
      <c r="D95" s="60">
        <v>2193847870</v>
      </c>
      <c r="E95" s="62">
        <v>0.22589999999999999</v>
      </c>
      <c r="F95">
        <v>8.17</v>
      </c>
      <c r="G95">
        <v>15700</v>
      </c>
    </row>
    <row r="96" spans="1:7" x14ac:dyDescent="0.25">
      <c r="A96">
        <v>94</v>
      </c>
      <c r="B96" s="60">
        <v>280224</v>
      </c>
      <c r="C96" s="61">
        <v>41652</v>
      </c>
      <c r="D96" s="60">
        <v>1789546951</v>
      </c>
      <c r="E96" s="62">
        <v>0.2616</v>
      </c>
      <c r="F96">
        <v>7.93</v>
      </c>
      <c r="G96">
        <v>12810</v>
      </c>
    </row>
    <row r="97" spans="1:7" x14ac:dyDescent="0.25">
      <c r="A97">
        <v>95</v>
      </c>
      <c r="B97" s="60">
        <v>278208</v>
      </c>
      <c r="C97" s="61">
        <v>41641</v>
      </c>
      <c r="D97" s="60">
        <v>1418481395</v>
      </c>
      <c r="E97" s="62">
        <v>0.20119999999999999</v>
      </c>
      <c r="F97">
        <v>8.33</v>
      </c>
      <c r="G97">
        <v>10150</v>
      </c>
    </row>
    <row r="98" spans="1:7" x14ac:dyDescent="0.25">
      <c r="A98">
        <v>96</v>
      </c>
      <c r="B98" s="60">
        <v>276192</v>
      </c>
      <c r="C98" s="61">
        <v>41629</v>
      </c>
      <c r="D98" s="60">
        <v>1180923195</v>
      </c>
      <c r="E98" s="62">
        <v>0.30009999999999998</v>
      </c>
      <c r="F98">
        <v>7.72</v>
      </c>
      <c r="G98">
        <v>8440</v>
      </c>
    </row>
    <row r="99" spans="1:7" x14ac:dyDescent="0.25">
      <c r="A99">
        <v>97</v>
      </c>
      <c r="B99" s="60">
        <v>274176</v>
      </c>
      <c r="C99" s="61">
        <v>41618</v>
      </c>
      <c r="D99" s="60">
        <v>908350862</v>
      </c>
      <c r="E99" s="62">
        <v>0.28410000000000002</v>
      </c>
      <c r="F99">
        <v>7.78</v>
      </c>
      <c r="G99">
        <v>6500</v>
      </c>
    </row>
    <row r="100" spans="1:7" x14ac:dyDescent="0.25">
      <c r="A100">
        <v>98</v>
      </c>
      <c r="B100" s="60">
        <v>272160</v>
      </c>
      <c r="C100" s="61">
        <v>41608</v>
      </c>
      <c r="D100" s="60">
        <v>707408283</v>
      </c>
      <c r="E100" s="62">
        <v>0.16070000000000001</v>
      </c>
      <c r="F100">
        <v>8.6199999999999992</v>
      </c>
      <c r="G100">
        <v>5060</v>
      </c>
    </row>
    <row r="101" spans="1:7" x14ac:dyDescent="0.25">
      <c r="A101">
        <v>99</v>
      </c>
      <c r="B101" s="60">
        <v>270144</v>
      </c>
      <c r="C101" s="61">
        <v>41595</v>
      </c>
      <c r="D101" s="60">
        <v>609482679</v>
      </c>
      <c r="E101" s="62">
        <v>0.19289999999999999</v>
      </c>
      <c r="F101">
        <v>8.42</v>
      </c>
      <c r="G101">
        <v>4340</v>
      </c>
    </row>
    <row r="102" spans="1:7" x14ac:dyDescent="0.25">
      <c r="A102">
        <v>100</v>
      </c>
      <c r="B102" s="60">
        <v>268128</v>
      </c>
      <c r="C102" s="61">
        <v>41584</v>
      </c>
      <c r="D102" s="60">
        <v>510929738</v>
      </c>
      <c r="E102" s="62">
        <v>0.307</v>
      </c>
      <c r="F102">
        <v>7.67</v>
      </c>
      <c r="G102">
        <v>3650</v>
      </c>
    </row>
    <row r="103" spans="1:7" x14ac:dyDescent="0.25">
      <c r="A103">
        <v>101</v>
      </c>
      <c r="B103" s="60">
        <v>266112</v>
      </c>
      <c r="C103" s="61">
        <v>41573</v>
      </c>
      <c r="D103" s="60">
        <v>390928787</v>
      </c>
      <c r="E103" s="62">
        <v>0.4602</v>
      </c>
      <c r="F103">
        <v>6.85</v>
      </c>
      <c r="G103">
        <v>2800</v>
      </c>
    </row>
    <row r="104" spans="1:7" x14ac:dyDescent="0.25">
      <c r="A104">
        <v>102</v>
      </c>
      <c r="B104" s="60">
        <v>264096</v>
      </c>
      <c r="C104" s="61">
        <v>41563</v>
      </c>
      <c r="D104" s="60">
        <v>267731249</v>
      </c>
      <c r="E104" s="62">
        <v>0.41449999999999998</v>
      </c>
      <c r="F104">
        <v>7.07</v>
      </c>
      <c r="G104">
        <v>1920</v>
      </c>
    </row>
    <row r="105" spans="1:7" x14ac:dyDescent="0.25">
      <c r="A105">
        <v>103</v>
      </c>
      <c r="B105" s="60">
        <v>262080</v>
      </c>
      <c r="C105" s="61">
        <v>41553</v>
      </c>
      <c r="D105" s="60">
        <v>189281249</v>
      </c>
      <c r="E105" s="62">
        <v>0.27189999999999998</v>
      </c>
      <c r="F105">
        <v>7.87</v>
      </c>
      <c r="G105">
        <v>1350</v>
      </c>
    </row>
    <row r="106" spans="1:7" x14ac:dyDescent="0.25">
      <c r="A106">
        <v>104</v>
      </c>
      <c r="B106" s="60">
        <v>260064</v>
      </c>
      <c r="C106" s="61">
        <v>41542</v>
      </c>
      <c r="D106" s="60">
        <v>148819199</v>
      </c>
      <c r="E106" s="62">
        <v>0.32129999999999997</v>
      </c>
      <c r="F106">
        <v>7.57</v>
      </c>
      <c r="G106">
        <v>1060</v>
      </c>
    </row>
    <row r="107" spans="1:7" x14ac:dyDescent="0.25">
      <c r="A107">
        <v>105</v>
      </c>
      <c r="B107" s="60">
        <v>258048</v>
      </c>
      <c r="C107" s="61">
        <v>41532</v>
      </c>
      <c r="D107" s="60">
        <v>112628548</v>
      </c>
      <c r="E107" s="62">
        <v>0.29559999999999997</v>
      </c>
      <c r="F107">
        <v>7.72</v>
      </c>
      <c r="G107">
        <v>806.1</v>
      </c>
    </row>
    <row r="108" spans="1:7" x14ac:dyDescent="0.25">
      <c r="A108">
        <v>106</v>
      </c>
      <c r="B108" s="60">
        <v>256032</v>
      </c>
      <c r="C108" s="61">
        <v>41521</v>
      </c>
      <c r="D108" s="60">
        <v>86933017</v>
      </c>
      <c r="E108" s="62">
        <v>0.32219999999999999</v>
      </c>
      <c r="F108">
        <v>7.57</v>
      </c>
      <c r="G108">
        <v>622.1</v>
      </c>
    </row>
    <row r="109" spans="1:7" x14ac:dyDescent="0.25">
      <c r="A109">
        <v>107</v>
      </c>
      <c r="B109" s="60">
        <v>254016</v>
      </c>
      <c r="C109" s="61">
        <v>41510</v>
      </c>
      <c r="D109" s="60">
        <v>65750060</v>
      </c>
      <c r="E109" s="62">
        <v>0.29399999999999998</v>
      </c>
      <c r="F109">
        <v>7.73</v>
      </c>
      <c r="G109">
        <v>470.12</v>
      </c>
    </row>
    <row r="110" spans="1:7" x14ac:dyDescent="0.25">
      <c r="A110">
        <v>108</v>
      </c>
      <c r="B110" s="60">
        <v>252000</v>
      </c>
      <c r="C110" s="61">
        <v>41500</v>
      </c>
      <c r="D110" s="60">
        <v>50810339</v>
      </c>
      <c r="E110" s="62">
        <v>0.35880000000000001</v>
      </c>
      <c r="F110">
        <v>7.37</v>
      </c>
      <c r="G110">
        <v>363.63</v>
      </c>
    </row>
    <row r="111" spans="1:7" x14ac:dyDescent="0.25">
      <c r="A111">
        <v>109</v>
      </c>
      <c r="B111" s="60">
        <v>249984</v>
      </c>
      <c r="C111" s="61">
        <v>41489</v>
      </c>
      <c r="D111" s="60">
        <v>37392766</v>
      </c>
      <c r="E111" s="62">
        <v>0.1963</v>
      </c>
      <c r="F111">
        <v>8.3699999999999992</v>
      </c>
      <c r="G111">
        <v>267.62</v>
      </c>
    </row>
    <row r="112" spans="1:7" x14ac:dyDescent="0.25">
      <c r="A112">
        <v>110</v>
      </c>
      <c r="B112" s="60">
        <v>247968</v>
      </c>
      <c r="C112" s="61">
        <v>41478</v>
      </c>
      <c r="D112" s="60">
        <v>31256960</v>
      </c>
      <c r="E112" s="62">
        <v>0.19470000000000001</v>
      </c>
      <c r="F112">
        <v>8.3800000000000008</v>
      </c>
      <c r="G112">
        <v>223.48</v>
      </c>
    </row>
    <row r="113" spans="1:7" x14ac:dyDescent="0.25">
      <c r="A113">
        <v>111</v>
      </c>
      <c r="B113" s="60">
        <v>245952</v>
      </c>
      <c r="C113" s="61">
        <v>41466</v>
      </c>
      <c r="D113" s="60">
        <v>26162875</v>
      </c>
      <c r="E113" s="62">
        <v>0.2263</v>
      </c>
      <c r="F113">
        <v>8.15</v>
      </c>
      <c r="G113">
        <v>187.28</v>
      </c>
    </row>
    <row r="114" spans="1:7" x14ac:dyDescent="0.25">
      <c r="A114">
        <v>112</v>
      </c>
      <c r="B114" s="60">
        <v>243936</v>
      </c>
      <c r="C114" s="61">
        <v>41454</v>
      </c>
      <c r="D114" s="60">
        <v>21335329</v>
      </c>
      <c r="E114" s="62">
        <v>0.1032</v>
      </c>
      <c r="F114">
        <v>9.07</v>
      </c>
      <c r="G114">
        <v>152.63999999999999</v>
      </c>
    </row>
    <row r="115" spans="1:7" x14ac:dyDescent="0.25">
      <c r="A115">
        <v>113</v>
      </c>
      <c r="B115" s="60">
        <v>241920</v>
      </c>
      <c r="C115" s="61">
        <v>41442</v>
      </c>
      <c r="D115" s="60">
        <v>19339258</v>
      </c>
      <c r="E115" s="62">
        <v>0.2392</v>
      </c>
      <c r="F115">
        <v>8.07</v>
      </c>
      <c r="G115">
        <v>138.4</v>
      </c>
    </row>
    <row r="116" spans="1:7" x14ac:dyDescent="0.25">
      <c r="A116">
        <v>114</v>
      </c>
      <c r="B116" s="60">
        <v>239904</v>
      </c>
      <c r="C116" s="61">
        <v>41430</v>
      </c>
      <c r="D116" s="60">
        <v>15605632</v>
      </c>
      <c r="E116" s="62">
        <v>0.28410000000000002</v>
      </c>
      <c r="F116">
        <v>7.8</v>
      </c>
      <c r="G116">
        <v>111.64</v>
      </c>
    </row>
    <row r="117" spans="1:7" x14ac:dyDescent="0.25">
      <c r="A117">
        <v>115</v>
      </c>
      <c r="B117" s="60">
        <v>237888</v>
      </c>
      <c r="C117" s="61">
        <v>41420</v>
      </c>
      <c r="D117" s="60">
        <v>12153411</v>
      </c>
      <c r="E117" s="62">
        <v>8.6400000000000005E-2</v>
      </c>
      <c r="F117">
        <v>9.1999999999999993</v>
      </c>
      <c r="G117">
        <v>86.98</v>
      </c>
    </row>
    <row r="118" spans="1:7" x14ac:dyDescent="0.25">
      <c r="A118">
        <v>116</v>
      </c>
      <c r="B118" s="60">
        <v>235872</v>
      </c>
      <c r="C118" s="61">
        <v>41407</v>
      </c>
      <c r="D118" s="60">
        <v>11187257</v>
      </c>
      <c r="E118" s="62">
        <v>0.1103</v>
      </c>
      <c r="F118">
        <v>9.02</v>
      </c>
      <c r="G118">
        <v>80.069999999999993</v>
      </c>
    </row>
    <row r="119" spans="1:7" x14ac:dyDescent="0.25">
      <c r="A119">
        <v>117</v>
      </c>
      <c r="B119" s="60">
        <v>233856</v>
      </c>
      <c r="C119" s="61">
        <v>41394</v>
      </c>
      <c r="D119" s="60">
        <v>10076292</v>
      </c>
      <c r="E119" s="62">
        <v>0.12280000000000001</v>
      </c>
      <c r="F119">
        <v>8.92</v>
      </c>
      <c r="G119">
        <v>72.06</v>
      </c>
    </row>
    <row r="120" spans="1:7" x14ac:dyDescent="0.25">
      <c r="A120">
        <v>118</v>
      </c>
      <c r="B120" s="60">
        <v>231840</v>
      </c>
      <c r="C120" s="61">
        <v>41382</v>
      </c>
      <c r="D120" s="60">
        <v>8974296</v>
      </c>
      <c r="E120" s="62">
        <v>0.1696</v>
      </c>
      <c r="F120">
        <v>8.5500000000000007</v>
      </c>
      <c r="G120">
        <v>64.22</v>
      </c>
    </row>
    <row r="121" spans="1:7" x14ac:dyDescent="0.25">
      <c r="A121">
        <v>119</v>
      </c>
      <c r="B121" s="60">
        <v>229824</v>
      </c>
      <c r="C121" s="61">
        <v>41370</v>
      </c>
      <c r="D121" s="60">
        <v>7672999</v>
      </c>
      <c r="E121" s="62">
        <v>0.1459</v>
      </c>
      <c r="F121">
        <v>8.73</v>
      </c>
      <c r="G121">
        <v>54.84</v>
      </c>
    </row>
    <row r="122" spans="1:7" x14ac:dyDescent="0.25">
      <c r="A122">
        <v>120</v>
      </c>
      <c r="B122" s="60">
        <v>227808</v>
      </c>
      <c r="C122" s="61">
        <v>41357</v>
      </c>
      <c r="D122" s="60">
        <v>6695826</v>
      </c>
      <c r="E122" s="62">
        <v>0.38129999999999997</v>
      </c>
      <c r="F122">
        <v>7.25</v>
      </c>
      <c r="G122">
        <v>47.89</v>
      </c>
    </row>
    <row r="123" spans="1:7" x14ac:dyDescent="0.25">
      <c r="A123">
        <v>121</v>
      </c>
      <c r="B123" s="60">
        <v>225792</v>
      </c>
      <c r="C123" s="61">
        <v>41347</v>
      </c>
      <c r="D123" s="60">
        <v>4847647</v>
      </c>
      <c r="E123" s="62">
        <v>0.10979999999999999</v>
      </c>
      <c r="F123">
        <v>9.02</v>
      </c>
      <c r="G123">
        <v>34.69</v>
      </c>
    </row>
    <row r="124" spans="1:7" x14ac:dyDescent="0.25">
      <c r="A124">
        <v>122</v>
      </c>
      <c r="B124" s="60">
        <v>223776</v>
      </c>
      <c r="C124" s="61">
        <v>41335</v>
      </c>
      <c r="D124" s="60">
        <v>4367876</v>
      </c>
      <c r="E124" s="62">
        <v>0.1963</v>
      </c>
      <c r="F124">
        <v>8.3699999999999992</v>
      </c>
      <c r="G124">
        <v>31.26</v>
      </c>
    </row>
    <row r="125" spans="1:7" x14ac:dyDescent="0.25">
      <c r="A125">
        <v>123</v>
      </c>
      <c r="B125" s="60">
        <v>221760</v>
      </c>
      <c r="C125" s="61">
        <v>41323</v>
      </c>
      <c r="D125" s="60">
        <v>3651011</v>
      </c>
      <c r="E125" s="62">
        <v>0.1147</v>
      </c>
      <c r="F125">
        <v>8.9700000000000006</v>
      </c>
      <c r="G125">
        <v>26.13</v>
      </c>
    </row>
    <row r="126" spans="1:7" x14ac:dyDescent="0.25">
      <c r="A126">
        <v>124</v>
      </c>
      <c r="B126" s="60">
        <v>219744</v>
      </c>
      <c r="C126" s="61">
        <v>41310</v>
      </c>
      <c r="D126" s="60">
        <v>3275464</v>
      </c>
      <c r="E126" s="62">
        <v>0.1033</v>
      </c>
      <c r="F126">
        <v>9.07</v>
      </c>
      <c r="G126">
        <v>23.44</v>
      </c>
    </row>
    <row r="127" spans="1:7" x14ac:dyDescent="0.25">
      <c r="A127">
        <v>125</v>
      </c>
      <c r="B127" s="60">
        <v>217728</v>
      </c>
      <c r="C127" s="61">
        <v>41298</v>
      </c>
      <c r="D127" s="60">
        <v>2968775</v>
      </c>
      <c r="E127" s="62">
        <v>-8.6400000000000005E-2</v>
      </c>
      <c r="F127">
        <v>10.95</v>
      </c>
      <c r="G127">
        <v>21.24</v>
      </c>
    </row>
    <row r="128" spans="1:7" x14ac:dyDescent="0.25">
      <c r="A128">
        <v>126</v>
      </c>
      <c r="B128" s="60">
        <v>215712</v>
      </c>
      <c r="C128" s="61">
        <v>41282</v>
      </c>
      <c r="D128" s="60">
        <v>3249549</v>
      </c>
      <c r="E128" s="62">
        <v>9.06E-2</v>
      </c>
      <c r="F128">
        <v>9.18</v>
      </c>
      <c r="G128">
        <v>23.22</v>
      </c>
    </row>
    <row r="129" spans="1:7" x14ac:dyDescent="0.25">
      <c r="A129">
        <v>127</v>
      </c>
      <c r="B129" s="60">
        <v>213696</v>
      </c>
      <c r="C129" s="61">
        <v>41269</v>
      </c>
      <c r="D129" s="60">
        <v>2979636</v>
      </c>
      <c r="E129" s="62">
        <v>-0.1159</v>
      </c>
      <c r="F129">
        <v>11.32</v>
      </c>
      <c r="G129">
        <v>21.33</v>
      </c>
    </row>
    <row r="130" spans="1:7" x14ac:dyDescent="0.25">
      <c r="A130">
        <v>128</v>
      </c>
      <c r="B130" s="60">
        <v>211680</v>
      </c>
      <c r="C130" s="61">
        <v>41254</v>
      </c>
      <c r="D130" s="60">
        <v>3370181</v>
      </c>
      <c r="E130" s="62">
        <v>-0.02</v>
      </c>
      <c r="F130">
        <v>10.199999999999999</v>
      </c>
      <c r="G130">
        <v>24.12</v>
      </c>
    </row>
    <row r="131" spans="1:7" x14ac:dyDescent="0.25">
      <c r="A131">
        <v>129</v>
      </c>
      <c r="B131" s="60">
        <v>209664</v>
      </c>
      <c r="C131" s="61">
        <v>41239</v>
      </c>
      <c r="D131" s="60">
        <v>3438908</v>
      </c>
      <c r="E131" s="62">
        <v>2.0799999999999999E-2</v>
      </c>
      <c r="F131">
        <v>9.8000000000000007</v>
      </c>
      <c r="G131">
        <v>24.61</v>
      </c>
    </row>
    <row r="132" spans="1:7" x14ac:dyDescent="0.25">
      <c r="A132">
        <v>130</v>
      </c>
      <c r="B132" s="60">
        <v>207648</v>
      </c>
      <c r="C132" s="61">
        <v>41226</v>
      </c>
      <c r="D132" s="60">
        <v>3368767</v>
      </c>
      <c r="E132" s="62">
        <v>1.95E-2</v>
      </c>
      <c r="F132">
        <v>9.82</v>
      </c>
      <c r="G132">
        <v>24.1</v>
      </c>
    </row>
    <row r="133" spans="1:7" x14ac:dyDescent="0.25">
      <c r="A133">
        <v>131</v>
      </c>
      <c r="B133" s="60">
        <v>205632</v>
      </c>
      <c r="C133" s="61">
        <v>41212</v>
      </c>
      <c r="D133" s="60">
        <v>3304356</v>
      </c>
      <c r="E133" s="62">
        <v>7.5499999999999998E-2</v>
      </c>
      <c r="F133">
        <v>9.33</v>
      </c>
      <c r="G133">
        <v>23.58</v>
      </c>
    </row>
    <row r="134" spans="1:7" x14ac:dyDescent="0.25">
      <c r="A134">
        <v>132</v>
      </c>
      <c r="B134" s="60">
        <v>203616</v>
      </c>
      <c r="C134" s="61">
        <v>41199</v>
      </c>
      <c r="D134" s="60">
        <v>3072321</v>
      </c>
      <c r="E134" s="62">
        <v>5.7999999999999996E-3</v>
      </c>
      <c r="F134">
        <v>9.93</v>
      </c>
      <c r="G134">
        <v>22.01</v>
      </c>
    </row>
    <row r="135" spans="1:7" x14ac:dyDescent="0.25">
      <c r="A135">
        <v>133</v>
      </c>
      <c r="B135" s="60">
        <v>201600</v>
      </c>
      <c r="C135" s="61">
        <v>41185</v>
      </c>
      <c r="D135" s="60">
        <v>3054627</v>
      </c>
      <c r="E135" s="62">
        <v>6.6500000000000004E-2</v>
      </c>
      <c r="F135">
        <v>9.3699999999999992</v>
      </c>
      <c r="G135">
        <v>21.87</v>
      </c>
    </row>
    <row r="136" spans="1:7" x14ac:dyDescent="0.25">
      <c r="A136">
        <v>134</v>
      </c>
      <c r="B136" s="60">
        <v>199584</v>
      </c>
      <c r="C136" s="61">
        <v>41172</v>
      </c>
      <c r="D136" s="60">
        <v>2864140</v>
      </c>
      <c r="E136" s="62">
        <v>6.3100000000000003E-2</v>
      </c>
      <c r="F136">
        <v>9.4</v>
      </c>
      <c r="G136">
        <v>20.5</v>
      </c>
    </row>
    <row r="137" spans="1:7" x14ac:dyDescent="0.25">
      <c r="A137">
        <v>135</v>
      </c>
      <c r="B137" s="60">
        <v>197568</v>
      </c>
      <c r="C137" s="61">
        <v>41159</v>
      </c>
      <c r="D137" s="60">
        <v>2694047</v>
      </c>
      <c r="E137" s="62">
        <v>0.1038</v>
      </c>
      <c r="F137">
        <v>9.07</v>
      </c>
      <c r="G137">
        <v>19.28</v>
      </c>
    </row>
    <row r="138" spans="1:7" x14ac:dyDescent="0.25">
      <c r="A138">
        <v>136</v>
      </c>
      <c r="B138" s="60">
        <v>195552</v>
      </c>
      <c r="C138" s="61">
        <v>41146</v>
      </c>
      <c r="D138" s="60">
        <v>2440642</v>
      </c>
      <c r="E138" s="62">
        <v>0.114</v>
      </c>
      <c r="F138">
        <v>8.98</v>
      </c>
      <c r="G138">
        <v>17.46</v>
      </c>
    </row>
    <row r="139" spans="1:7" x14ac:dyDescent="0.25">
      <c r="A139">
        <v>137</v>
      </c>
      <c r="B139" s="60">
        <v>193536</v>
      </c>
      <c r="C139" s="61">
        <v>41133</v>
      </c>
      <c r="D139" s="60">
        <v>2190865</v>
      </c>
      <c r="E139" s="62">
        <v>7.5700000000000003E-2</v>
      </c>
      <c r="F139">
        <v>9.3000000000000007</v>
      </c>
      <c r="G139">
        <v>15.67</v>
      </c>
    </row>
    <row r="140" spans="1:7" x14ac:dyDescent="0.25">
      <c r="A140">
        <v>138</v>
      </c>
      <c r="B140" s="60">
        <v>191520</v>
      </c>
      <c r="C140" s="61">
        <v>41120</v>
      </c>
      <c r="D140" s="60">
        <v>2036671</v>
      </c>
      <c r="E140" s="62">
        <v>9.1200000000000003E-2</v>
      </c>
      <c r="F140">
        <v>9.18</v>
      </c>
      <c r="G140">
        <v>14.55</v>
      </c>
    </row>
    <row r="141" spans="1:7" x14ac:dyDescent="0.25">
      <c r="A141">
        <v>139</v>
      </c>
      <c r="B141" s="60">
        <v>189504</v>
      </c>
      <c r="C141" s="61">
        <v>41107</v>
      </c>
      <c r="D141" s="60">
        <v>1866391</v>
      </c>
      <c r="E141" s="62">
        <v>6.5600000000000006E-2</v>
      </c>
      <c r="F141">
        <v>9.3800000000000008</v>
      </c>
      <c r="G141">
        <v>13.36</v>
      </c>
    </row>
    <row r="142" spans="1:7" x14ac:dyDescent="0.25">
      <c r="A142">
        <v>140</v>
      </c>
      <c r="B142" s="60">
        <v>187488</v>
      </c>
      <c r="C142" s="61">
        <v>41094</v>
      </c>
      <c r="D142" s="60">
        <v>1751454</v>
      </c>
      <c r="E142" s="62">
        <v>1.44E-2</v>
      </c>
      <c r="F142">
        <v>9.8699999999999992</v>
      </c>
      <c r="G142">
        <v>12.53</v>
      </c>
    </row>
    <row r="143" spans="1:7" x14ac:dyDescent="0.25">
      <c r="A143">
        <v>141</v>
      </c>
      <c r="B143" s="60">
        <v>185472</v>
      </c>
      <c r="C143" s="61">
        <v>41081</v>
      </c>
      <c r="D143" s="60">
        <v>1726566</v>
      </c>
      <c r="E143" s="62">
        <v>9.06E-2</v>
      </c>
      <c r="F143">
        <v>9.17</v>
      </c>
      <c r="G143">
        <v>12.36</v>
      </c>
    </row>
    <row r="144" spans="1:7" x14ac:dyDescent="0.25">
      <c r="A144">
        <v>142</v>
      </c>
      <c r="B144" s="60">
        <v>183456</v>
      </c>
      <c r="C144" s="61">
        <v>41068</v>
      </c>
      <c r="D144" s="60">
        <v>1583177</v>
      </c>
      <c r="E144" s="62">
        <v>-5.0000000000000001E-3</v>
      </c>
      <c r="F144">
        <v>10.050000000000001</v>
      </c>
      <c r="G144">
        <v>11.32</v>
      </c>
    </row>
    <row r="145" spans="1:7" x14ac:dyDescent="0.25">
      <c r="A145">
        <v>143</v>
      </c>
      <c r="B145" s="60">
        <v>181440</v>
      </c>
      <c r="C145" s="61">
        <v>41054</v>
      </c>
      <c r="D145" s="60">
        <v>1591074</v>
      </c>
      <c r="E145" s="62">
        <v>-8.2000000000000003E-2</v>
      </c>
      <c r="F145">
        <v>10.9</v>
      </c>
      <c r="G145">
        <v>11.39</v>
      </c>
    </row>
    <row r="146" spans="1:7" x14ac:dyDescent="0.25">
      <c r="A146">
        <v>144</v>
      </c>
      <c r="B146" s="60">
        <v>179424</v>
      </c>
      <c r="C146" s="61">
        <v>41038</v>
      </c>
      <c r="D146" s="60">
        <v>1733207</v>
      </c>
      <c r="E146" s="62">
        <v>0.1489</v>
      </c>
      <c r="F146">
        <v>8.6999999999999993</v>
      </c>
      <c r="G146">
        <v>12.41</v>
      </c>
    </row>
    <row r="147" spans="1:7" x14ac:dyDescent="0.25">
      <c r="A147">
        <v>145</v>
      </c>
      <c r="B147" s="60">
        <v>177408</v>
      </c>
      <c r="C147" s="61">
        <v>41026</v>
      </c>
      <c r="D147" s="60">
        <v>1508589</v>
      </c>
      <c r="E147" s="62">
        <v>-4.3900000000000002E-2</v>
      </c>
      <c r="F147">
        <v>10.47</v>
      </c>
      <c r="G147">
        <v>10.79</v>
      </c>
    </row>
    <row r="148" spans="1:7" x14ac:dyDescent="0.25">
      <c r="A148">
        <v>146</v>
      </c>
      <c r="B148" s="60">
        <v>175392</v>
      </c>
      <c r="C148" s="61">
        <v>41012</v>
      </c>
      <c r="D148" s="60">
        <v>1577913</v>
      </c>
      <c r="E148" s="62">
        <v>-2.9899999999999999E-2</v>
      </c>
      <c r="F148">
        <v>10.32</v>
      </c>
      <c r="G148">
        <v>11.29</v>
      </c>
    </row>
    <row r="149" spans="1:7" x14ac:dyDescent="0.25">
      <c r="A149">
        <v>147</v>
      </c>
      <c r="B149" s="60">
        <v>173376</v>
      </c>
      <c r="C149" s="61">
        <v>40997</v>
      </c>
      <c r="D149" s="60">
        <v>1626553</v>
      </c>
      <c r="E149" s="62">
        <v>8.5599999999999996E-2</v>
      </c>
      <c r="F149">
        <v>9.2200000000000006</v>
      </c>
      <c r="G149">
        <v>11.64</v>
      </c>
    </row>
    <row r="150" spans="1:7" x14ac:dyDescent="0.25">
      <c r="A150">
        <v>148</v>
      </c>
      <c r="B150" s="60">
        <v>171360</v>
      </c>
      <c r="C150" s="61">
        <v>40984</v>
      </c>
      <c r="D150" s="60">
        <v>1498294</v>
      </c>
      <c r="E150" s="62">
        <v>8.9999999999999998E-4</v>
      </c>
      <c r="F150">
        <v>10</v>
      </c>
      <c r="G150">
        <v>10.72</v>
      </c>
    </row>
    <row r="151" spans="1:7" x14ac:dyDescent="0.25">
      <c r="A151">
        <v>149</v>
      </c>
      <c r="B151" s="60">
        <v>169344</v>
      </c>
      <c r="C151" s="61">
        <v>40970</v>
      </c>
      <c r="D151" s="60">
        <v>1496978</v>
      </c>
      <c r="E151" s="62">
        <v>8.77E-2</v>
      </c>
      <c r="F151">
        <v>9.1999999999999993</v>
      </c>
      <c r="G151">
        <v>10.71</v>
      </c>
    </row>
    <row r="152" spans="1:7" x14ac:dyDescent="0.25">
      <c r="A152">
        <v>150</v>
      </c>
      <c r="B152" s="60">
        <v>167328</v>
      </c>
      <c r="C152" s="61">
        <v>40957</v>
      </c>
      <c r="D152" s="60">
        <v>1376302</v>
      </c>
      <c r="E152" s="62">
        <v>-2.3999999999999998E-3</v>
      </c>
      <c r="F152">
        <v>10.029999999999999</v>
      </c>
      <c r="G152">
        <v>9.85</v>
      </c>
    </row>
    <row r="153" spans="1:7" x14ac:dyDescent="0.25">
      <c r="A153">
        <v>151</v>
      </c>
      <c r="B153" s="60">
        <v>165312</v>
      </c>
      <c r="C153" s="61">
        <v>40943</v>
      </c>
      <c r="D153" s="60">
        <v>1379647</v>
      </c>
      <c r="E153" s="62">
        <v>5.5E-2</v>
      </c>
      <c r="F153">
        <v>9.48</v>
      </c>
      <c r="G153">
        <v>9.8699999999999992</v>
      </c>
    </row>
    <row r="154" spans="1:7" x14ac:dyDescent="0.25">
      <c r="A154">
        <v>152</v>
      </c>
      <c r="B154" s="60">
        <v>163296</v>
      </c>
      <c r="C154" s="61">
        <v>40930</v>
      </c>
      <c r="D154" s="60">
        <v>1307728</v>
      </c>
      <c r="E154" s="62">
        <v>4.5499999999999999E-2</v>
      </c>
      <c r="F154">
        <v>9.57</v>
      </c>
      <c r="G154">
        <v>9.36</v>
      </c>
    </row>
    <row r="155" spans="1:7" x14ac:dyDescent="0.25">
      <c r="A155">
        <v>153</v>
      </c>
      <c r="B155" s="60">
        <v>161280</v>
      </c>
      <c r="C155" s="61">
        <v>40917</v>
      </c>
      <c r="D155" s="60">
        <v>1250757</v>
      </c>
      <c r="E155" s="62">
        <v>7.8299999999999995E-2</v>
      </c>
      <c r="F155">
        <v>9.2799999999999994</v>
      </c>
      <c r="G155">
        <v>8.9499999999999993</v>
      </c>
    </row>
    <row r="156" spans="1:7" x14ac:dyDescent="0.25">
      <c r="A156">
        <v>154</v>
      </c>
      <c r="B156" s="60">
        <v>159264</v>
      </c>
      <c r="C156" s="61">
        <v>40904</v>
      </c>
      <c r="D156" s="60">
        <v>1159929</v>
      </c>
      <c r="E156" s="62">
        <v>4.1999999999999997E-3</v>
      </c>
      <c r="F156">
        <v>9.9700000000000006</v>
      </c>
      <c r="G156">
        <v>8.2899999999999991</v>
      </c>
    </row>
    <row r="157" spans="1:7" x14ac:dyDescent="0.25">
      <c r="A157">
        <v>155</v>
      </c>
      <c r="B157" s="60">
        <v>157248</v>
      </c>
      <c r="C157" s="61">
        <v>40890</v>
      </c>
      <c r="D157" s="60">
        <v>1155038</v>
      </c>
      <c r="E157" s="62">
        <v>5.8999999999999997E-2</v>
      </c>
      <c r="F157">
        <v>9.4499999999999993</v>
      </c>
      <c r="G157">
        <v>8.27</v>
      </c>
    </row>
    <row r="158" spans="1:7" x14ac:dyDescent="0.25">
      <c r="A158">
        <v>156</v>
      </c>
      <c r="B158" s="60">
        <v>155232</v>
      </c>
      <c r="C158" s="61">
        <v>40876</v>
      </c>
      <c r="D158" s="60">
        <v>1090715</v>
      </c>
      <c r="E158" s="62">
        <v>-8.5400000000000004E-2</v>
      </c>
      <c r="F158">
        <v>10.93</v>
      </c>
      <c r="G158">
        <v>7.81</v>
      </c>
    </row>
    <row r="159" spans="1:7" x14ac:dyDescent="0.25">
      <c r="A159">
        <v>157</v>
      </c>
      <c r="B159" s="60">
        <v>153216</v>
      </c>
      <c r="C159" s="61">
        <v>40861</v>
      </c>
      <c r="D159" s="60">
        <v>1192497</v>
      </c>
      <c r="E159" s="62">
        <v>-9.1000000000000004E-3</v>
      </c>
      <c r="F159">
        <v>10.1</v>
      </c>
      <c r="G159">
        <v>8.5299999999999994</v>
      </c>
    </row>
    <row r="160" spans="1:7" x14ac:dyDescent="0.25">
      <c r="A160">
        <v>158</v>
      </c>
      <c r="B160" s="60">
        <v>151200</v>
      </c>
      <c r="C160" s="61">
        <v>40847</v>
      </c>
      <c r="D160" s="60">
        <v>1203461</v>
      </c>
      <c r="E160" s="62">
        <v>-0.18029999999999999</v>
      </c>
      <c r="F160">
        <v>12.2</v>
      </c>
      <c r="G160">
        <v>8.61</v>
      </c>
    </row>
    <row r="161" spans="1:7" x14ac:dyDescent="0.25">
      <c r="A161">
        <v>159</v>
      </c>
      <c r="B161" s="60">
        <v>149184</v>
      </c>
      <c r="C161" s="61">
        <v>40830</v>
      </c>
      <c r="D161" s="60">
        <v>1468195</v>
      </c>
      <c r="E161" s="62">
        <v>-0.13089999999999999</v>
      </c>
      <c r="F161">
        <v>11.52</v>
      </c>
      <c r="G161">
        <v>10.5</v>
      </c>
    </row>
    <row r="162" spans="1:7" x14ac:dyDescent="0.25">
      <c r="A162">
        <v>160</v>
      </c>
      <c r="B162" s="60">
        <v>147168</v>
      </c>
      <c r="C162" s="61">
        <v>40814</v>
      </c>
      <c r="D162" s="60">
        <v>1689334</v>
      </c>
      <c r="E162" s="62">
        <v>-3.7600000000000001E-2</v>
      </c>
      <c r="F162">
        <v>10.4</v>
      </c>
      <c r="G162">
        <v>12.09</v>
      </c>
    </row>
    <row r="163" spans="1:7" x14ac:dyDescent="0.25">
      <c r="A163">
        <v>161</v>
      </c>
      <c r="B163" s="60">
        <v>145152</v>
      </c>
      <c r="C163" s="61">
        <v>40799</v>
      </c>
      <c r="D163" s="60">
        <v>1755425</v>
      </c>
      <c r="E163" s="62">
        <v>-1.26E-2</v>
      </c>
      <c r="F163">
        <v>10.130000000000001</v>
      </c>
      <c r="G163">
        <v>12.57</v>
      </c>
    </row>
    <row r="164" spans="1:7" x14ac:dyDescent="0.25">
      <c r="A164">
        <v>162</v>
      </c>
      <c r="B164" s="60">
        <v>143136</v>
      </c>
      <c r="C164" s="61">
        <v>40785</v>
      </c>
      <c r="D164" s="60">
        <v>1777774</v>
      </c>
      <c r="E164" s="62">
        <v>-1.55E-2</v>
      </c>
      <c r="F164">
        <v>10.17</v>
      </c>
      <c r="G164">
        <v>12.72</v>
      </c>
    </row>
    <row r="165" spans="1:7" x14ac:dyDescent="0.25">
      <c r="A165">
        <v>163</v>
      </c>
      <c r="B165" s="60">
        <v>141120</v>
      </c>
      <c r="C165" s="61">
        <v>40771</v>
      </c>
      <c r="D165" s="60">
        <v>1805700</v>
      </c>
      <c r="E165" s="62">
        <v>-4.3999999999999997E-2</v>
      </c>
      <c r="F165">
        <v>10.47</v>
      </c>
      <c r="G165">
        <v>12.92</v>
      </c>
    </row>
    <row r="166" spans="1:7" x14ac:dyDescent="0.25">
      <c r="A166">
        <v>164</v>
      </c>
      <c r="B166" s="60">
        <v>139104</v>
      </c>
      <c r="C166" s="61">
        <v>40756</v>
      </c>
      <c r="D166" s="60">
        <v>1888786</v>
      </c>
      <c r="E166" s="62">
        <v>0.11700000000000001</v>
      </c>
      <c r="F166">
        <v>8.9499999999999993</v>
      </c>
      <c r="G166">
        <v>13.52</v>
      </c>
    </row>
    <row r="167" spans="1:7" x14ac:dyDescent="0.25">
      <c r="A167">
        <v>165</v>
      </c>
      <c r="B167" s="60">
        <v>137088</v>
      </c>
      <c r="C167" s="61">
        <v>40744</v>
      </c>
      <c r="D167" s="60">
        <v>1690895</v>
      </c>
      <c r="E167" s="62">
        <v>8.1799999999999998E-2</v>
      </c>
      <c r="F167">
        <v>9.25</v>
      </c>
      <c r="G167">
        <v>12.1</v>
      </c>
    </row>
    <row r="168" spans="1:7" x14ac:dyDescent="0.25">
      <c r="A168">
        <v>166</v>
      </c>
      <c r="B168" s="60">
        <v>135072</v>
      </c>
      <c r="C168" s="61">
        <v>40731</v>
      </c>
      <c r="D168" s="60">
        <v>1563027</v>
      </c>
      <c r="E168" s="62">
        <v>0.1333</v>
      </c>
      <c r="F168">
        <v>8.83</v>
      </c>
      <c r="G168">
        <v>11.18</v>
      </c>
    </row>
    <row r="169" spans="1:7" x14ac:dyDescent="0.25">
      <c r="A169">
        <v>167</v>
      </c>
      <c r="B169" s="60">
        <v>133056</v>
      </c>
      <c r="C169" s="61">
        <v>40718</v>
      </c>
      <c r="D169" s="60">
        <v>1379192</v>
      </c>
      <c r="E169" s="62">
        <v>0.57269999999999999</v>
      </c>
      <c r="F169">
        <v>6.37</v>
      </c>
      <c r="G169">
        <v>9.86</v>
      </c>
    </row>
    <row r="170" spans="1:7" x14ac:dyDescent="0.25">
      <c r="A170">
        <v>168</v>
      </c>
      <c r="B170" s="60">
        <v>131040</v>
      </c>
      <c r="C170" s="61">
        <v>40709</v>
      </c>
      <c r="D170" s="60">
        <v>876954</v>
      </c>
      <c r="E170" s="62">
        <v>0.54590000000000005</v>
      </c>
      <c r="F170">
        <v>6.47</v>
      </c>
      <c r="G170">
        <v>6.28</v>
      </c>
    </row>
    <row r="171" spans="1:7" x14ac:dyDescent="0.25">
      <c r="A171">
        <v>169</v>
      </c>
      <c r="B171" s="60">
        <v>129024</v>
      </c>
      <c r="C171" s="61">
        <v>40700</v>
      </c>
      <c r="D171" s="60">
        <v>567269</v>
      </c>
      <c r="E171" s="62">
        <v>0.3044</v>
      </c>
      <c r="F171">
        <v>7.67</v>
      </c>
      <c r="G171">
        <v>4.0599999999999996</v>
      </c>
    </row>
    <row r="172" spans="1:7" x14ac:dyDescent="0.25">
      <c r="A172">
        <v>170</v>
      </c>
      <c r="B172" s="60">
        <v>127008</v>
      </c>
      <c r="C172" s="61">
        <v>40690</v>
      </c>
      <c r="D172" s="60">
        <v>434877</v>
      </c>
      <c r="E172" s="62">
        <v>0.78149999999999997</v>
      </c>
      <c r="F172">
        <v>5.62</v>
      </c>
      <c r="G172">
        <v>3.11</v>
      </c>
    </row>
    <row r="173" spans="1:7" x14ac:dyDescent="0.25">
      <c r="A173">
        <v>171</v>
      </c>
      <c r="B173" s="60">
        <v>124992</v>
      </c>
      <c r="C173" s="61">
        <v>40682</v>
      </c>
      <c r="D173" s="60">
        <v>244112</v>
      </c>
      <c r="E173" s="62">
        <v>0.55069999999999997</v>
      </c>
      <c r="F173">
        <v>6.45</v>
      </c>
      <c r="G173">
        <v>1.75</v>
      </c>
    </row>
    <row r="174" spans="1:7" x14ac:dyDescent="0.25">
      <c r="A174">
        <v>172</v>
      </c>
      <c r="B174" s="60">
        <v>122976</v>
      </c>
      <c r="C174" s="61">
        <v>40673</v>
      </c>
      <c r="D174" s="60">
        <v>157416</v>
      </c>
      <c r="E174" s="62">
        <v>0.43540000000000001</v>
      </c>
      <c r="F174">
        <v>6.98</v>
      </c>
      <c r="G174">
        <v>1.1299999999999999</v>
      </c>
    </row>
    <row r="175" spans="1:7" x14ac:dyDescent="0.25">
      <c r="A175">
        <v>173</v>
      </c>
      <c r="B175" s="60">
        <v>120960</v>
      </c>
      <c r="C175" s="61">
        <v>40663</v>
      </c>
      <c r="D175" s="60">
        <v>109670</v>
      </c>
      <c r="E175" s="62">
        <v>0.18759999999999999</v>
      </c>
      <c r="F175">
        <v>8.42</v>
      </c>
      <c r="G175">
        <v>0.78469</v>
      </c>
    </row>
    <row r="176" spans="1:7" x14ac:dyDescent="0.25">
      <c r="A176">
        <v>174</v>
      </c>
      <c r="B176" s="60">
        <v>118944</v>
      </c>
      <c r="C176" s="61">
        <v>40651</v>
      </c>
      <c r="D176" s="60">
        <v>92347</v>
      </c>
      <c r="E176" s="62">
        <v>0.1215</v>
      </c>
      <c r="F176">
        <v>8.92</v>
      </c>
      <c r="G176">
        <v>0.66093000000000002</v>
      </c>
    </row>
    <row r="177" spans="1:7" x14ac:dyDescent="0.25">
      <c r="A177">
        <v>175</v>
      </c>
      <c r="B177" s="60">
        <v>116928</v>
      </c>
      <c r="C177" s="61">
        <v>40639</v>
      </c>
      <c r="D177" s="60">
        <v>82345</v>
      </c>
      <c r="E177" s="62">
        <v>0.1938</v>
      </c>
      <c r="F177">
        <v>8.3800000000000008</v>
      </c>
      <c r="G177">
        <v>0.58933999999999997</v>
      </c>
    </row>
    <row r="178" spans="1:7" x14ac:dyDescent="0.25">
      <c r="A178">
        <v>176</v>
      </c>
      <c r="B178" s="60">
        <v>114912</v>
      </c>
      <c r="C178" s="61">
        <v>40627</v>
      </c>
      <c r="D178" s="60">
        <v>68977</v>
      </c>
      <c r="E178" s="62">
        <v>-9.4700000000000006E-2</v>
      </c>
      <c r="F178">
        <v>11.05</v>
      </c>
      <c r="G178">
        <v>0.49364000000000002</v>
      </c>
    </row>
    <row r="179" spans="1:7" x14ac:dyDescent="0.25">
      <c r="A179">
        <v>177</v>
      </c>
      <c r="B179" s="60">
        <v>112896</v>
      </c>
      <c r="C179" s="61">
        <v>40611</v>
      </c>
      <c r="D179" s="60">
        <v>76192</v>
      </c>
      <c r="E179" s="62">
        <v>0.37059999999999998</v>
      </c>
      <c r="F179">
        <v>7.3</v>
      </c>
      <c r="G179">
        <v>0.54474</v>
      </c>
    </row>
    <row r="180" spans="1:7" x14ac:dyDescent="0.25">
      <c r="A180">
        <v>178</v>
      </c>
      <c r="B180" s="60">
        <v>110880</v>
      </c>
      <c r="C180" s="61">
        <v>40601</v>
      </c>
      <c r="D180" s="60">
        <v>55589</v>
      </c>
      <c r="E180" s="62">
        <v>0.52470000000000006</v>
      </c>
      <c r="F180">
        <v>6.57</v>
      </c>
      <c r="G180">
        <v>0.39728999999999998</v>
      </c>
    </row>
    <row r="181" spans="1:7" x14ac:dyDescent="0.25">
      <c r="A181">
        <v>179</v>
      </c>
      <c r="B181" s="60">
        <v>108864</v>
      </c>
      <c r="C181" s="61">
        <v>40592</v>
      </c>
      <c r="D181" s="60">
        <v>36459</v>
      </c>
      <c r="E181" s="62">
        <v>0.40239999999999998</v>
      </c>
      <c r="F181">
        <v>7.15</v>
      </c>
      <c r="G181">
        <v>0.26012000000000002</v>
      </c>
    </row>
    <row r="182" spans="1:7" x14ac:dyDescent="0.25">
      <c r="A182">
        <v>180</v>
      </c>
      <c r="B182" s="60">
        <v>106848</v>
      </c>
      <c r="C182" s="61">
        <v>40582</v>
      </c>
      <c r="D182" s="60">
        <v>25997</v>
      </c>
      <c r="E182" s="62">
        <v>0.18099999999999999</v>
      </c>
      <c r="F182">
        <v>8.4700000000000006</v>
      </c>
      <c r="G182">
        <v>0.18601000000000001</v>
      </c>
    </row>
    <row r="183" spans="1:7" x14ac:dyDescent="0.25">
      <c r="A183">
        <v>181</v>
      </c>
      <c r="B183" s="60">
        <v>104832</v>
      </c>
      <c r="C183" s="61">
        <v>40570</v>
      </c>
      <c r="D183" s="60">
        <v>22012</v>
      </c>
      <c r="E183" s="62">
        <v>0.19389999999999999</v>
      </c>
      <c r="F183">
        <v>8.3800000000000008</v>
      </c>
      <c r="G183">
        <v>0.15734000000000001</v>
      </c>
    </row>
    <row r="184" spans="1:7" x14ac:dyDescent="0.25">
      <c r="A184">
        <v>182</v>
      </c>
      <c r="B184" s="60">
        <v>102816</v>
      </c>
      <c r="C184" s="61">
        <v>40558</v>
      </c>
      <c r="D184" s="60">
        <v>18437</v>
      </c>
      <c r="E184" s="62">
        <v>0.13059999999999999</v>
      </c>
      <c r="F184">
        <v>8.85</v>
      </c>
      <c r="G184">
        <v>0.13194</v>
      </c>
    </row>
    <row r="185" spans="1:7" x14ac:dyDescent="0.25">
      <c r="A185">
        <v>183</v>
      </c>
      <c r="B185" s="60">
        <v>100800</v>
      </c>
      <c r="C185" s="61">
        <v>40546</v>
      </c>
      <c r="D185" s="60">
        <v>16307</v>
      </c>
      <c r="E185" s="62">
        <v>0.12590000000000001</v>
      </c>
      <c r="F185">
        <v>8.8800000000000008</v>
      </c>
      <c r="G185">
        <v>0.11667</v>
      </c>
    </row>
    <row r="186" spans="1:7" x14ac:dyDescent="0.25">
      <c r="A186">
        <v>184</v>
      </c>
      <c r="B186" s="60">
        <v>98784</v>
      </c>
      <c r="C186" s="61">
        <v>40534</v>
      </c>
      <c r="D186" s="60">
        <v>14484</v>
      </c>
      <c r="E186" s="62">
        <v>0.18229999999999999</v>
      </c>
      <c r="F186">
        <v>8.4700000000000006</v>
      </c>
      <c r="G186">
        <v>0.10367</v>
      </c>
    </row>
    <row r="187" spans="1:7" x14ac:dyDescent="0.25">
      <c r="A187">
        <v>185</v>
      </c>
      <c r="B187" s="60">
        <v>96768</v>
      </c>
      <c r="C187" s="61">
        <v>40522</v>
      </c>
      <c r="D187" s="60">
        <v>12251</v>
      </c>
      <c r="E187" s="62">
        <v>0.51659999999999995</v>
      </c>
      <c r="F187">
        <v>6.6</v>
      </c>
      <c r="G187">
        <v>8.7639999999999996E-2</v>
      </c>
    </row>
    <row r="188" spans="1:7" x14ac:dyDescent="0.25">
      <c r="A188">
        <v>186</v>
      </c>
      <c r="B188" s="60">
        <v>94752</v>
      </c>
      <c r="C188" s="61">
        <v>40513</v>
      </c>
      <c r="D188" s="60">
        <v>8078</v>
      </c>
      <c r="E188" s="62">
        <v>0.17649999999999999</v>
      </c>
      <c r="F188">
        <v>8.52</v>
      </c>
      <c r="G188">
        <v>5.7759999999999999E-2</v>
      </c>
    </row>
    <row r="189" spans="1:7" x14ac:dyDescent="0.25">
      <c r="A189">
        <v>187</v>
      </c>
      <c r="B189" s="60">
        <v>92736</v>
      </c>
      <c r="C189" s="61">
        <v>40501</v>
      </c>
      <c r="D189" s="60">
        <v>6866</v>
      </c>
      <c r="E189" s="62">
        <v>0.51370000000000005</v>
      </c>
      <c r="F189">
        <v>6.62</v>
      </c>
      <c r="G189">
        <v>4.9090000000000002E-2</v>
      </c>
    </row>
    <row r="190" spans="1:7" x14ac:dyDescent="0.25">
      <c r="A190">
        <v>188</v>
      </c>
      <c r="B190" s="60">
        <v>90720</v>
      </c>
      <c r="C190" s="61">
        <v>40491</v>
      </c>
      <c r="D190" s="60">
        <v>4536</v>
      </c>
      <c r="E190" s="62">
        <v>0.46750000000000003</v>
      </c>
      <c r="F190">
        <v>6.83</v>
      </c>
      <c r="G190">
        <v>3.2390000000000002E-2</v>
      </c>
    </row>
    <row r="191" spans="1:7" x14ac:dyDescent="0.25">
      <c r="A191">
        <v>189</v>
      </c>
      <c r="B191" s="60">
        <v>88704</v>
      </c>
      <c r="C191" s="61">
        <v>40482</v>
      </c>
      <c r="D191" s="60">
        <v>3091</v>
      </c>
      <c r="E191" s="62">
        <v>0.43830000000000002</v>
      </c>
      <c r="F191">
        <v>6.95</v>
      </c>
      <c r="G191">
        <v>2.2110000000000001E-2</v>
      </c>
    </row>
    <row r="192" spans="1:7" x14ac:dyDescent="0.25">
      <c r="A192">
        <v>190</v>
      </c>
      <c r="B192" s="60">
        <v>86688</v>
      </c>
      <c r="C192" s="61">
        <v>40472</v>
      </c>
      <c r="D192" s="60">
        <v>2149</v>
      </c>
      <c r="E192" s="62">
        <v>0.5595</v>
      </c>
      <c r="F192">
        <v>6.42</v>
      </c>
      <c r="G192">
        <v>1.537E-2</v>
      </c>
    </row>
    <row r="193" spans="1:7" x14ac:dyDescent="0.25">
      <c r="A193">
        <v>191</v>
      </c>
      <c r="B193" s="60">
        <v>84672</v>
      </c>
      <c r="C193" s="61">
        <v>40463</v>
      </c>
      <c r="D193" s="60">
        <v>1378</v>
      </c>
      <c r="E193" s="62">
        <v>4.5499999999999999E-2</v>
      </c>
      <c r="F193">
        <v>9.57</v>
      </c>
      <c r="G193">
        <v>9.8600000000000007E-3</v>
      </c>
    </row>
    <row r="194" spans="1:7" x14ac:dyDescent="0.25">
      <c r="A194">
        <v>192</v>
      </c>
      <c r="B194" s="60">
        <v>82656</v>
      </c>
      <c r="C194" s="61">
        <v>40450</v>
      </c>
      <c r="D194" s="60">
        <v>1318</v>
      </c>
      <c r="E194" s="62">
        <v>0.43730000000000002</v>
      </c>
      <c r="F194">
        <v>6.97</v>
      </c>
      <c r="G194">
        <v>9.4299999999999991E-3</v>
      </c>
    </row>
    <row r="195" spans="1:7" x14ac:dyDescent="0.25">
      <c r="A195">
        <v>193</v>
      </c>
      <c r="B195" s="60">
        <v>80640</v>
      </c>
      <c r="C195" s="61">
        <v>40440</v>
      </c>
      <c r="D195">
        <v>917</v>
      </c>
      <c r="E195" s="62">
        <v>0.28789999999999999</v>
      </c>
      <c r="F195">
        <v>7.77</v>
      </c>
      <c r="G195">
        <v>6.5599999999999999E-3</v>
      </c>
    </row>
    <row r="196" spans="1:7" x14ac:dyDescent="0.25">
      <c r="A196">
        <v>194</v>
      </c>
      <c r="B196" s="60">
        <v>78624</v>
      </c>
      <c r="C196" s="61">
        <v>40429</v>
      </c>
      <c r="D196">
        <v>712</v>
      </c>
      <c r="E196" s="62">
        <v>0.1429</v>
      </c>
      <c r="F196">
        <v>8.75</v>
      </c>
      <c r="G196">
        <v>5.1000000000000004E-3</v>
      </c>
    </row>
    <row r="197" spans="1:7" x14ac:dyDescent="0.25">
      <c r="A197">
        <v>195</v>
      </c>
      <c r="B197" s="60">
        <v>76608</v>
      </c>
      <c r="C197" s="61">
        <v>40417</v>
      </c>
      <c r="D197">
        <v>623</v>
      </c>
      <c r="E197" s="62">
        <v>0.21920000000000001</v>
      </c>
      <c r="F197">
        <v>8.2200000000000006</v>
      </c>
      <c r="G197">
        <v>4.45E-3</v>
      </c>
    </row>
    <row r="198" spans="1:7" x14ac:dyDescent="0.25">
      <c r="A198">
        <v>196</v>
      </c>
      <c r="B198" s="60">
        <v>74592</v>
      </c>
      <c r="C198" s="61">
        <v>40405</v>
      </c>
      <c r="D198">
        <v>511</v>
      </c>
      <c r="E198" s="62">
        <v>0.45169999999999999</v>
      </c>
      <c r="F198">
        <v>6.88</v>
      </c>
      <c r="G198">
        <v>3.6600000000000001E-3</v>
      </c>
    </row>
    <row r="199" spans="1:7" x14ac:dyDescent="0.25">
      <c r="A199">
        <v>197</v>
      </c>
      <c r="B199" s="60">
        <v>72576</v>
      </c>
      <c r="C199" s="61">
        <v>40396</v>
      </c>
      <c r="D199">
        <v>352</v>
      </c>
      <c r="E199" s="62">
        <v>0.44259999999999999</v>
      </c>
      <c r="F199">
        <v>6.93</v>
      </c>
      <c r="G199">
        <v>2.5200000000000001E-3</v>
      </c>
    </row>
    <row r="200" spans="1:7" x14ac:dyDescent="0.25">
      <c r="A200">
        <v>198</v>
      </c>
      <c r="B200" s="60">
        <v>70560</v>
      </c>
      <c r="C200" s="61">
        <v>40386</v>
      </c>
      <c r="D200">
        <v>244</v>
      </c>
      <c r="E200" s="62">
        <v>0.34810000000000002</v>
      </c>
      <c r="F200">
        <v>7.45</v>
      </c>
      <c r="G200">
        <v>1.74E-3</v>
      </c>
    </row>
    <row r="201" spans="1:7" x14ac:dyDescent="0.25">
      <c r="A201">
        <v>199</v>
      </c>
      <c r="B201" s="60">
        <v>68544</v>
      </c>
      <c r="C201" s="61">
        <v>40376</v>
      </c>
      <c r="D201">
        <v>181</v>
      </c>
      <c r="E201" s="62">
        <v>3.0222000000000002</v>
      </c>
      <c r="F201">
        <v>2.4</v>
      </c>
      <c r="G201">
        <v>1.3500000000000001E-3</v>
      </c>
    </row>
    <row r="202" spans="1:7" x14ac:dyDescent="0.25">
      <c r="A202">
        <v>200</v>
      </c>
      <c r="B202" s="60">
        <v>66528</v>
      </c>
      <c r="C202" s="61">
        <v>40372</v>
      </c>
      <c r="D202">
        <v>45</v>
      </c>
      <c r="E202" s="62">
        <v>0.95650000000000002</v>
      </c>
      <c r="F202">
        <v>5.18</v>
      </c>
      <c r="G202">
        <v>3.1774E-4</v>
      </c>
    </row>
    <row r="203" spans="1:7" x14ac:dyDescent="0.25">
      <c r="A203">
        <v>201</v>
      </c>
      <c r="B203" s="60">
        <v>64512</v>
      </c>
      <c r="C203" s="61">
        <v>40365</v>
      </c>
      <c r="D203">
        <v>23</v>
      </c>
      <c r="E203" s="62">
        <v>0.21049999999999999</v>
      </c>
      <c r="F203">
        <v>8.27</v>
      </c>
      <c r="G203">
        <v>1.6468E-4</v>
      </c>
    </row>
    <row r="204" spans="1:7" x14ac:dyDescent="0.25">
      <c r="A204">
        <v>202</v>
      </c>
      <c r="B204" s="60">
        <v>62496</v>
      </c>
      <c r="C204" s="61">
        <v>40353</v>
      </c>
      <c r="D204">
        <v>19</v>
      </c>
      <c r="E204" s="62">
        <v>0.1176</v>
      </c>
      <c r="F204">
        <v>8.9700000000000006</v>
      </c>
      <c r="G204">
        <v>1.3583000000000001E-4</v>
      </c>
    </row>
    <row r="205" spans="1:7" x14ac:dyDescent="0.25">
      <c r="A205">
        <v>203</v>
      </c>
      <c r="B205" s="60">
        <v>60480</v>
      </c>
      <c r="C205" s="61">
        <v>40341</v>
      </c>
      <c r="D205">
        <v>17</v>
      </c>
      <c r="E205" s="62">
        <v>6.25E-2</v>
      </c>
      <c r="F205">
        <v>9.57</v>
      </c>
      <c r="G205">
        <v>1.197E-4</v>
      </c>
    </row>
    <row r="206" spans="1:7" x14ac:dyDescent="0.25">
      <c r="A206">
        <v>204</v>
      </c>
      <c r="B206" s="60">
        <v>58464</v>
      </c>
      <c r="C206" s="61">
        <v>40327</v>
      </c>
      <c r="D206">
        <v>16</v>
      </c>
      <c r="E206" s="62">
        <v>0.45450000000000002</v>
      </c>
      <c r="F206">
        <v>7.13</v>
      </c>
      <c r="G206">
        <v>1.1035999999999999E-4</v>
      </c>
    </row>
    <row r="207" spans="1:7" x14ac:dyDescent="0.25">
      <c r="A207">
        <v>205</v>
      </c>
      <c r="B207" s="60">
        <v>56448</v>
      </c>
      <c r="C207" s="61">
        <v>40317</v>
      </c>
      <c r="D207">
        <v>11</v>
      </c>
      <c r="E207" s="62">
        <v>-8.3299999999999999E-2</v>
      </c>
      <c r="F207">
        <v>10.85</v>
      </c>
      <c r="G207">
        <v>7.9190000000000006E-5</v>
      </c>
    </row>
    <row r="208" spans="1:7" x14ac:dyDescent="0.25">
      <c r="A208">
        <v>206</v>
      </c>
      <c r="B208" s="60">
        <v>54432</v>
      </c>
      <c r="C208" s="61">
        <v>40302</v>
      </c>
      <c r="D208">
        <v>12</v>
      </c>
      <c r="E208" s="62">
        <v>9.0899999999999995E-2</v>
      </c>
      <c r="F208">
        <v>8.93</v>
      </c>
      <c r="G208">
        <v>8.8220000000000006E-5</v>
      </c>
    </row>
    <row r="209" spans="1:7" x14ac:dyDescent="0.25">
      <c r="A209">
        <v>207</v>
      </c>
      <c r="B209" s="60">
        <v>52416</v>
      </c>
      <c r="C209" s="61">
        <v>40290</v>
      </c>
      <c r="D209">
        <v>11</v>
      </c>
      <c r="E209" s="62">
        <v>0.57140000000000002</v>
      </c>
      <c r="F209">
        <v>6.82</v>
      </c>
      <c r="G209">
        <v>7.3449999999999996E-5</v>
      </c>
    </row>
    <row r="210" spans="1:7" x14ac:dyDescent="0.25">
      <c r="A210">
        <v>208</v>
      </c>
      <c r="B210" s="60">
        <v>50400</v>
      </c>
      <c r="C210" s="61">
        <v>40280</v>
      </c>
      <c r="D210">
        <v>7</v>
      </c>
      <c r="E210" s="62">
        <v>0.16669999999999999</v>
      </c>
      <c r="F210">
        <v>7.78</v>
      </c>
      <c r="G210">
        <v>5.5179999999999997E-5</v>
      </c>
    </row>
    <row r="211" spans="1:7" x14ac:dyDescent="0.25">
      <c r="A211">
        <v>209</v>
      </c>
      <c r="B211" s="60">
        <v>48384</v>
      </c>
      <c r="C211" s="61">
        <v>40269</v>
      </c>
      <c r="D211">
        <v>6</v>
      </c>
      <c r="E211" s="62">
        <v>0.5</v>
      </c>
      <c r="F211">
        <v>7.5</v>
      </c>
      <c r="G211">
        <v>3.8139999999999997E-5</v>
      </c>
    </row>
    <row r="212" spans="1:7" x14ac:dyDescent="0.25">
      <c r="A212">
        <v>210</v>
      </c>
      <c r="B212" s="60">
        <v>46368</v>
      </c>
      <c r="C212" s="61">
        <v>40259</v>
      </c>
      <c r="D212">
        <v>4</v>
      </c>
      <c r="E212" s="62">
        <v>0</v>
      </c>
      <c r="F212">
        <v>9.93</v>
      </c>
      <c r="G212">
        <v>2.883E-5</v>
      </c>
    </row>
    <row r="213" spans="1:7" x14ac:dyDescent="0.25">
      <c r="A213">
        <v>211</v>
      </c>
      <c r="B213" s="60">
        <v>44352</v>
      </c>
      <c r="C213" s="61">
        <v>40245</v>
      </c>
      <c r="D213">
        <v>4</v>
      </c>
      <c r="E213" s="62">
        <v>0.33329999999999999</v>
      </c>
      <c r="F213">
        <v>8.35</v>
      </c>
      <c r="G213">
        <v>2.5720000000000001E-5</v>
      </c>
    </row>
    <row r="214" spans="1:7" x14ac:dyDescent="0.25">
      <c r="A214">
        <v>212</v>
      </c>
      <c r="B214" s="60">
        <v>42336</v>
      </c>
      <c r="C214" s="61">
        <v>40233</v>
      </c>
      <c r="D214">
        <v>3</v>
      </c>
      <c r="E214" s="62">
        <v>0.5</v>
      </c>
      <c r="F214">
        <v>6.68</v>
      </c>
      <c r="G214">
        <v>2.1399999999999998E-5</v>
      </c>
    </row>
    <row r="215" spans="1:7" x14ac:dyDescent="0.25">
      <c r="A215">
        <v>213</v>
      </c>
      <c r="B215" s="60">
        <v>40320</v>
      </c>
      <c r="C215" s="61">
        <v>40224</v>
      </c>
      <c r="D215">
        <v>2</v>
      </c>
      <c r="E215" s="62">
        <v>1</v>
      </c>
      <c r="F215">
        <v>7.2</v>
      </c>
      <c r="G215">
        <v>9.9299999999999998E-6</v>
      </c>
    </row>
    <row r="216" spans="1:7" x14ac:dyDescent="0.25">
      <c r="A216">
        <v>214</v>
      </c>
      <c r="B216" s="60">
        <v>38304</v>
      </c>
      <c r="C216" s="61">
        <v>40214</v>
      </c>
      <c r="D216">
        <v>1</v>
      </c>
      <c r="E216" s="62">
        <v>0</v>
      </c>
      <c r="F216">
        <v>7.4</v>
      </c>
      <c r="G216">
        <v>9.6800000000000005E-6</v>
      </c>
    </row>
    <row r="217" spans="1:7" x14ac:dyDescent="0.25">
      <c r="A217">
        <v>215</v>
      </c>
      <c r="B217" s="60">
        <v>36288</v>
      </c>
      <c r="C217" s="61">
        <v>40203</v>
      </c>
      <c r="D217">
        <v>1</v>
      </c>
      <c r="E217" s="62">
        <v>0</v>
      </c>
      <c r="F217">
        <v>9.7200000000000006</v>
      </c>
      <c r="G217">
        <v>7.3699999999999997E-6</v>
      </c>
    </row>
    <row r="218" spans="1:7" x14ac:dyDescent="0.25">
      <c r="A218">
        <v>216</v>
      </c>
      <c r="B218" s="60">
        <v>34272</v>
      </c>
      <c r="C218" s="61">
        <v>40190</v>
      </c>
      <c r="D218">
        <v>1</v>
      </c>
      <c r="E218" s="62">
        <v>0</v>
      </c>
      <c r="F218">
        <v>9.07</v>
      </c>
      <c r="G218">
        <v>7.9000000000000006E-6</v>
      </c>
    </row>
    <row r="219" spans="1:7" x14ac:dyDescent="0.25">
      <c r="A219">
        <v>217</v>
      </c>
      <c r="B219" s="60">
        <v>32256</v>
      </c>
      <c r="C219" s="61">
        <v>40177</v>
      </c>
      <c r="D219">
        <v>1</v>
      </c>
      <c r="E219" s="62">
        <v>0</v>
      </c>
      <c r="F219">
        <v>8.4700000000000006</v>
      </c>
      <c r="G219">
        <v>8.4600000000000003E-6</v>
      </c>
    </row>
    <row r="220" spans="1:7" x14ac:dyDescent="0.25">
      <c r="A220">
        <v>218</v>
      </c>
      <c r="B220" s="60">
        <v>30240</v>
      </c>
      <c r="C220" s="61">
        <v>40165</v>
      </c>
      <c r="D220">
        <v>1</v>
      </c>
      <c r="E220" s="62">
        <v>0</v>
      </c>
      <c r="F220">
        <v>14.65</v>
      </c>
      <c r="G220">
        <v>4.8899999999999998E-6</v>
      </c>
    </row>
    <row r="221" spans="1:7" x14ac:dyDescent="0.25">
      <c r="A221">
        <v>219</v>
      </c>
      <c r="B221" s="60">
        <v>28224</v>
      </c>
      <c r="C221" s="61">
        <v>40145</v>
      </c>
      <c r="D221">
        <v>1</v>
      </c>
      <c r="E221" s="62">
        <v>0</v>
      </c>
      <c r="F221">
        <v>19.48</v>
      </c>
      <c r="G221">
        <v>3.6799999999999999E-6</v>
      </c>
    </row>
    <row r="222" spans="1:7" x14ac:dyDescent="0.25">
      <c r="A222">
        <v>220</v>
      </c>
      <c r="B222" s="60">
        <v>26208</v>
      </c>
      <c r="C222" s="61">
        <v>40117</v>
      </c>
      <c r="D222">
        <v>1</v>
      </c>
      <c r="E222" s="62">
        <v>0</v>
      </c>
      <c r="F222">
        <v>21.07</v>
      </c>
      <c r="G222">
        <v>3.4000000000000001E-6</v>
      </c>
    </row>
    <row r="223" spans="1:7" x14ac:dyDescent="0.25">
      <c r="A223">
        <v>221</v>
      </c>
      <c r="B223" s="60">
        <v>24192</v>
      </c>
      <c r="C223" s="61">
        <v>40088</v>
      </c>
      <c r="D223">
        <v>1</v>
      </c>
      <c r="E223" s="62">
        <v>0</v>
      </c>
      <c r="F223">
        <v>19.72</v>
      </c>
      <c r="G223">
        <v>3.63E-6</v>
      </c>
    </row>
    <row r="224" spans="1:7" x14ac:dyDescent="0.25">
      <c r="A224">
        <v>222</v>
      </c>
      <c r="B224" s="60">
        <v>22176</v>
      </c>
      <c r="C224" s="61">
        <v>40060</v>
      </c>
      <c r="D224">
        <v>1</v>
      </c>
      <c r="E224" s="62">
        <v>0</v>
      </c>
      <c r="F224">
        <v>29.67</v>
      </c>
      <c r="G224">
        <v>2.4099999999999998E-6</v>
      </c>
    </row>
    <row r="225" spans="1:7" x14ac:dyDescent="0.25">
      <c r="A225">
        <v>223</v>
      </c>
      <c r="B225" s="60">
        <v>20160</v>
      </c>
      <c r="C225" s="61">
        <v>40019</v>
      </c>
      <c r="D225">
        <v>1</v>
      </c>
      <c r="E225" s="62">
        <v>0</v>
      </c>
      <c r="F225">
        <v>20.079999999999998</v>
      </c>
      <c r="G225">
        <v>3.5599999999999998E-6</v>
      </c>
    </row>
    <row r="226" spans="1:7" x14ac:dyDescent="0.25">
      <c r="A226">
        <v>224</v>
      </c>
      <c r="B226" s="60">
        <v>18144</v>
      </c>
      <c r="C226" s="61">
        <v>39991</v>
      </c>
      <c r="D226">
        <v>1</v>
      </c>
      <c r="E226" s="62">
        <v>0</v>
      </c>
      <c r="F226">
        <v>19.13</v>
      </c>
      <c r="G226">
        <v>3.7400000000000002E-6</v>
      </c>
    </row>
    <row r="227" spans="1:7" x14ac:dyDescent="0.25">
      <c r="A227">
        <v>225</v>
      </c>
      <c r="B227" s="60">
        <v>16128</v>
      </c>
      <c r="C227" s="61">
        <v>39964</v>
      </c>
      <c r="D227">
        <v>1</v>
      </c>
      <c r="E227" s="62">
        <v>0</v>
      </c>
      <c r="F227">
        <v>13.55</v>
      </c>
      <c r="G227">
        <v>5.2800000000000003E-6</v>
      </c>
    </row>
    <row r="228" spans="1:7" x14ac:dyDescent="0.25">
      <c r="A228">
        <v>226</v>
      </c>
      <c r="B228" s="60">
        <v>14112</v>
      </c>
      <c r="C228" s="61">
        <v>39945</v>
      </c>
      <c r="D228">
        <v>1</v>
      </c>
      <c r="E228" s="62">
        <v>0</v>
      </c>
      <c r="F228">
        <v>12.4</v>
      </c>
      <c r="G228">
        <v>5.7799999999999997E-6</v>
      </c>
    </row>
    <row r="229" spans="1:7" x14ac:dyDescent="0.25">
      <c r="A229">
        <v>227</v>
      </c>
      <c r="B229" s="60">
        <v>12096</v>
      </c>
      <c r="C229" s="61">
        <v>39928</v>
      </c>
      <c r="D229">
        <v>1</v>
      </c>
      <c r="E229" s="62">
        <v>0</v>
      </c>
      <c r="F229">
        <v>12.77</v>
      </c>
      <c r="G229">
        <v>5.6099999999999997E-6</v>
      </c>
    </row>
    <row r="230" spans="1:7" x14ac:dyDescent="0.25">
      <c r="A230">
        <v>228</v>
      </c>
      <c r="B230" s="60">
        <v>10080</v>
      </c>
      <c r="C230" s="61">
        <v>39910</v>
      </c>
      <c r="D230">
        <v>1</v>
      </c>
      <c r="E230" s="62">
        <v>0</v>
      </c>
      <c r="F230">
        <v>12.78</v>
      </c>
      <c r="G230">
        <v>5.5999999999999997E-6</v>
      </c>
    </row>
    <row r="231" spans="1:7" x14ac:dyDescent="0.25">
      <c r="A231">
        <v>229</v>
      </c>
      <c r="B231" s="60">
        <v>8064</v>
      </c>
      <c r="C231" s="61">
        <v>39892</v>
      </c>
      <c r="D231">
        <v>1</v>
      </c>
      <c r="E231" s="62">
        <v>0</v>
      </c>
      <c r="F231">
        <v>12.75</v>
      </c>
      <c r="G231">
        <v>5.6099999999999997E-6</v>
      </c>
    </row>
    <row r="232" spans="1:7" x14ac:dyDescent="0.25">
      <c r="A232">
        <v>230</v>
      </c>
      <c r="B232" s="60">
        <v>6048</v>
      </c>
      <c r="C232" s="61">
        <v>39874</v>
      </c>
      <c r="D232">
        <v>1</v>
      </c>
      <c r="E232" s="62">
        <v>0</v>
      </c>
      <c r="F232">
        <v>12.4</v>
      </c>
      <c r="G232">
        <v>5.7699999999999998E-6</v>
      </c>
    </row>
    <row r="233" spans="1:7" x14ac:dyDescent="0.25">
      <c r="A233">
        <v>231</v>
      </c>
      <c r="B233" s="60">
        <v>4032</v>
      </c>
      <c r="C233" s="61">
        <v>39857</v>
      </c>
      <c r="D233">
        <v>1</v>
      </c>
      <c r="E233" s="62">
        <v>0</v>
      </c>
      <c r="F233">
        <v>11.6</v>
      </c>
      <c r="G233">
        <v>6.1700000000000002E-6</v>
      </c>
    </row>
    <row r="234" spans="1:7" x14ac:dyDescent="0.25">
      <c r="A234">
        <v>232</v>
      </c>
      <c r="B234" s="60">
        <v>2016</v>
      </c>
      <c r="C234" s="61">
        <v>39840</v>
      </c>
      <c r="D234">
        <v>1</v>
      </c>
      <c r="E234" s="62">
        <v>0</v>
      </c>
      <c r="F234">
        <v>17</v>
      </c>
      <c r="G234">
        <v>4.2100000000000003E-6</v>
      </c>
    </row>
  </sheetData>
  <mergeCells count="1">
    <mergeCell ref="A1:G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收益统计</vt:lpstr>
      <vt:lpstr>敏感性分析</vt:lpstr>
      <vt:lpstr>收益计算</vt:lpstr>
      <vt:lpstr>变量</vt:lpstr>
      <vt:lpstr>常量</vt:lpstr>
      <vt:lpstr>难度统计</vt:lpstr>
      <vt:lpstr>图表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Xiaofeng</cp:lastModifiedBy>
  <dcterms:modified xsi:type="dcterms:W3CDTF">2017-06-06T01:24:49Z</dcterms:modified>
</cp:coreProperties>
</file>