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vi41\Desktop\Robot Arm\Calculations\"/>
    </mc:Choice>
  </mc:AlternateContent>
  <xr:revisionPtr revIDLastSave="0" documentId="13_ncr:1_{BF40E291-36CA-4E53-9308-307524FFE3C4}" xr6:coauthVersionLast="45" xr6:coauthVersionMax="45" xr10:uidLastSave="{00000000-0000-0000-0000-000000000000}"/>
  <bookViews>
    <workbookView xWindow="-108" yWindow="12852" windowWidth="23256" windowHeight="12720" activeTab="1" xr2:uid="{00000000-000D-0000-FFFF-FFFF00000000}"/>
  </bookViews>
  <sheets>
    <sheet name="BOM" sheetId="1" r:id="rId1"/>
    <sheet name="Power Calculations" sheetId="4" r:id="rId2"/>
    <sheet name="Structural Calculations" sheetId="2" r:id="rId3"/>
    <sheet name="Planetary gear calcul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4" l="1"/>
  <c r="C36" i="3"/>
  <c r="C16" i="4"/>
  <c r="M3" i="2" l="1"/>
  <c r="P3" i="2" s="1"/>
  <c r="U3" i="2" s="1"/>
  <c r="Z3" i="2" s="1"/>
  <c r="L3" i="2"/>
  <c r="C29" i="4"/>
  <c r="C21" i="4"/>
  <c r="C18" i="4"/>
  <c r="C28" i="4" s="1"/>
  <c r="C17" i="4"/>
  <c r="C27" i="4" s="1"/>
  <c r="C26" i="4"/>
  <c r="AH3" i="2"/>
  <c r="AI3" i="2" s="1"/>
  <c r="AF3" i="2"/>
  <c r="AC3" i="2"/>
  <c r="AB3" i="2"/>
  <c r="AA3" i="2"/>
  <c r="Q3" i="2"/>
  <c r="N3" i="2"/>
  <c r="D3" i="2"/>
  <c r="Y3" i="2" l="1"/>
  <c r="AG3" i="2"/>
  <c r="AL3" i="2" s="1"/>
  <c r="T3" i="2"/>
  <c r="O3" i="2"/>
  <c r="C32" i="3"/>
  <c r="D32" i="3"/>
  <c r="C31" i="3"/>
  <c r="D31" i="3"/>
  <c r="D30" i="3"/>
  <c r="AK3" i="2" l="1"/>
  <c r="AM3" i="2" s="1"/>
  <c r="C14" i="3"/>
  <c r="C18" i="3"/>
  <c r="C15" i="3"/>
  <c r="C22" i="3" l="1"/>
  <c r="C12" i="3" s="1"/>
  <c r="C13" i="3"/>
  <c r="C21" i="3"/>
  <c r="C7" i="3"/>
  <c r="C5" i="3" s="1"/>
  <c r="C17" i="3" l="1"/>
  <c r="C20" i="3"/>
  <c r="C23" i="3" s="1"/>
  <c r="C24" i="3"/>
  <c r="C16" i="3"/>
  <c r="C25" i="3"/>
  <c r="C34" i="3"/>
  <c r="C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tc={F622BCA8-A736-481A-8BF4-B751E7D7367E}</author>
    <author>tc={8EFA505A-7694-4761-8D80-407419979E56}</author>
  </authors>
  <commentList>
    <comment ref="U2" authorId="0" shapeId="0" xr:uid="{F622BCA8-A736-481A-8BF4-B751E7D7367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Concentrating stress factor included</t>
      </text>
    </comment>
    <comment ref="R3" authorId="1" shapeId="0" xr:uid="{8EFA505A-7694-4761-8D80-407419979E56}">
      <text>
        <t>[Threaded comment]
Your version of Excel allows you to read this threaded comment; however, any edits to it will get removed if the file is opened in a newer version of Excel. Learn more: https://go.microsoft.com/fwlink/?linkid=870924
Comment:
    Mechanical Design - Shigley (section A-15-6)</t>
      </text>
    </comment>
  </commentList>
</comments>
</file>

<file path=xl/sharedStrings.xml><?xml version="1.0" encoding="utf-8"?>
<sst xmlns="http://schemas.openxmlformats.org/spreadsheetml/2006/main" count="152" uniqueCount="112">
  <si>
    <t>Part Number</t>
  </si>
  <si>
    <t>Part Name</t>
  </si>
  <si>
    <t>Active?</t>
  </si>
  <si>
    <t>Quantity</t>
  </si>
  <si>
    <t>Link</t>
  </si>
  <si>
    <t>Yes</t>
  </si>
  <si>
    <t>Link 1 length</t>
  </si>
  <si>
    <t>Link 3 length</t>
  </si>
  <si>
    <t>Link 4 length</t>
  </si>
  <si>
    <t>m</t>
  </si>
  <si>
    <t>Joint 2 Torque required</t>
  </si>
  <si>
    <t>Joint 1 Torque required</t>
  </si>
  <si>
    <t>Nm</t>
  </si>
  <si>
    <t>Joint 3 Torque required</t>
  </si>
  <si>
    <t>Joint 4 Torque required</t>
  </si>
  <si>
    <t>-</t>
  </si>
  <si>
    <t>Joint 1 mass</t>
  </si>
  <si>
    <t>Joint 2 mass</t>
  </si>
  <si>
    <t>Joint 3 mass</t>
  </si>
  <si>
    <t>kg</t>
  </si>
  <si>
    <t>Link 2 length</t>
  </si>
  <si>
    <t>Comments</t>
  </si>
  <si>
    <t>Link 1 mass</t>
  </si>
  <si>
    <t>Link 2 mass</t>
  </si>
  <si>
    <t>Link 3 mass</t>
  </si>
  <si>
    <t>Link 4 mass</t>
  </si>
  <si>
    <t>Joint 1 Speed</t>
  </si>
  <si>
    <t>Joint 2 Speed</t>
  </si>
  <si>
    <t>Joint 3 Speed</t>
  </si>
  <si>
    <t>Joint 4 Speed</t>
  </si>
  <si>
    <t>rpm</t>
  </si>
  <si>
    <t>Joint 1 Power required</t>
  </si>
  <si>
    <t>Joint 2 Power required</t>
  </si>
  <si>
    <t>Joint 3 Power required</t>
  </si>
  <si>
    <t>Joint 4 Power required</t>
  </si>
  <si>
    <t>W</t>
  </si>
  <si>
    <t>Joint 4 mass + Payload mass</t>
  </si>
  <si>
    <t>Torque input</t>
  </si>
  <si>
    <t>Torque output</t>
  </si>
  <si>
    <t>Speed input</t>
  </si>
  <si>
    <t>Speed output</t>
  </si>
  <si>
    <t>Num teeth sun</t>
  </si>
  <si>
    <t>Num teeth ring</t>
  </si>
  <si>
    <t>Module m</t>
  </si>
  <si>
    <t>Num teeth carrier</t>
  </si>
  <si>
    <t>Pitch diameter sun</t>
  </si>
  <si>
    <t>Pitch diameter carrier</t>
  </si>
  <si>
    <t>Pitch diameter ring</t>
  </si>
  <si>
    <t>mm</t>
  </si>
  <si>
    <t>Circular pitch sun</t>
  </si>
  <si>
    <t>Circular pitch ring</t>
  </si>
  <si>
    <t>Circular pitch carrier</t>
  </si>
  <si>
    <t>Thickness tooth</t>
  </si>
  <si>
    <t>Dedendum</t>
  </si>
  <si>
    <t>Addendum</t>
  </si>
  <si>
    <t>Clearance circle</t>
  </si>
  <si>
    <t>Ratio required</t>
  </si>
  <si>
    <t xml:space="preserve">Ratio Stage </t>
  </si>
  <si>
    <t>Total ratio Stages 1-2</t>
  </si>
  <si>
    <t>Pressure angle</t>
  </si>
  <si>
    <t>°</t>
  </si>
  <si>
    <t>base circle radii sun</t>
  </si>
  <si>
    <t>DC Brushless motor DB41M024030-A</t>
  </si>
  <si>
    <t>https://en.nanotec.com/products/1925-db41m024030-a/</t>
  </si>
  <si>
    <t xml:space="preserve">Stage </t>
  </si>
  <si>
    <t>Center distance sun-carrier 2</t>
  </si>
  <si>
    <t>Center distance sun-carrier 1</t>
  </si>
  <si>
    <t>Center distance sun-carrier 3</t>
  </si>
  <si>
    <t>x</t>
  </si>
  <si>
    <t>y</t>
  </si>
  <si>
    <t>z</t>
  </si>
  <si>
    <t>Radius</t>
  </si>
  <si>
    <t>Cross Sectional Area (mm2)</t>
  </si>
  <si>
    <t>Radial Force (Fz) (N)</t>
  </si>
  <si>
    <t>Radial Force (Fy) (N)</t>
  </si>
  <si>
    <t>Axial Force (Fx) (N)</t>
  </si>
  <si>
    <t>Torque (Nm)</t>
  </si>
  <si>
    <t>Section modulus (mm3)</t>
  </si>
  <si>
    <t>Polar Momnet of Inertia (mm3)</t>
  </si>
  <si>
    <t>Moment of Inertia (mm4)</t>
  </si>
  <si>
    <t>Bending Stress (MPa)</t>
  </si>
  <si>
    <t>Torsion Stress (MPa)</t>
  </si>
  <si>
    <t>r/d</t>
  </si>
  <si>
    <t>Concentrating BENDING stress factor fillet</t>
  </si>
  <si>
    <t>Concentrating TORSION stress factor fillet</t>
  </si>
  <si>
    <t>Axial Stress (MPa)</t>
  </si>
  <si>
    <t>Von Misses Stress (MPa)</t>
  </si>
  <si>
    <t>Material Shaft</t>
  </si>
  <si>
    <t>Yield Strenght (MPa)</t>
  </si>
  <si>
    <t>Ultimate Tensile Strenght (MPa)</t>
  </si>
  <si>
    <t>Maximum Deflection (mm)</t>
  </si>
  <si>
    <t>Safety Factor for Stress</t>
  </si>
  <si>
    <t>Se'</t>
  </si>
  <si>
    <t>ka</t>
  </si>
  <si>
    <t>kb</t>
  </si>
  <si>
    <t>kc</t>
  </si>
  <si>
    <t>kd</t>
  </si>
  <si>
    <t>ke</t>
  </si>
  <si>
    <t>Se</t>
  </si>
  <si>
    <r>
      <rPr>
        <b/>
        <sz val="12"/>
        <color theme="1"/>
        <rFont val="Calibri"/>
        <family val="2"/>
      </rPr>
      <t>√</t>
    </r>
    <r>
      <rPr>
        <b/>
        <sz val="10.199999999999999"/>
        <color theme="1"/>
        <rFont val="Calibri"/>
        <family val="2"/>
      </rPr>
      <t>a</t>
    </r>
  </si>
  <si>
    <t>Kf</t>
  </si>
  <si>
    <t>f</t>
  </si>
  <si>
    <t>a</t>
  </si>
  <si>
    <t>b</t>
  </si>
  <si>
    <t>N</t>
  </si>
  <si>
    <t>Shaft Case Braking 1</t>
  </si>
  <si>
    <t>AISI 4340</t>
  </si>
  <si>
    <t>Distance between load line -Bearing (dz) (mm)</t>
  </si>
  <si>
    <t>Distance between load line -Bearing (dy) (mm)</t>
  </si>
  <si>
    <t>Distance betwee load line - Bearing (dx) (mm)</t>
  </si>
  <si>
    <t>Maximum Power motor</t>
  </si>
  <si>
    <t>Maximum Torque motor after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</si>
</sst>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.199999999999999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7" fillId="2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5" borderId="0" xfId="0" applyFill="1"/>
    <xf numFmtId="2" fontId="0" fillId="0" borderId="0" xfId="0" applyNumberFormat="1"/>
    <xf numFmtId="2" fontId="0" fillId="5" borderId="0" xfId="0" applyNumberFormat="1" applyFill="1"/>
    <xf numFmtId="1" fontId="0" fillId="0" borderId="0" xfId="0" applyNumberFormat="1"/>
    <xf numFmtId="1" fontId="0" fillId="5" borderId="0" xfId="0" applyNumberFormat="1" applyFill="1"/>
    <xf numFmtId="164" fontId="0" fillId="5" borderId="0" xfId="0" applyNumberFormat="1" applyFill="1"/>
    <xf numFmtId="165" fontId="0" fillId="5" borderId="0" xfId="0" applyNumberFormat="1" applyFill="1"/>
    <xf numFmtId="166" fontId="0" fillId="5" borderId="0" xfId="0" applyNumberFormat="1" applyFill="1"/>
    <xf numFmtId="0" fontId="0" fillId="0" borderId="2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/>
    <xf numFmtId="167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2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167" fontId="0" fillId="5" borderId="0" xfId="0" applyNumberFormat="1" applyFill="1"/>
    <xf numFmtId="167" fontId="0" fillId="5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C00000"/>
      </font>
    </dxf>
  </dxfs>
  <tableStyles count="0" defaultTableStyle="TableStyleMedium2" defaultPivotStyle="PivotStyleLight16"/>
  <colors>
    <mruColors>
      <color rgb="FFD0CECE"/>
      <color rgb="FFFFE699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594653</xdr:colOff>
      <xdr:row>2</xdr:row>
      <xdr:rowOff>25790</xdr:rowOff>
    </xdr:from>
    <xdr:to>
      <xdr:col>19</xdr:col>
      <xdr:colOff>139443</xdr:colOff>
      <xdr:row>27</xdr:row>
      <xdr:rowOff>43817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6816F04-7644-4761-81DE-4716B51E9341}"/>
            </a:ext>
          </a:extLst>
        </xdr:cNvPr>
        <xdr:cNvGrpSpPr/>
      </xdr:nvGrpSpPr>
      <xdr:grpSpPr>
        <a:xfrm>
          <a:off x="10588283" y="408695"/>
          <a:ext cx="3200485" cy="4776717"/>
          <a:chOff x="6723185" y="567103"/>
          <a:chExt cx="3202390" cy="4566309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A8C93E0D-2281-4166-AF1C-5302C455CD30}"/>
              </a:ext>
            </a:extLst>
          </xdr:cNvPr>
          <xdr:cNvGrpSpPr/>
        </xdr:nvGrpSpPr>
        <xdr:grpSpPr>
          <a:xfrm>
            <a:off x="6723185" y="567103"/>
            <a:ext cx="3202390" cy="4566309"/>
            <a:chOff x="6863862" y="56984"/>
            <a:chExt cx="3202390" cy="3140117"/>
          </a:xfrm>
        </xdr:grpSpPr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A2A6990A-25B6-4C4F-BEE5-0A24941396C0}"/>
                </a:ext>
              </a:extLst>
            </xdr:cNvPr>
            <xdr:cNvSpPr/>
          </xdr:nvSpPr>
          <xdr:spPr>
            <a:xfrm rot="2446913">
              <a:off x="7995053" y="811703"/>
              <a:ext cx="670992" cy="1558881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DD98F969-87B2-477B-A21C-32113A59A618}"/>
                </a:ext>
              </a:extLst>
            </xdr:cNvPr>
            <xdr:cNvSpPr/>
          </xdr:nvSpPr>
          <xdr:spPr>
            <a:xfrm>
              <a:off x="6863862" y="3082584"/>
              <a:ext cx="1402080" cy="114517"/>
            </a:xfrm>
            <a:prstGeom prst="rect">
              <a:avLst/>
            </a:prstGeom>
            <a:solidFill>
              <a:srgbClr val="0020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487FC1BB-CFA9-4BF9-9F2A-91AC5668DBA9}"/>
                </a:ext>
              </a:extLst>
            </xdr:cNvPr>
            <xdr:cNvSpPr/>
          </xdr:nvSpPr>
          <xdr:spPr>
            <a:xfrm>
              <a:off x="7343922" y="2748475"/>
              <a:ext cx="502920" cy="334108"/>
            </a:xfrm>
            <a:prstGeom prst="rect">
              <a:avLst/>
            </a:prstGeom>
            <a:solidFill>
              <a:srgbClr val="0020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4E2DF7EA-E7D9-4C7A-A8BD-9B4C5758C22B}"/>
                </a:ext>
              </a:extLst>
            </xdr:cNvPr>
            <xdr:cNvSpPr/>
          </xdr:nvSpPr>
          <xdr:spPr>
            <a:xfrm>
              <a:off x="7340656" y="2011848"/>
              <a:ext cx="502920" cy="733361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BA8854E0-633E-44E5-B821-CE337E2FE1AC}"/>
                </a:ext>
              </a:extLst>
            </xdr:cNvPr>
            <xdr:cNvSpPr/>
          </xdr:nvSpPr>
          <xdr:spPr>
            <a:xfrm>
              <a:off x="7448425" y="2750652"/>
              <a:ext cx="297180" cy="334108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CD056664-9A75-4130-BB24-F25F0A113017}"/>
                </a:ext>
              </a:extLst>
            </xdr:cNvPr>
            <xdr:cNvSpPr/>
          </xdr:nvSpPr>
          <xdr:spPr>
            <a:xfrm>
              <a:off x="7553179" y="2546288"/>
              <a:ext cx="94454" cy="205454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21810C8D-A1D4-4A98-9630-27AC9F42A7E0}"/>
                </a:ext>
              </a:extLst>
            </xdr:cNvPr>
            <xdr:cNvSpPr/>
          </xdr:nvSpPr>
          <xdr:spPr>
            <a:xfrm>
              <a:off x="7457133" y="2093490"/>
              <a:ext cx="297180" cy="277418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C1D9C2CA-4A96-4CF0-A276-D6D7DF62280E}"/>
                </a:ext>
              </a:extLst>
            </xdr:cNvPr>
            <xdr:cNvSpPr/>
          </xdr:nvSpPr>
          <xdr:spPr>
            <a:xfrm>
              <a:off x="7340657" y="2007494"/>
              <a:ext cx="502920" cy="372123"/>
            </a:xfrm>
            <a:prstGeom prst="rect">
              <a:avLst/>
            </a:prstGeom>
            <a:solidFill>
              <a:srgbClr val="70AD47">
                <a:alpha val="63922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34A5B44D-E05C-4BFC-BE6C-19C2C6FE0C7C}"/>
                </a:ext>
              </a:extLst>
            </xdr:cNvPr>
            <xdr:cNvSpPr/>
          </xdr:nvSpPr>
          <xdr:spPr>
            <a:xfrm>
              <a:off x="7552928" y="2172957"/>
              <a:ext cx="94705" cy="10768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705C1DF7-16A4-4436-86FA-14B8F0330F81}"/>
                </a:ext>
              </a:extLst>
            </xdr:cNvPr>
            <xdr:cNvSpPr/>
          </xdr:nvSpPr>
          <xdr:spPr>
            <a:xfrm rot="2415264">
              <a:off x="8723728" y="1015956"/>
              <a:ext cx="297180" cy="277419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E39510CA-699F-49C8-AE20-17055D020C60}"/>
                </a:ext>
              </a:extLst>
            </xdr:cNvPr>
            <xdr:cNvSpPr/>
          </xdr:nvSpPr>
          <xdr:spPr>
            <a:xfrm rot="2446913">
              <a:off x="8961291" y="176263"/>
              <a:ext cx="685681" cy="1273444"/>
            </a:xfrm>
            <a:prstGeom prst="rect">
              <a:avLst/>
            </a:prstGeom>
            <a:solidFill>
              <a:srgbClr val="FFE699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72D078B4-2956-43D5-ADBE-17712783A0E8}"/>
                </a:ext>
              </a:extLst>
            </xdr:cNvPr>
            <xdr:cNvSpPr/>
          </xdr:nvSpPr>
          <xdr:spPr>
            <a:xfrm rot="2415264">
              <a:off x="8819523" y="1095423"/>
              <a:ext cx="94705" cy="10768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96FD33BE-484C-46F2-963B-3764CBB2198D}"/>
                </a:ext>
              </a:extLst>
            </xdr:cNvPr>
            <xdr:cNvSpPr/>
          </xdr:nvSpPr>
          <xdr:spPr>
            <a:xfrm rot="2487173">
              <a:off x="9584956" y="284283"/>
              <a:ext cx="297180" cy="33484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95C6FA4B-73E8-45B1-9551-C4BC47D490EE}"/>
                </a:ext>
              </a:extLst>
            </xdr:cNvPr>
            <xdr:cNvSpPr/>
          </xdr:nvSpPr>
          <xdr:spPr>
            <a:xfrm rot="2487173">
              <a:off x="9971547" y="56984"/>
              <a:ext cx="94705" cy="31225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DA7CE8E-CB1C-46AF-B82F-890FA2771891}"/>
              </a:ext>
            </a:extLst>
          </xdr:cNvPr>
          <xdr:cNvSpPr txBox="1"/>
        </xdr:nvSpPr>
        <xdr:spPr>
          <a:xfrm>
            <a:off x="7297615" y="4472354"/>
            <a:ext cx="35657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600" b="1">
                <a:solidFill>
                  <a:srgbClr val="C00000"/>
                </a:solidFill>
              </a:rPr>
              <a:t>J1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966BCEF-62E7-4DA5-86C0-F33E368B74D5}"/>
              </a:ext>
            </a:extLst>
          </xdr:cNvPr>
          <xdr:cNvSpPr txBox="1"/>
        </xdr:nvSpPr>
        <xdr:spPr>
          <a:xfrm>
            <a:off x="7262446" y="3616570"/>
            <a:ext cx="35657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600" b="1">
                <a:solidFill>
                  <a:srgbClr val="C00000"/>
                </a:solidFill>
              </a:rPr>
              <a:t>J2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1A356A0-82CC-4712-8BB3-05A61DE73883}"/>
              </a:ext>
            </a:extLst>
          </xdr:cNvPr>
          <xdr:cNvSpPr txBox="1"/>
        </xdr:nvSpPr>
        <xdr:spPr>
          <a:xfrm>
            <a:off x="8540261" y="2010507"/>
            <a:ext cx="35657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600" b="1">
                <a:solidFill>
                  <a:srgbClr val="C00000"/>
                </a:solidFill>
              </a:rPr>
              <a:t>J3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9EEED8C-D549-40D2-9D80-71E03FECE93D}"/>
              </a:ext>
            </a:extLst>
          </xdr:cNvPr>
          <xdr:cNvSpPr txBox="1"/>
        </xdr:nvSpPr>
        <xdr:spPr>
          <a:xfrm>
            <a:off x="9378461" y="1008184"/>
            <a:ext cx="35657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600" b="1">
                <a:solidFill>
                  <a:srgbClr val="C00000"/>
                </a:solidFill>
              </a:rPr>
              <a:t>J4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oni Garcia Rodriguez" id="{DF81E17D-C700-4190-8333-5098B9A941D8}" userId="S::toni.garciarodriguez@motius.de::6bf9302b-97b3-4ee0-8296-6d42d6dc3c0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0-01-07T14:16:42.76" personId="{DF81E17D-C700-4190-8333-5098B9A941D8}" id="{F622BCA8-A736-481A-8BF4-B751E7D7367E}">
    <text>With Concentrating stress factor included</text>
  </threadedComment>
  <threadedComment ref="R3" dT="2020-01-07T14:06:44.34" personId="{DF81E17D-C700-4190-8333-5098B9A941D8}" id="{8EFA505A-7694-4761-8D80-407419979E56}">
    <text>Mechanical Design - Shigley (section A-15-6)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nanotec.com/products/1925-db41m024030-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4"/>
  <sheetViews>
    <sheetView workbookViewId="0">
      <selection activeCell="F3" sqref="F3"/>
    </sheetView>
  </sheetViews>
  <sheetFormatPr defaultRowHeight="15" x14ac:dyDescent="0.25"/>
  <cols>
    <col min="1" max="1" width="2.7109375" customWidth="1"/>
    <col min="2" max="2" width="11.28515625" style="2" bestFit="1" customWidth="1"/>
    <col min="3" max="3" width="25.7109375" customWidth="1"/>
    <col min="4" max="4" width="6.85546875" style="2" bestFit="1" customWidth="1"/>
    <col min="5" max="5" width="8" style="2" bestFit="1" customWidth="1"/>
    <col min="6" max="6" width="18.5703125" customWidth="1"/>
    <col min="7" max="7" width="23.85546875" customWidth="1"/>
  </cols>
  <sheetData>
    <row r="2" spans="2:7" s="3" customFormat="1" x14ac:dyDescent="0.25">
      <c r="B2" s="4" t="s">
        <v>0</v>
      </c>
      <c r="C2" s="5" t="s">
        <v>1</v>
      </c>
      <c r="D2" s="4" t="s">
        <v>2</v>
      </c>
      <c r="E2" s="4" t="s">
        <v>3</v>
      </c>
      <c r="F2" s="5" t="s">
        <v>4</v>
      </c>
      <c r="G2" s="5" t="s">
        <v>21</v>
      </c>
    </row>
    <row r="3" spans="2:7" x14ac:dyDescent="0.25">
      <c r="B3" s="2">
        <v>1</v>
      </c>
      <c r="C3" t="s">
        <v>62</v>
      </c>
      <c r="D3" s="2" t="s">
        <v>5</v>
      </c>
      <c r="E3" s="2">
        <v>4</v>
      </c>
      <c r="F3" s="1" t="s">
        <v>63</v>
      </c>
    </row>
    <row r="4" spans="2:7" x14ac:dyDescent="0.25">
      <c r="C4" s="2"/>
      <c r="F4" s="2"/>
      <c r="G4" s="2"/>
    </row>
  </sheetData>
  <conditionalFormatting sqref="D1:D3 D5:D1048576">
    <cfRule type="containsText" dxfId="1" priority="1" operator="containsText" text="No">
      <formula>NOT(ISERROR(SEARCH("No",D1)))</formula>
    </cfRule>
    <cfRule type="containsText" dxfId="0" priority="2" operator="containsText" text="Yes">
      <formula>NOT(ISERROR(SEARCH("Yes",D1)))</formula>
    </cfRule>
  </conditionalFormatting>
  <hyperlinks>
    <hyperlink ref="F3" r:id="rId1" xr:uid="{35065A24-34F6-4395-B702-3AC46B3C080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AA6C-6B32-43E0-A096-A3AB216F6181}">
  <dimension ref="B2:G29"/>
  <sheetViews>
    <sheetView tabSelected="1" topLeftCell="L2" zoomScaleNormal="100" workbookViewId="0">
      <selection activeCell="N23" sqref="N23"/>
    </sheetView>
  </sheetViews>
  <sheetFormatPr defaultRowHeight="15" x14ac:dyDescent="0.25"/>
  <cols>
    <col min="1" max="1" width="2.28515625" customWidth="1"/>
    <col min="2" max="2" width="25.85546875" style="6" bestFit="1" customWidth="1"/>
    <col min="3" max="3" width="8.42578125" bestFit="1" customWidth="1"/>
    <col min="5" max="5" width="31" bestFit="1" customWidth="1"/>
  </cols>
  <sheetData>
    <row r="2" spans="2:7" x14ac:dyDescent="0.25">
      <c r="B2" s="11" t="s">
        <v>6</v>
      </c>
      <c r="C2">
        <v>0</v>
      </c>
      <c r="D2" t="s">
        <v>9</v>
      </c>
    </row>
    <row r="3" spans="2:7" x14ac:dyDescent="0.25">
      <c r="B3" s="13" t="s">
        <v>20</v>
      </c>
      <c r="C3">
        <v>0.53</v>
      </c>
      <c r="D3" t="s">
        <v>9</v>
      </c>
    </row>
    <row r="4" spans="2:7" x14ac:dyDescent="0.25">
      <c r="B4" s="12" t="s">
        <v>7</v>
      </c>
      <c r="C4">
        <v>0.38</v>
      </c>
      <c r="D4" t="s">
        <v>9</v>
      </c>
    </row>
    <row r="5" spans="2:7" x14ac:dyDescent="0.25">
      <c r="B5" s="14" t="s">
        <v>8</v>
      </c>
      <c r="C5">
        <v>0</v>
      </c>
      <c r="D5" t="s">
        <v>9</v>
      </c>
    </row>
    <row r="6" spans="2:7" x14ac:dyDescent="0.25">
      <c r="B6" s="11" t="s">
        <v>22</v>
      </c>
      <c r="C6">
        <v>0.1</v>
      </c>
      <c r="D6" t="s">
        <v>19</v>
      </c>
    </row>
    <row r="7" spans="2:7" x14ac:dyDescent="0.25">
      <c r="B7" s="13" t="s">
        <v>23</v>
      </c>
      <c r="C7">
        <v>0.15</v>
      </c>
      <c r="D7" t="s">
        <v>19</v>
      </c>
    </row>
    <row r="8" spans="2:7" x14ac:dyDescent="0.25">
      <c r="B8" s="12" t="s">
        <v>24</v>
      </c>
      <c r="C8">
        <v>0.15</v>
      </c>
      <c r="D8" t="s">
        <v>19</v>
      </c>
    </row>
    <row r="9" spans="2:7" x14ac:dyDescent="0.25">
      <c r="B9" s="14" t="s">
        <v>25</v>
      </c>
      <c r="C9">
        <v>0</v>
      </c>
      <c r="D9" t="s">
        <v>19</v>
      </c>
    </row>
    <row r="11" spans="2:7" x14ac:dyDescent="0.25">
      <c r="B11" s="7" t="s">
        <v>16</v>
      </c>
      <c r="C11" s="6">
        <v>3.5</v>
      </c>
      <c r="D11" t="s">
        <v>19</v>
      </c>
    </row>
    <row r="12" spans="2:7" x14ac:dyDescent="0.25">
      <c r="B12" s="8" t="s">
        <v>17</v>
      </c>
      <c r="C12" s="6">
        <v>3.5</v>
      </c>
      <c r="D12" t="s">
        <v>19</v>
      </c>
    </row>
    <row r="13" spans="2:7" x14ac:dyDescent="0.25">
      <c r="B13" s="9" t="s">
        <v>18</v>
      </c>
      <c r="C13" s="6">
        <v>3.5</v>
      </c>
      <c r="D13" t="s">
        <v>19</v>
      </c>
    </row>
    <row r="14" spans="2:7" x14ac:dyDescent="0.25">
      <c r="B14" s="10" t="s">
        <v>36</v>
      </c>
      <c r="C14" s="6">
        <v>1</v>
      </c>
      <c r="D14" t="s">
        <v>19</v>
      </c>
    </row>
    <row r="16" spans="2:7" x14ac:dyDescent="0.25">
      <c r="B16" s="10" t="s">
        <v>11</v>
      </c>
      <c r="C16" s="40">
        <f>(C13*C3^2+C14*(C4+C3)^2+C7*(C4/2)^2+C8*(C7+C8/2)^2)*RADIANS(180)/0.2</f>
        <v>28.655389436234497</v>
      </c>
      <c r="D16" t="s">
        <v>12</v>
      </c>
      <c r="E16" t="s">
        <v>111</v>
      </c>
      <c r="F16">
        <f>0.5*50</f>
        <v>25</v>
      </c>
      <c r="G16" t="s">
        <v>12</v>
      </c>
    </row>
    <row r="17" spans="2:7" x14ac:dyDescent="0.25">
      <c r="B17" s="10" t="s">
        <v>10</v>
      </c>
      <c r="C17" s="40">
        <f>(C13*C3+C7*C3/2+C14*(C4+C3)+C8*(C4+C3)/2)*10</f>
        <v>28.729999999999997</v>
      </c>
      <c r="D17" t="s">
        <v>12</v>
      </c>
    </row>
    <row r="18" spans="2:7" x14ac:dyDescent="0.25">
      <c r="B18" s="10" t="s">
        <v>13</v>
      </c>
      <c r="C18" s="40">
        <f>(C13*C4+C8*C4/2)*10</f>
        <v>13.585000000000001</v>
      </c>
      <c r="D18" t="s">
        <v>12</v>
      </c>
    </row>
    <row r="19" spans="2:7" x14ac:dyDescent="0.25">
      <c r="B19" s="10" t="s">
        <v>14</v>
      </c>
      <c r="C19" s="6" t="s">
        <v>15</v>
      </c>
      <c r="D19" t="s">
        <v>12</v>
      </c>
    </row>
    <row r="21" spans="2:7" x14ac:dyDescent="0.25">
      <c r="B21" s="10" t="s">
        <v>26</v>
      </c>
      <c r="C21">
        <f>0.5*60</f>
        <v>30</v>
      </c>
      <c r="D21" t="s">
        <v>30</v>
      </c>
    </row>
    <row r="22" spans="2:7" x14ac:dyDescent="0.25">
      <c r="B22" s="10" t="s">
        <v>27</v>
      </c>
      <c r="C22" s="6">
        <v>30</v>
      </c>
      <c r="D22" t="s">
        <v>30</v>
      </c>
    </row>
    <row r="23" spans="2:7" x14ac:dyDescent="0.25">
      <c r="B23" s="10" t="s">
        <v>28</v>
      </c>
      <c r="C23" s="6">
        <v>30</v>
      </c>
      <c r="D23" t="s">
        <v>30</v>
      </c>
    </row>
    <row r="24" spans="2:7" x14ac:dyDescent="0.25">
      <c r="B24" s="10" t="s">
        <v>29</v>
      </c>
      <c r="C24" s="6" t="s">
        <v>15</v>
      </c>
      <c r="D24" t="s">
        <v>30</v>
      </c>
    </row>
    <row r="26" spans="2:7" x14ac:dyDescent="0.25">
      <c r="B26" s="10" t="s">
        <v>31</v>
      </c>
      <c r="C26" s="39">
        <f>2*PI()*C21*C16/60</f>
        <v>90.023560938628847</v>
      </c>
      <c r="D26" t="s">
        <v>35</v>
      </c>
      <c r="E26" t="s">
        <v>110</v>
      </c>
      <c r="F26">
        <v>50</v>
      </c>
      <c r="G26" t="s">
        <v>35</v>
      </c>
    </row>
    <row r="27" spans="2:7" x14ac:dyDescent="0.25">
      <c r="B27" s="10" t="s">
        <v>32</v>
      </c>
      <c r="C27" s="39">
        <f>2*PI()*C22*C17/60</f>
        <v>90.257956937634745</v>
      </c>
      <c r="D27" t="s">
        <v>35</v>
      </c>
    </row>
    <row r="28" spans="2:7" x14ac:dyDescent="0.25">
      <c r="B28" s="10" t="s">
        <v>33</v>
      </c>
      <c r="C28" s="39">
        <f>2*PI()*C23*C18/60</f>
        <v>42.678536199017337</v>
      </c>
      <c r="D28" t="s">
        <v>35</v>
      </c>
    </row>
    <row r="29" spans="2:7" x14ac:dyDescent="0.25">
      <c r="B29" s="10" t="s">
        <v>34</v>
      </c>
      <c r="C29" s="15" t="e">
        <f>2*PI()*C24*C19/60</f>
        <v>#VALUE!</v>
      </c>
      <c r="D29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2122-F804-4046-AC10-8A16D17639BB}">
  <dimension ref="B2:AM3"/>
  <sheetViews>
    <sheetView zoomScaleNormal="100" workbookViewId="0">
      <selection activeCell="R5" sqref="R5"/>
    </sheetView>
  </sheetViews>
  <sheetFormatPr defaultRowHeight="15" x14ac:dyDescent="0.25"/>
  <cols>
    <col min="1" max="1" width="3.28515625" customWidth="1"/>
    <col min="2" max="2" width="18.85546875" bestFit="1" customWidth="1"/>
    <col min="3" max="3" width="10.85546875" style="6" customWidth="1"/>
    <col min="4" max="39" width="10.85546875" customWidth="1"/>
  </cols>
  <sheetData>
    <row r="2" spans="2:39" s="31" customFormat="1" ht="61.5" customHeight="1" x14ac:dyDescent="0.25">
      <c r="B2" s="23"/>
      <c r="C2" s="24" t="s">
        <v>71</v>
      </c>
      <c r="D2" s="25" t="s">
        <v>72</v>
      </c>
      <c r="E2" s="26" t="s">
        <v>73</v>
      </c>
      <c r="F2" s="26" t="s">
        <v>74</v>
      </c>
      <c r="G2" s="26" t="s">
        <v>75</v>
      </c>
      <c r="H2" s="26" t="s">
        <v>76</v>
      </c>
      <c r="I2" s="25" t="s">
        <v>107</v>
      </c>
      <c r="J2" s="25" t="s">
        <v>108</v>
      </c>
      <c r="K2" s="25" t="s">
        <v>109</v>
      </c>
      <c r="L2" s="25" t="s">
        <v>77</v>
      </c>
      <c r="M2" s="25" t="s">
        <v>78</v>
      </c>
      <c r="N2" s="25" t="s">
        <v>79</v>
      </c>
      <c r="O2" s="27" t="s">
        <v>80</v>
      </c>
      <c r="P2" s="27" t="s">
        <v>81</v>
      </c>
      <c r="Q2" s="25" t="s">
        <v>82</v>
      </c>
      <c r="R2" s="25" t="s">
        <v>83</v>
      </c>
      <c r="S2" s="25" t="s">
        <v>84</v>
      </c>
      <c r="T2" s="27" t="s">
        <v>85</v>
      </c>
      <c r="U2" s="27" t="s">
        <v>86</v>
      </c>
      <c r="V2" s="25" t="s">
        <v>87</v>
      </c>
      <c r="W2" s="25" t="s">
        <v>88</v>
      </c>
      <c r="X2" s="25" t="s">
        <v>89</v>
      </c>
      <c r="Y2" s="28" t="s">
        <v>90</v>
      </c>
      <c r="Z2" s="28" t="s">
        <v>91</v>
      </c>
      <c r="AA2" s="29" t="s">
        <v>92</v>
      </c>
      <c r="AB2" s="29" t="s">
        <v>93</v>
      </c>
      <c r="AC2" s="29" t="s">
        <v>94</v>
      </c>
      <c r="AD2" s="29" t="s">
        <v>95</v>
      </c>
      <c r="AE2" s="29" t="s">
        <v>96</v>
      </c>
      <c r="AF2" s="29" t="s">
        <v>97</v>
      </c>
      <c r="AG2" s="29" t="s">
        <v>98</v>
      </c>
      <c r="AH2" s="30" t="s">
        <v>99</v>
      </c>
      <c r="AI2" s="29" t="s">
        <v>100</v>
      </c>
      <c r="AJ2" s="29" t="s">
        <v>101</v>
      </c>
      <c r="AK2" s="29" t="s">
        <v>102</v>
      </c>
      <c r="AL2" s="29" t="s">
        <v>103</v>
      </c>
      <c r="AM2" s="29" t="s">
        <v>104</v>
      </c>
    </row>
    <row r="3" spans="2:39" x14ac:dyDescent="0.25">
      <c r="B3" s="32" t="s">
        <v>105</v>
      </c>
      <c r="C3" s="33">
        <v>3</v>
      </c>
      <c r="D3" s="33">
        <f t="shared" ref="D3" si="0">PI()*C3^2</f>
        <v>28.274333882308138</v>
      </c>
      <c r="E3" s="33">
        <v>0</v>
      </c>
      <c r="F3" s="33">
        <v>0</v>
      </c>
      <c r="G3" s="33">
        <v>0</v>
      </c>
      <c r="H3">
        <v>12</v>
      </c>
      <c r="I3" s="33">
        <v>0</v>
      </c>
      <c r="J3" s="33">
        <v>0</v>
      </c>
      <c r="K3" s="33">
        <v>0</v>
      </c>
      <c r="L3" s="33">
        <f>PI()*(C3*2)^3/32</f>
        <v>21.205750411731103</v>
      </c>
      <c r="M3" s="33">
        <f>PI()*(C3*2)^3/16</f>
        <v>42.411500823462205</v>
      </c>
      <c r="N3" s="33">
        <f t="shared" ref="N3" si="1">PI()*(C3*2)^4/32</f>
        <v>127.23450247038662</v>
      </c>
      <c r="O3" s="16">
        <f>(E3*I3+G3*K3+F3*J3)/L3</f>
        <v>0</v>
      </c>
      <c r="P3" s="16">
        <f>H3*1000/M3</f>
        <v>282.94212105225841</v>
      </c>
      <c r="Q3" s="34">
        <f>1/C3/2</f>
        <v>0.16666666666666666</v>
      </c>
      <c r="R3" s="16">
        <v>2.2999999999999998</v>
      </c>
      <c r="S3" s="16">
        <v>1</v>
      </c>
      <c r="T3" s="16">
        <f t="shared" ref="T3" si="2">G3/D3</f>
        <v>0</v>
      </c>
      <c r="U3">
        <f>((R3*O3)^2+3*(S3*P3)^2)^0.5</f>
        <v>490.07012926381526</v>
      </c>
      <c r="V3" t="s">
        <v>106</v>
      </c>
      <c r="W3">
        <v>710</v>
      </c>
      <c r="X3">
        <v>1100</v>
      </c>
      <c r="Y3" s="35">
        <f t="shared" ref="Y3" si="3">E3*I3^3/(3*N3*200000)</f>
        <v>0</v>
      </c>
      <c r="Z3" s="36">
        <f>W3/U3</f>
        <v>1.4487722421820812</v>
      </c>
      <c r="AA3" s="36">
        <f t="shared" ref="AA3" si="4">0.5*X3</f>
        <v>550</v>
      </c>
      <c r="AB3" s="36">
        <f t="shared" ref="AB3" si="5">4.51*X3^-0.265</f>
        <v>0.70502981021999012</v>
      </c>
      <c r="AC3" s="36">
        <f t="shared" ref="AC3" si="6">1.24*(C3*2)^-0.107</f>
        <v>1.0236688814936796</v>
      </c>
      <c r="AD3" s="36">
        <v>1</v>
      </c>
      <c r="AE3" s="36">
        <v>1</v>
      </c>
      <c r="AF3" s="36">
        <f>1-0.08*0</f>
        <v>1</v>
      </c>
      <c r="AG3" s="36">
        <f>PRODUCT(AA3:AF3)</f>
        <v>396.9443924861792</v>
      </c>
      <c r="AH3" s="36">
        <f t="shared" ref="AH3" si="7">0.246-3.08*10^-3*X3/6.8947572932+1.51*10^-5*(X3/6.8947572932)^2-2.67*10^-8*(X3/6.8947572932)^3</f>
        <v>3.0534169022678914E-2</v>
      </c>
      <c r="AI3" s="36">
        <f t="shared" ref="AI3" si="8">1+(R3-1)/(1+AH3/0.08^0.5)</f>
        <v>2.1733332862978765</v>
      </c>
      <c r="AJ3" s="36">
        <v>0.85</v>
      </c>
      <c r="AK3" s="36">
        <f t="shared" ref="AK3" si="9">(AJ3*X3)^2/AG3</f>
        <v>2202.3865723973886</v>
      </c>
      <c r="AL3" s="36">
        <f t="shared" ref="AL3" si="10">-1/3*LOG(AJ3*X3/AG3)</f>
        <v>-0.12402731323201928</v>
      </c>
      <c r="AM3" s="37">
        <f>+(AI3*U3/AK3)^(1/AL3)</f>
        <v>349.83799870405869</v>
      </c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F244-D785-4EF8-A522-C726FEDBB0A8}">
  <dimension ref="B2:F72"/>
  <sheetViews>
    <sheetView topLeftCell="A13" workbookViewId="0">
      <selection activeCell="C36" sqref="C36"/>
    </sheetView>
  </sheetViews>
  <sheetFormatPr defaultRowHeight="15" x14ac:dyDescent="0.25"/>
  <cols>
    <col min="1" max="1" width="1.85546875" customWidth="1"/>
    <col min="2" max="2" width="25.28515625" style="6" bestFit="1" customWidth="1"/>
    <col min="3" max="4" width="13.42578125" bestFit="1" customWidth="1"/>
    <col min="5" max="5" width="11" bestFit="1" customWidth="1"/>
    <col min="6" max="6" width="25.28515625" bestFit="1" customWidth="1"/>
  </cols>
  <sheetData>
    <row r="2" spans="2:4" x14ac:dyDescent="0.25">
      <c r="B2" s="6" t="s">
        <v>37</v>
      </c>
      <c r="C2" s="16">
        <v>0.16</v>
      </c>
      <c r="D2" t="s">
        <v>12</v>
      </c>
    </row>
    <row r="3" spans="2:4" x14ac:dyDescent="0.25">
      <c r="B3" s="6" t="s">
        <v>38</v>
      </c>
      <c r="C3" s="16">
        <v>11</v>
      </c>
      <c r="D3" t="s">
        <v>12</v>
      </c>
    </row>
    <row r="4" spans="2:4" x14ac:dyDescent="0.25">
      <c r="B4" s="6" t="s">
        <v>39</v>
      </c>
      <c r="C4" s="16">
        <v>3000</v>
      </c>
      <c r="D4" t="s">
        <v>30</v>
      </c>
    </row>
    <row r="5" spans="2:4" x14ac:dyDescent="0.25">
      <c r="B5" s="6" t="s">
        <v>40</v>
      </c>
      <c r="C5" s="17">
        <f>C4/C7</f>
        <v>43.636363636363633</v>
      </c>
      <c r="D5" t="s">
        <v>30</v>
      </c>
    </row>
    <row r="6" spans="2:4" x14ac:dyDescent="0.25">
      <c r="C6" s="16"/>
    </row>
    <row r="7" spans="2:4" x14ac:dyDescent="0.25">
      <c r="B7" s="6" t="s">
        <v>56</v>
      </c>
      <c r="C7" s="17">
        <f>C3/C2</f>
        <v>68.75</v>
      </c>
    </row>
    <row r="8" spans="2:4" x14ac:dyDescent="0.25">
      <c r="C8" s="16"/>
    </row>
    <row r="9" spans="2:4" x14ac:dyDescent="0.25">
      <c r="B9" s="38" t="s">
        <v>64</v>
      </c>
      <c r="C9" s="38"/>
      <c r="D9" s="38"/>
    </row>
    <row r="10" spans="2:4" x14ac:dyDescent="0.25">
      <c r="B10" s="6" t="s">
        <v>41</v>
      </c>
      <c r="C10" s="18">
        <v>17</v>
      </c>
    </row>
    <row r="11" spans="2:4" x14ac:dyDescent="0.25">
      <c r="B11" s="6" t="s">
        <v>45</v>
      </c>
      <c r="C11" s="18">
        <v>21</v>
      </c>
      <c r="D11" t="s">
        <v>48</v>
      </c>
    </row>
    <row r="12" spans="2:4" x14ac:dyDescent="0.25">
      <c r="B12" s="6" t="s">
        <v>49</v>
      </c>
      <c r="C12" s="19">
        <f>PI()*C22</f>
        <v>3.8807909250226857</v>
      </c>
      <c r="D12" t="s">
        <v>48</v>
      </c>
    </row>
    <row r="13" spans="2:4" x14ac:dyDescent="0.25">
      <c r="B13" s="6" t="s">
        <v>61</v>
      </c>
      <c r="C13" s="17">
        <f>C11/2*COS(RADIANS(C27))</f>
        <v>9.8667725182520378</v>
      </c>
      <c r="D13" t="s">
        <v>48</v>
      </c>
    </row>
    <row r="14" spans="2:4" x14ac:dyDescent="0.25">
      <c r="B14" s="6" t="s">
        <v>44</v>
      </c>
      <c r="C14" s="21">
        <f>C15/C22</f>
        <v>43.026190476190472</v>
      </c>
    </row>
    <row r="15" spans="2:4" x14ac:dyDescent="0.25">
      <c r="B15" s="6" t="s">
        <v>46</v>
      </c>
      <c r="C15" s="20">
        <f>C19/2-C11/2</f>
        <v>53.15</v>
      </c>
      <c r="D15" t="s">
        <v>48</v>
      </c>
    </row>
    <row r="16" spans="2:4" x14ac:dyDescent="0.25">
      <c r="B16" s="6" t="s">
        <v>51</v>
      </c>
      <c r="C16" s="19">
        <f>PI()*C22</f>
        <v>3.8807909250226857</v>
      </c>
      <c r="D16" t="s">
        <v>48</v>
      </c>
    </row>
    <row r="17" spans="2:5" x14ac:dyDescent="0.25">
      <c r="B17" s="6" t="s">
        <v>61</v>
      </c>
      <c r="C17" s="17">
        <f>C15/2*COS(RADIANS(C27))</f>
        <v>24.972331397385517</v>
      </c>
      <c r="D17" t="s">
        <v>48</v>
      </c>
    </row>
    <row r="18" spans="2:5" x14ac:dyDescent="0.25">
      <c r="B18" s="6" t="s">
        <v>42</v>
      </c>
      <c r="C18" s="17">
        <f>C19/C22</f>
        <v>103.05238095238094</v>
      </c>
    </row>
    <row r="19" spans="2:5" x14ac:dyDescent="0.25">
      <c r="B19" s="6" t="s">
        <v>47</v>
      </c>
      <c r="C19" s="16">
        <v>127.3</v>
      </c>
      <c r="D19" t="s">
        <v>48</v>
      </c>
    </row>
    <row r="20" spans="2:5" x14ac:dyDescent="0.25">
      <c r="B20" s="6" t="s">
        <v>50</v>
      </c>
      <c r="C20" s="19">
        <f>PI()*C22</f>
        <v>3.8807909250226857</v>
      </c>
      <c r="D20" t="s">
        <v>48</v>
      </c>
    </row>
    <row r="21" spans="2:5" x14ac:dyDescent="0.25">
      <c r="B21" s="6" t="s">
        <v>61</v>
      </c>
      <c r="C21" s="17">
        <f>C19/2*COS(RADIANS(C27))</f>
        <v>59.811435313023068</v>
      </c>
      <c r="D21" t="s">
        <v>48</v>
      </c>
    </row>
    <row r="22" spans="2:5" x14ac:dyDescent="0.25">
      <c r="B22" s="6" t="s">
        <v>43</v>
      </c>
      <c r="C22" s="17">
        <f>C11/C10</f>
        <v>1.2352941176470589</v>
      </c>
    </row>
    <row r="23" spans="2:5" x14ac:dyDescent="0.25">
      <c r="B23" s="6" t="s">
        <v>52</v>
      </c>
      <c r="C23" s="17">
        <f>C20/2</f>
        <v>1.9403954625113429</v>
      </c>
      <c r="D23" t="s">
        <v>48</v>
      </c>
    </row>
    <row r="24" spans="2:5" x14ac:dyDescent="0.25">
      <c r="B24" s="6" t="s">
        <v>54</v>
      </c>
      <c r="C24" s="17">
        <f>1/(1/C22)</f>
        <v>1.2352941176470589</v>
      </c>
      <c r="D24" t="s">
        <v>48</v>
      </c>
    </row>
    <row r="25" spans="2:5" x14ac:dyDescent="0.25">
      <c r="B25" s="6" t="s">
        <v>53</v>
      </c>
      <c r="C25" s="17">
        <f>1.25/(1/C22)</f>
        <v>1.5441176470588236</v>
      </c>
      <c r="D25" t="s">
        <v>48</v>
      </c>
    </row>
    <row r="26" spans="2:5" x14ac:dyDescent="0.25">
      <c r="B26" s="6" t="s">
        <v>55</v>
      </c>
      <c r="C26" s="17">
        <f>C25-C24</f>
        <v>0.30882352941176472</v>
      </c>
      <c r="D26" t="s">
        <v>48</v>
      </c>
    </row>
    <row r="27" spans="2:5" x14ac:dyDescent="0.25">
      <c r="B27" s="6" t="s">
        <v>59</v>
      </c>
      <c r="C27" s="17">
        <v>20</v>
      </c>
      <c r="D27" t="s">
        <v>60</v>
      </c>
    </row>
    <row r="29" spans="2:5" x14ac:dyDescent="0.25">
      <c r="C29" t="s">
        <v>68</v>
      </c>
      <c r="D29" t="s">
        <v>69</v>
      </c>
      <c r="E29" t="s">
        <v>70</v>
      </c>
    </row>
    <row r="30" spans="2:5" x14ac:dyDescent="0.25">
      <c r="B30" s="6" t="s">
        <v>66</v>
      </c>
      <c r="C30" s="22">
        <v>0</v>
      </c>
      <c r="D30" s="22">
        <f>C11/2+C15/2</f>
        <v>37.075000000000003</v>
      </c>
      <c r="E30" s="15">
        <v>0</v>
      </c>
    </row>
    <row r="31" spans="2:5" x14ac:dyDescent="0.25">
      <c r="B31" s="6" t="s">
        <v>65</v>
      </c>
      <c r="C31" s="22">
        <f>+-D30*COS(RADIANS(60))</f>
        <v>-18.537500000000005</v>
      </c>
      <c r="D31" s="22">
        <f>-D30*COS(RADIANS(30))</f>
        <v>-32.107891845308068</v>
      </c>
      <c r="E31" s="15">
        <v>0</v>
      </c>
    </row>
    <row r="32" spans="2:5" x14ac:dyDescent="0.25">
      <c r="B32" s="6" t="s">
        <v>67</v>
      </c>
      <c r="C32" s="22">
        <f>+D30*COS(RADIANS(60))</f>
        <v>18.537500000000005</v>
      </c>
      <c r="D32" s="22">
        <f>-D30*COS(RADIANS(30))</f>
        <v>-32.107891845308068</v>
      </c>
      <c r="E32" s="15">
        <v>0</v>
      </c>
    </row>
    <row r="33" spans="2:6" x14ac:dyDescent="0.25">
      <c r="C33" s="16"/>
    </row>
    <row r="34" spans="2:6" x14ac:dyDescent="0.25">
      <c r="B34" s="6" t="s">
        <v>57</v>
      </c>
      <c r="C34" s="17">
        <f>1+C18/C10</f>
        <v>7.0619047619047617</v>
      </c>
    </row>
    <row r="36" spans="2:6" x14ac:dyDescent="0.25">
      <c r="B36" s="6" t="s">
        <v>58</v>
      </c>
      <c r="C36" s="17">
        <f>C34*C34</f>
        <v>49.870498866213147</v>
      </c>
      <c r="F36" s="6"/>
    </row>
    <row r="37" spans="2:6" x14ac:dyDescent="0.25">
      <c r="C37" s="16"/>
    </row>
    <row r="38" spans="2:6" x14ac:dyDescent="0.25">
      <c r="C38" s="16"/>
    </row>
    <row r="39" spans="2:6" x14ac:dyDescent="0.25">
      <c r="C39" s="16"/>
    </row>
    <row r="40" spans="2:6" x14ac:dyDescent="0.25">
      <c r="C40" s="16"/>
    </row>
    <row r="41" spans="2:6" x14ac:dyDescent="0.25">
      <c r="C41" s="16"/>
    </row>
    <row r="42" spans="2:6" x14ac:dyDescent="0.25">
      <c r="C42" s="16"/>
    </row>
    <row r="43" spans="2:6" x14ac:dyDescent="0.25">
      <c r="C43" s="16"/>
    </row>
    <row r="44" spans="2:6" x14ac:dyDescent="0.25">
      <c r="C44" s="16"/>
    </row>
    <row r="45" spans="2:6" x14ac:dyDescent="0.25">
      <c r="C45" s="16"/>
    </row>
    <row r="46" spans="2:6" x14ac:dyDescent="0.25">
      <c r="C46" s="16"/>
    </row>
    <row r="47" spans="2:6" x14ac:dyDescent="0.25">
      <c r="C47" s="16"/>
    </row>
    <row r="48" spans="2:6" x14ac:dyDescent="0.25">
      <c r="C48" s="16"/>
    </row>
    <row r="49" spans="3:3" x14ac:dyDescent="0.25">
      <c r="C49" s="16"/>
    </row>
    <row r="50" spans="3:3" x14ac:dyDescent="0.25">
      <c r="C50" s="16"/>
    </row>
    <row r="51" spans="3:3" x14ac:dyDescent="0.25">
      <c r="C51" s="16"/>
    </row>
    <row r="52" spans="3:3" x14ac:dyDescent="0.25">
      <c r="C52" s="16"/>
    </row>
    <row r="53" spans="3:3" x14ac:dyDescent="0.25">
      <c r="C53" s="16"/>
    </row>
    <row r="54" spans="3:3" x14ac:dyDescent="0.25">
      <c r="C54" s="16"/>
    </row>
    <row r="55" spans="3:3" x14ac:dyDescent="0.25">
      <c r="C55" s="16"/>
    </row>
    <row r="56" spans="3:3" x14ac:dyDescent="0.25">
      <c r="C56" s="16"/>
    </row>
    <row r="57" spans="3:3" x14ac:dyDescent="0.25">
      <c r="C57" s="16"/>
    </row>
    <row r="58" spans="3:3" x14ac:dyDescent="0.25">
      <c r="C58" s="16"/>
    </row>
    <row r="59" spans="3:3" x14ac:dyDescent="0.25">
      <c r="C59" s="16"/>
    </row>
    <row r="60" spans="3:3" x14ac:dyDescent="0.25">
      <c r="C60" s="16"/>
    </row>
    <row r="61" spans="3:3" x14ac:dyDescent="0.25">
      <c r="C61" s="16"/>
    </row>
    <row r="62" spans="3:3" x14ac:dyDescent="0.25">
      <c r="C62" s="16"/>
    </row>
    <row r="63" spans="3:3" x14ac:dyDescent="0.25">
      <c r="C63" s="16"/>
    </row>
    <row r="64" spans="3:3" x14ac:dyDescent="0.25">
      <c r="C64" s="16"/>
    </row>
    <row r="65" spans="3:3" x14ac:dyDescent="0.25">
      <c r="C65" s="16"/>
    </row>
    <row r="66" spans="3:3" x14ac:dyDescent="0.25">
      <c r="C66" s="16"/>
    </row>
    <row r="67" spans="3:3" x14ac:dyDescent="0.25">
      <c r="C67" s="16"/>
    </row>
    <row r="68" spans="3:3" x14ac:dyDescent="0.25">
      <c r="C68" s="16"/>
    </row>
    <row r="69" spans="3:3" x14ac:dyDescent="0.25">
      <c r="C69" s="16"/>
    </row>
    <row r="70" spans="3:3" x14ac:dyDescent="0.25">
      <c r="C70" s="16"/>
    </row>
    <row r="71" spans="3:3" x14ac:dyDescent="0.25">
      <c r="C71" s="16"/>
    </row>
    <row r="72" spans="3:3" x14ac:dyDescent="0.25">
      <c r="C72" s="16"/>
    </row>
  </sheetData>
  <mergeCells count="1"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Power Calculations</vt:lpstr>
      <vt:lpstr>Structural Calculations</vt:lpstr>
      <vt:lpstr>Planetary gear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Motius</dc:creator>
  <cp:lastModifiedBy>AVINASH KUMAR</cp:lastModifiedBy>
  <dcterms:created xsi:type="dcterms:W3CDTF">2015-06-05T18:17:20Z</dcterms:created>
  <dcterms:modified xsi:type="dcterms:W3CDTF">2020-05-19T13:57:39Z</dcterms:modified>
</cp:coreProperties>
</file>